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210" yWindow="-15" windowWidth="15960" windowHeight="10905" firstSheet="5" activeTab="19"/>
  </bookViews>
  <sheets>
    <sheet name="Billing Determinants" sheetId="20" r:id="rId1"/>
    <sheet name="Price Summary" sheetId="19" r:id="rId2"/>
    <sheet name="Company Rate Spread" sheetId="23" r:id="rId3"/>
    <sheet name="OCS Rate Spread" sheetId="24" r:id="rId4"/>
    <sheet name="OCS Schedule 1 Proposal" sheetId="14" r:id="rId5"/>
    <sheet name="OCS Sch 1 CC &amp; Energy Charge" sheetId="13" r:id="rId6"/>
    <sheet name="Exhibit RMP-(WRG-1)" sheetId="2" state="hidden" r:id="rId7"/>
    <sheet name="Exhibit RMP-(WRG-2a)" sheetId="11" state="hidden" r:id="rId8"/>
    <sheet name="Exhibit RMP-(WRG-2b)" sheetId="12" state="hidden" r:id="rId9"/>
    <sheet name="Exhibit RMP-(WRG-5)" sheetId="3" state="hidden" r:id="rId10"/>
    <sheet name="Exhibit RMP-(WRG-6)-Sch1" sheetId="4" state="hidden" r:id="rId11"/>
    <sheet name="Exhibit RMP-(WRG-6)-Sch23" sheetId="5" state="hidden" r:id="rId12"/>
    <sheet name="Exhibit RMP-(WRG-6)-Sch6" sheetId="6" state="hidden" r:id="rId13"/>
    <sheet name="Exhibit RMP-(WRG-6)-Sch8" sheetId="7" state="hidden" r:id="rId14"/>
    <sheet name="Exhibit RMP-(WRG-6)-Sch9" sheetId="8" state="hidden" r:id="rId15"/>
    <sheet name="Exhibit RMP-(WRG-6)-Sch10" sheetId="9" state="hidden" r:id="rId16"/>
    <sheet name="RateSpread" sheetId="1" state="hidden" r:id="rId17"/>
    <sheet name="MPA" sheetId="10" state="hidden" r:id="rId18"/>
    <sheet name="OCS Sch 1 Total Bill Changes SG" sheetId="17" r:id="rId19"/>
    <sheet name="OCS Sch 1 Bill Impacts" sheetId="15" r:id="rId20"/>
    <sheet name="Table 3" sheetId="25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 localSheetId="17">[1]Jan!#REF!</definedName>
    <definedName name="\0">[1]Jan!#REF!</definedName>
    <definedName name="\A" localSheetId="17">#REF!</definedName>
    <definedName name="\A" localSheetId="3">#REF!</definedName>
    <definedName name="\A">#REF!</definedName>
    <definedName name="\B" localSheetId="17">#REF!</definedName>
    <definedName name="\B">#REF!</definedName>
    <definedName name="\BACK1" localSheetId="17">#REF!</definedName>
    <definedName name="\BACK1">#REF!</definedName>
    <definedName name="\BLOCK" localSheetId="17">#REF!</definedName>
    <definedName name="\BLOCK">#REF!</definedName>
    <definedName name="\BLOCKT" localSheetId="17">#REF!</definedName>
    <definedName name="\BLOCKT">#REF!</definedName>
    <definedName name="\C" localSheetId="17">#REF!</definedName>
    <definedName name="\C">#REF!</definedName>
    <definedName name="\COMP" localSheetId="17">#REF!</definedName>
    <definedName name="\COMP">#REF!</definedName>
    <definedName name="\COMPT" localSheetId="17">#REF!</definedName>
    <definedName name="\COMPT">#REF!</definedName>
    <definedName name="\E" localSheetId="2">#REF!</definedName>
    <definedName name="\E" localSheetId="17">#REF!</definedName>
    <definedName name="\E">#REF!</definedName>
    <definedName name="\G" localSheetId="17">#REF!</definedName>
    <definedName name="\G">#REF!</definedName>
    <definedName name="\I" localSheetId="17">#REF!</definedName>
    <definedName name="\I">#REF!</definedName>
    <definedName name="\K" localSheetId="17">#REF!</definedName>
    <definedName name="\K">#REF!</definedName>
    <definedName name="\L" localSheetId="17">#REF!</definedName>
    <definedName name="\L">#REF!</definedName>
    <definedName name="\M" localSheetId="17">#REF!</definedName>
    <definedName name="\M">#REF!</definedName>
    <definedName name="\P" localSheetId="17">#REF!</definedName>
    <definedName name="\P">#REF!</definedName>
    <definedName name="\Q" localSheetId="17">[2]Actual!#REF!</definedName>
    <definedName name="\Q" localSheetId="3">[2]Actual!#REF!</definedName>
    <definedName name="\Q">[2]Actual!#REF!</definedName>
    <definedName name="\R" localSheetId="17">#REF!</definedName>
    <definedName name="\R" localSheetId="3">#REF!</definedName>
    <definedName name="\R">#REF!</definedName>
    <definedName name="\S" localSheetId="17">#REF!</definedName>
    <definedName name="\S">#REF!</definedName>
    <definedName name="\TABLE1" localSheetId="17">#REF!</definedName>
    <definedName name="\TABLE1">#REF!</definedName>
    <definedName name="\TABLE2" localSheetId="17">#REF!</definedName>
    <definedName name="\TABLE2">#REF!</definedName>
    <definedName name="\TABLEA" localSheetId="17">#REF!</definedName>
    <definedName name="\TABLEA">#REF!</definedName>
    <definedName name="\TBL1" localSheetId="17">#REF!</definedName>
    <definedName name="\TBL1">#REF!</definedName>
    <definedName name="\TBL2" localSheetId="17">#REF!</definedName>
    <definedName name="\TBL2">#REF!</definedName>
    <definedName name="\TBL3" localSheetId="17">#REF!</definedName>
    <definedName name="\TBL3">#REF!</definedName>
    <definedName name="\TBL4" localSheetId="17">#REF!</definedName>
    <definedName name="\TBL4">#REF!</definedName>
    <definedName name="\TBL5" localSheetId="17">#REF!</definedName>
    <definedName name="\TBL5">#REF!</definedName>
    <definedName name="\W" localSheetId="17">#REF!</definedName>
    <definedName name="\W">#REF!</definedName>
    <definedName name="\WORK1" localSheetId="17">#REF!</definedName>
    <definedName name="\WORK1">#REF!</definedName>
    <definedName name="\X" localSheetId="17">#REF!</definedName>
    <definedName name="\X">#REF!</definedName>
    <definedName name="\Z" localSheetId="17">#REF!</definedName>
    <definedName name="\Z">#REF!</definedName>
    <definedName name="__123Graph_A" localSheetId="9" hidden="1">'Exhibit RMP-(WRG-5)'!$C$116:$C$125</definedName>
    <definedName name="__123Graph_A" localSheetId="17" hidden="1">MPA!#REF!</definedName>
    <definedName name="__123Graph_A" localSheetId="3" hidden="1">[3]Inputs!#REF!</definedName>
    <definedName name="__123Graph_A" hidden="1">[3]Inputs!#REF!</definedName>
    <definedName name="__123Graph_AGRAPH1" localSheetId="9" hidden="1">'Exhibit RMP-(WRG-5)'!$C$728:$C$728</definedName>
    <definedName name="__123Graph_AGRAPH1" localSheetId="17" hidden="1">MPA!#REF!</definedName>
    <definedName name="__123Graph_B" localSheetId="9" hidden="1">'Exhibit RMP-(WRG-5)'!#REF!</definedName>
    <definedName name="__123Graph_B" localSheetId="17" hidden="1">MPA!#REF!</definedName>
    <definedName name="__123Graph_B" localSheetId="3" hidden="1">[3]Inputs!#REF!</definedName>
    <definedName name="__123Graph_B" hidden="1">[3]Inputs!#REF!</definedName>
    <definedName name="__123Graph_C" localSheetId="9" hidden="1">'Exhibit RMP-(WRG-5)'!#REF!</definedName>
    <definedName name="__123Graph_C" localSheetId="17" hidden="1">MPA!#REF!</definedName>
    <definedName name="__123Graph_D" localSheetId="9" hidden="1">'Exhibit RMP-(WRG-5)'!#REF!</definedName>
    <definedName name="__123Graph_D" localSheetId="17" hidden="1">MPA!#REF!</definedName>
    <definedName name="__123Graph_D" hidden="1">[3]Inputs!#REF!</definedName>
    <definedName name="__123Graph_E" localSheetId="9" hidden="1">'Exhibit RMP-(WRG-5)'!#REF!</definedName>
    <definedName name="__123Graph_E" localSheetId="17" hidden="1">MPA!#REF!</definedName>
    <definedName name="__123Graph_F" localSheetId="9" hidden="1">'Exhibit RMP-(WRG-5)'!$G$116:$G$125</definedName>
    <definedName name="__123Graph_F" localSheetId="17" hidden="1">MPA!$E$73:$E$82</definedName>
    <definedName name="__MEN2" localSheetId="17">[1]Jan!#REF!</definedName>
    <definedName name="__MEN3" localSheetId="2">[1]Jan!#REF!</definedName>
    <definedName name="__MEN3" localSheetId="17">[1]Jan!#REF!</definedName>
    <definedName name="__MEN3" localSheetId="3">[1]Jan!#REF!</definedName>
    <definedName name="__MEN3">[4]Jan!#REF!</definedName>
    <definedName name="__TOP1" localSheetId="2">[1]Jan!#REF!</definedName>
    <definedName name="__TOP1" localSheetId="17">[1]Jan!#REF!</definedName>
    <definedName name="__TOP1" localSheetId="3">[1]Jan!#REF!</definedName>
    <definedName name="__TOP1">[4]Jan!#REF!</definedName>
    <definedName name="_1Price_Ta" localSheetId="3">#REF!</definedName>
    <definedName name="_1Price_Ta">#REF!</definedName>
    <definedName name="_3Price_Ta" localSheetId="17">#REF!</definedName>
    <definedName name="_3Price_Ta" localSheetId="3">#REF!</definedName>
    <definedName name="_3Price_Ta">#REF!</definedName>
    <definedName name="_5Price_Ta">#REF!</definedName>
    <definedName name="_ACT41110">#REF!</definedName>
    <definedName name="_B" localSheetId="17">#REF!</definedName>
    <definedName name="_B">#REF!</definedName>
    <definedName name="_BLOCK" localSheetId="2">#REF!</definedName>
    <definedName name="_BLOCK" localSheetId="17">#REF!</definedName>
    <definedName name="_BLOCK">#REF!</definedName>
    <definedName name="_BLOCKT" localSheetId="2">#REF!</definedName>
    <definedName name="_BLOCKT" localSheetId="17">#REF!</definedName>
    <definedName name="_BLOCKT">#REF!</definedName>
    <definedName name="_COMP" localSheetId="2">#REF!</definedName>
    <definedName name="_COMP" localSheetId="17">#REF!</definedName>
    <definedName name="_COMP">#REF!</definedName>
    <definedName name="_COMPR" localSheetId="2">#REF!</definedName>
    <definedName name="_COMPR" localSheetId="17">#REF!</definedName>
    <definedName name="_COMPR">#REF!</definedName>
    <definedName name="_COMPT" localSheetId="2">#REF!</definedName>
    <definedName name="_COMPT" localSheetId="17">#REF!</definedName>
    <definedName name="_COMPT">#REF!</definedName>
    <definedName name="_Dist_Values" localSheetId="9" hidden="1">'Exhibit RMP-(WRG-5)'!#REF!</definedName>
    <definedName name="_Dist_Values" localSheetId="17" hidden="1">MPA!#REF!</definedName>
    <definedName name="_Fill" localSheetId="2" hidden="1">#REF!</definedName>
    <definedName name="_Fill" localSheetId="9" hidden="1">'Exhibit RMP-(WRG-5)'!#REF!</definedName>
    <definedName name="_Fill" localSheetId="17" hidden="1">MPA!#REF!</definedName>
    <definedName name="_Fill" localSheetId="3" hidden="1">#REF!</definedName>
    <definedName name="_Fill" hidden="1">#REF!</definedName>
    <definedName name="_xlnm._FilterDatabase" localSheetId="9" hidden="1">'Exhibit RMP-(WRG-5)'!$K$1:$K$856</definedName>
    <definedName name="_xlnm._FilterDatabase" localSheetId="17" hidden="1">MPA!$G$1:$G$533</definedName>
    <definedName name="_Key1" localSheetId="2" hidden="1">#REF!</definedName>
    <definedName name="_Key1" localSheetId="6" hidden="1">#REF!</definedName>
    <definedName name="_Key1" localSheetId="9" hidden="1">#REF!</definedName>
    <definedName name="_Key1" localSheetId="17" hidden="1">#REF!</definedName>
    <definedName name="_Key1" localSheetId="3" hidden="1">#REF!</definedName>
    <definedName name="_Key1" localSheetId="16" hidden="1">#REF!</definedName>
    <definedName name="_Key1" hidden="1">#REF!</definedName>
    <definedName name="_Key2" localSheetId="2" hidden="1">#REF!</definedName>
    <definedName name="_Key2" localSheetId="6" hidden="1">#REF!</definedName>
    <definedName name="_Key2" localSheetId="9" hidden="1">#REF!</definedName>
    <definedName name="_Key2" localSheetId="17" hidden="1">#REF!</definedName>
    <definedName name="_Key2" localSheetId="3" hidden="1">#REF!</definedName>
    <definedName name="_Key2" localSheetId="16" hidden="1">#REF!</definedName>
    <definedName name="_Key2" hidden="1">#REF!</definedName>
    <definedName name="_MEN2" localSheetId="17">[1]Jan!#REF!</definedName>
    <definedName name="_MEN2" localSheetId="3">[1]Jan!#REF!</definedName>
    <definedName name="_MEN2">[1]Jan!#REF!</definedName>
    <definedName name="_MEN3" localSheetId="17">[1]Jan!#REF!</definedName>
    <definedName name="_MEN3" localSheetId="3">[1]Jan!#REF!</definedName>
    <definedName name="_MEN3">[1]Jan!#REF!</definedName>
    <definedName name="_Order1" localSheetId="2" hidden="1">255</definedName>
    <definedName name="_Order1" localSheetId="6" hidden="1">255</definedName>
    <definedName name="_Order1" localSheetId="3" hidden="1">255</definedName>
    <definedName name="_Order1" localSheetId="16" hidden="1">255</definedName>
    <definedName name="_Order1" hidden="1">255</definedName>
    <definedName name="_Order2" localSheetId="2" hidden="1">255</definedName>
    <definedName name="_Order2" localSheetId="6" hidden="1">255</definedName>
    <definedName name="_Order2" localSheetId="3" hidden="1">255</definedName>
    <definedName name="_Order2" localSheetId="16" hidden="1">255</definedName>
    <definedName name="_Order2" hidden="1">255</definedName>
    <definedName name="_P" localSheetId="17">#REF!</definedName>
    <definedName name="_P" localSheetId="3">#REF!</definedName>
    <definedName name="_P">#REF!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localSheetId="6" hidden="1">#REF!</definedName>
    <definedName name="_Sort" localSheetId="9" hidden="1">#REF!</definedName>
    <definedName name="_Sort" localSheetId="17" hidden="1">#REF!</definedName>
    <definedName name="_Sort" localSheetId="3" hidden="1">#REF!</definedName>
    <definedName name="_Sort" localSheetId="16" hidden="1">#REF!</definedName>
    <definedName name="_Sort" hidden="1">#REF!</definedName>
    <definedName name="_SPL" localSheetId="2">#REF!</definedName>
    <definedName name="_SPL" localSheetId="17">#REF!</definedName>
    <definedName name="_SPL">#REF!</definedName>
    <definedName name="_TOP1" localSheetId="17">[1]Jan!#REF!</definedName>
    <definedName name="_TOP1" localSheetId="3">[1]Jan!#REF!</definedName>
    <definedName name="_TOP1">[1]Jan!#REF!</definedName>
    <definedName name="a" localSheetId="2" hidden="1">#REF!</definedName>
    <definedName name="a" localSheetId="3" hidden="1">#REF!</definedName>
    <definedName name="a" hidden="1">#REF!</definedName>
    <definedName name="A_36" localSheetId="17">#REF!</definedName>
    <definedName name="A_36">#REF!</definedName>
    <definedName name="ABSTRACT" localSheetId="2">#REF!</definedName>
    <definedName name="ABSTRACT" localSheetId="17">#REF!</definedName>
    <definedName name="ABSTRACT">#REF!</definedName>
    <definedName name="Acct103">#REF!</definedName>
    <definedName name="Acct105">#REF!</definedName>
    <definedName name="Acct105S">#REF!</definedName>
    <definedName name="Acct105SEU">#REF!</definedName>
    <definedName name="Acct105SGG">#REF!</definedName>
    <definedName name="Acct105SGP1">#REF!</definedName>
    <definedName name="Acct105SGP2">#REF!</definedName>
    <definedName name="Acct105SGT">#REF!</definedName>
    <definedName name="Acct1081390">#REF!</definedName>
    <definedName name="Acct1081390RCL">#REF!</definedName>
    <definedName name="Acct1081390SOU">#REF!</definedName>
    <definedName name="Acct1081399">#REF!</definedName>
    <definedName name="Acct1081399RCL">#REF!</definedName>
    <definedName name="Acct1081399S">#REF!</definedName>
    <definedName name="Acct1081399SEP">#REF!</definedName>
    <definedName name="Acct108360">#REF!</definedName>
    <definedName name="Acct108360S">#REF!</definedName>
    <definedName name="Acct108361">#REF!</definedName>
    <definedName name="Acct108361S">#REF!</definedName>
    <definedName name="Acct108362">#REF!</definedName>
    <definedName name="Acct108362S">#REF!</definedName>
    <definedName name="Acct108364">#REF!</definedName>
    <definedName name="Acct108364S">#REF!</definedName>
    <definedName name="Acct108365">#REF!</definedName>
    <definedName name="Acct108365S">#REF!</definedName>
    <definedName name="Acct108366">#REF!</definedName>
    <definedName name="Acct108366S">#REF!</definedName>
    <definedName name="Acct108367">#REF!</definedName>
    <definedName name="Acct108367S">#REF!</definedName>
    <definedName name="Acct108368">#REF!</definedName>
    <definedName name="Acct108368S">#REF!</definedName>
    <definedName name="Acct108369">#REF!</definedName>
    <definedName name="Acct108369S">#REF!</definedName>
    <definedName name="Acct108370">#REF!</definedName>
    <definedName name="Acct108370S">#REF!</definedName>
    <definedName name="Acct108371">#REF!</definedName>
    <definedName name="Acct108371S">#REF!</definedName>
    <definedName name="Acct108372">#REF!</definedName>
    <definedName name="Acct108372S">#REF!</definedName>
    <definedName name="Acct108373">#REF!</definedName>
    <definedName name="Acct108373S">#REF!</definedName>
    <definedName name="Acct108D">#REF!</definedName>
    <definedName name="Acct108D_S" localSheetId="2">[5]FuncStudy!$F$2067</definedName>
    <definedName name="Acct108D_S" localSheetId="3">[5]FuncStudy!$F$2067</definedName>
    <definedName name="Acct108D_S">'[6]Func Study'!$H$2448</definedName>
    <definedName name="Acct108D00">#REF!</definedName>
    <definedName name="Acct108D00S" localSheetId="2">[5]FuncStudy!$F$2059</definedName>
    <definedName name="Acct108D00S" localSheetId="3">[5]FuncStudy!$F$2059</definedName>
    <definedName name="Acct108D00S">'[6]Func Study'!$H$2440</definedName>
    <definedName name="Acct108DOTH">#REF!</definedName>
    <definedName name="Acct108DS">#REF!</definedName>
    <definedName name="Acct108DSS" localSheetId="2">[5]FuncStudy!$F$2063</definedName>
    <definedName name="Acct108DSS" localSheetId="3">[5]FuncStudy!$F$2063</definedName>
    <definedName name="Acct108DSS">'[6]Func Study'!$H$2444</definedName>
    <definedName name="Acct108EP">#REF!</definedName>
    <definedName name="Acct108EPDGP">#REF!</definedName>
    <definedName name="Acct108EPSGP">#REF!</definedName>
    <definedName name="Acct108GP">#REF!</definedName>
    <definedName name="Acct108GPCN">#REF!</definedName>
    <definedName name="Acct108GPS">#REF!</definedName>
    <definedName name="Acct108GPSE">#REF!</definedName>
    <definedName name="Acct108GPSEU">#REF!</definedName>
    <definedName name="Acct108GPSG">#REF!</definedName>
    <definedName name="Acct108GPSGP">#REF!</definedName>
    <definedName name="Acct108GPSGU">#REF!</definedName>
    <definedName name="Acct108GPSO">#REF!</definedName>
    <definedName name="ACCT108GPSSGCH">#REF!</definedName>
    <definedName name="ACCT108GPSSGCT">#REF!</definedName>
    <definedName name="Acct108HP">#REF!</definedName>
    <definedName name="Acct108HPDGP">#REF!</definedName>
    <definedName name="Acct108HPDGU">#REF!</definedName>
    <definedName name="Acct108HPSG">#REF!</definedName>
    <definedName name="Acct108MP">#REF!</definedName>
    <definedName name="Acct108MPDOTH">#REF!</definedName>
    <definedName name="Acct108MPS">#REF!</definedName>
    <definedName name="Acct108MPSEU">#REF!</definedName>
    <definedName name="Acct108NP">#REF!</definedName>
    <definedName name="Acct108NPDGP">#REF!</definedName>
    <definedName name="Acct108NPDGU">#REF!</definedName>
    <definedName name="Acct108NPSGU">#REF!</definedName>
    <definedName name="Acct108OP">#REF!</definedName>
    <definedName name="Acct108OPDGU">#REF!</definedName>
    <definedName name="Acct108OPS">#REF!</definedName>
    <definedName name="Acct108OPSG">#REF!</definedName>
    <definedName name="Acct108OPSGP">#REF!</definedName>
    <definedName name="Acct108OPSSGCT">#REF!</definedName>
    <definedName name="Acct108SEP">#REF!</definedName>
    <definedName name="Acct108SGP">#REF!</definedName>
    <definedName name="Acct108SGU">#REF!</definedName>
    <definedName name="Acct108SOU">#REF!</definedName>
    <definedName name="Acct108SP">#REF!</definedName>
    <definedName name="Acct108SPDGP">#REF!</definedName>
    <definedName name="Acct108SPDGU">#REF!</definedName>
    <definedName name="Acct108SPSGP">#REF!</definedName>
    <definedName name="Acct108TP">#REF!</definedName>
    <definedName name="Acct108TPDGP">#REF!</definedName>
    <definedName name="Acct108TPDGU">#REF!</definedName>
    <definedName name="Acct108TPSGU">#REF!</definedName>
    <definedName name="Acct111390">#REF!</definedName>
    <definedName name="Acct111CLG">#REF!</definedName>
    <definedName name="Acct111CLGDGP">#REF!</definedName>
    <definedName name="Acct111CLGS">#REF!</definedName>
    <definedName name="Acct111CLGSGP">#REF!</definedName>
    <definedName name="Acct111CLGSOP">#REF!</definedName>
    <definedName name="Acct111CLGSOU">#REF!</definedName>
    <definedName name="Acct111CLH">#REF!</definedName>
    <definedName name="Acct111CLHDGP">#REF!</definedName>
    <definedName name="Acct111CLHDGU">#REF!</definedName>
    <definedName name="Acct111CLS">#REF!</definedName>
    <definedName name="Acct111CLSDGP">#REF!</definedName>
    <definedName name="Acct111CLSSGP">#REF!</definedName>
    <definedName name="Acct111DOTH">#REF!</definedName>
    <definedName name="Acct111IP">#REF!</definedName>
    <definedName name="Acct111IPCN">#REF!</definedName>
    <definedName name="Acct111IPS">#REF!</definedName>
    <definedName name="Acct111IPSE">#REF!</definedName>
    <definedName name="Acct111IPSG">#REF!</definedName>
    <definedName name="Acct111IPSGP">#REF!</definedName>
    <definedName name="Acct111IPSGU">#REF!</definedName>
    <definedName name="Acct111IPSO">#REF!</definedName>
    <definedName name="ACCT111IPSSGCH">#REF!</definedName>
    <definedName name="ACCT111IPSSGCT">#REF!</definedName>
    <definedName name="Acct111S">#REF!</definedName>
    <definedName name="Acct111SGP">#REF!</definedName>
    <definedName name="Acct111SGU">#REF!</definedName>
    <definedName name="Acct111SOP">#REF!</definedName>
    <definedName name="Acct114">#REF!</definedName>
    <definedName name="Acct114DGP">#REF!</definedName>
    <definedName name="Acct114S">#REF!</definedName>
    <definedName name="Acct114SG">#REF!</definedName>
    <definedName name="Acct120">#REF!</definedName>
    <definedName name="Acct120SE">#REF!</definedName>
    <definedName name="Acct124">#REF!</definedName>
    <definedName name="Acct124S">#REF!</definedName>
    <definedName name="Acct124SO">#REF!</definedName>
    <definedName name="Acct141">#REF!</definedName>
    <definedName name="Acct141DGU">#REF!</definedName>
    <definedName name="Acct151">#REF!</definedName>
    <definedName name="Acct151SE" localSheetId="3">'[6]Func Study'!#REF!</definedName>
    <definedName name="Acct151SE">'[6]Func Study'!#REF!</definedName>
    <definedName name="Acct152">#REF!</definedName>
    <definedName name="Acct152SE">#REF!</definedName>
    <definedName name="Acct154">#REF!</definedName>
    <definedName name="Acct154S">#REF!</definedName>
    <definedName name="Acct154SE">#REF!</definedName>
    <definedName name="Acct154SG">#REF!</definedName>
    <definedName name="Acct154SG1">#REF!</definedName>
    <definedName name="Acct154SG2">#REF!</definedName>
    <definedName name="Acct154SNPD">#REF!</definedName>
    <definedName name="Acct154SNPP">#REF!</definedName>
    <definedName name="Acct154SNPPH">#REF!</definedName>
    <definedName name="Acct154SNPPS">#REF!</definedName>
    <definedName name="Acct154SNPT">#REF!</definedName>
    <definedName name="Acct154SO">#REF!</definedName>
    <definedName name="ACCT154SSGCT">#REF!</definedName>
    <definedName name="Acct163">#REF!</definedName>
    <definedName name="Acct163SO">#REF!</definedName>
    <definedName name="Acct165">#REF!</definedName>
    <definedName name="Acct165GPS">#REF!</definedName>
    <definedName name="Acct165S">#REF!</definedName>
    <definedName name="Acct165SE">#REF!</definedName>
    <definedName name="Acct165SG">#REF!</definedName>
    <definedName name="Acct165SO">#REF!</definedName>
    <definedName name="Acct182">#REF!</definedName>
    <definedName name="Acct18221">#REF!</definedName>
    <definedName name="Acct18221S">#REF!</definedName>
    <definedName name="Acct18222">#REF!</definedName>
    <definedName name="Acct18222SE">#REF!</definedName>
    <definedName name="Acct18222TROJD">#REF!</definedName>
    <definedName name="Acct18222TROJP">#REF!</definedName>
    <definedName name="Acct182CS">#REF!</definedName>
    <definedName name="Acct182CSP">#REF!</definedName>
    <definedName name="Acct182M">#REF!</definedName>
    <definedName name="Acct182MS">#REF!</definedName>
    <definedName name="Acct182MSE">#REF!</definedName>
    <definedName name="Acct182MSG">#REF!</definedName>
    <definedName name="Acct182MSO">#REF!</definedName>
    <definedName name="Acct182S">#REF!</definedName>
    <definedName name="Acct182SG">#REF!</definedName>
    <definedName name="Acct182SO">#REF!</definedName>
    <definedName name="Acct186">#REF!</definedName>
    <definedName name="Acct1869">#REF!</definedName>
    <definedName name="Acct1869DNPPNP">#REF!</definedName>
    <definedName name="Acct1869S">#REF!</definedName>
    <definedName name="Acct186CN">#REF!</definedName>
    <definedName name="Acct186CNP">#REF!</definedName>
    <definedName name="Acct186CS">#REF!</definedName>
    <definedName name="Acct186CSP">#REF!</definedName>
    <definedName name="Acct186M">#REF!</definedName>
    <definedName name="Acct186MDNPPS">#REF!</definedName>
    <definedName name="Acct186MEXCTAX">#REF!</definedName>
    <definedName name="Acct186MS">#REF!</definedName>
    <definedName name="Acct186MSE">#REF!</definedName>
    <definedName name="Acct186MSG1">#REF!</definedName>
    <definedName name="Acct186MSG2">#REF!</definedName>
    <definedName name="Acct186MSG3">#REF!</definedName>
    <definedName name="Acct186MSO">#REF!</definedName>
    <definedName name="Acct186S">#REF!</definedName>
    <definedName name="Acct186SE">#REF!</definedName>
    <definedName name="Acct186SG">#REF!</definedName>
    <definedName name="Acct186SO">#REF!</definedName>
    <definedName name="Acct190">#REF!</definedName>
    <definedName name="Acct190BADDEBT">#REF!</definedName>
    <definedName name="ACCT190CN">#REF!</definedName>
    <definedName name="Acct190DGP">#REF!</definedName>
    <definedName name="Acct190DOP">#REF!</definedName>
    <definedName name="ACCT190IBT">#REF!</definedName>
    <definedName name="Acct190S">#REF!</definedName>
    <definedName name="Acct190SE">#REF!</definedName>
    <definedName name="Acct190SG">#REF!</definedName>
    <definedName name="Acct190SNP">#REF!</definedName>
    <definedName name="ACCT190SSGCT">#REF!</definedName>
    <definedName name="Acct190TROJP">#REF!</definedName>
    <definedName name="Acct200DGP">#REF!</definedName>
    <definedName name="Acct200S">#REF!</definedName>
    <definedName name="Acct200SE">#REF!</definedName>
    <definedName name="Acct200SG">#REF!</definedName>
    <definedName name="Acct200SNP">#REF!</definedName>
    <definedName name="Acct200SO">#REF!</definedName>
    <definedName name="Acct228.42TROJD" localSheetId="2">'[7]Func Study'!#REF!</definedName>
    <definedName name="Acct228.42TROJD" localSheetId="17">'[7]Func Study'!#REF!</definedName>
    <definedName name="Acct228.42TROJD" localSheetId="3">'[7]Func Study'!#REF!</definedName>
    <definedName name="Acct228.42TROJD">[8]FuncStudy!$F$1867</definedName>
    <definedName name="ACCT2281" localSheetId="2">[5]FuncStudy!$F$1848</definedName>
    <definedName name="ACCT2281" localSheetId="3">[5]FuncStudy!$F$1848</definedName>
    <definedName name="ACCT2281">'[6]Func Study'!$H$2216</definedName>
    <definedName name="Acct2282" localSheetId="2">[5]FuncStudy!$F$1852</definedName>
    <definedName name="Acct2282" localSheetId="3">[5]FuncStudy!$F$1852</definedName>
    <definedName name="Acct2282">'[6]Func Study'!$H$2220</definedName>
    <definedName name="Acct2283" localSheetId="2">[5]FuncStudy!$F$1857</definedName>
    <definedName name="Acct2283" localSheetId="3">[5]FuncStudy!$F$1857</definedName>
    <definedName name="Acct2283">'[6]Func Study'!$H$2224</definedName>
    <definedName name="Acct2283S" localSheetId="2">[5]FuncStudy!$F$1861</definedName>
    <definedName name="Acct2283S" localSheetId="3">[5]FuncStudy!$F$1861</definedName>
    <definedName name="Acct2283S">'[6]Func Study'!$H$2228</definedName>
    <definedName name="Acct22842" localSheetId="2">[5]FuncStudy!$F$1870</definedName>
    <definedName name="Acct22842" localSheetId="3">[5]FuncStudy!$F$1870</definedName>
    <definedName name="Acct22842">'[6]Func Study'!$H$2237</definedName>
    <definedName name="Acct22842TROJD" localSheetId="17">'[7]Func Study'!#REF!</definedName>
    <definedName name="Acct22842TROJD" localSheetId="3">'[7]Func Study'!#REF!</definedName>
    <definedName name="Acct22842TROJD">'[7]Func Study'!#REF!</definedName>
    <definedName name="Acct228SO" localSheetId="2">[5]FuncStudy!$F$1851</definedName>
    <definedName name="Acct228SO" localSheetId="3">[5]FuncStudy!$F$1851</definedName>
    <definedName name="Acct228SO">'[6]Func Study'!$H$2219</definedName>
    <definedName name="Acct235">#REF!</definedName>
    <definedName name="Acct235CSU">#REF!</definedName>
    <definedName name="Acct252">#REF!</definedName>
    <definedName name="Acct252CN">#REF!</definedName>
    <definedName name="Acct252DNPDP">#REF!</definedName>
    <definedName name="Acct252S">#REF!</definedName>
    <definedName name="Acct252SG">#REF!</definedName>
    <definedName name="Acct252SO">#REF!</definedName>
    <definedName name="Acct25316">#REF!</definedName>
    <definedName name="Acct25316SE">#REF!</definedName>
    <definedName name="Acct25317">#REF!</definedName>
    <definedName name="Acct25317SE">#REF!</definedName>
    <definedName name="Acct25318">#REF!</definedName>
    <definedName name="Acct25318DNPPU">#REF!</definedName>
    <definedName name="Acct25319">#REF!</definedName>
    <definedName name="Acct25319SE">#REF!</definedName>
    <definedName name="ACCT25398" localSheetId="2">[5]FuncStudy!$F$1882</definedName>
    <definedName name="ACCT25398" localSheetId="3">[5]FuncStudy!$F$1882</definedName>
    <definedName name="ACCT25398">'[6]Func Study'!$H$2249</definedName>
    <definedName name="Acct25399" localSheetId="2">[5]FuncStudy!$F$1889</definedName>
    <definedName name="Acct25399" localSheetId="3">[5]FuncStudy!$F$1889</definedName>
    <definedName name="Acct25399">'[6]Func Study'!$H$2256</definedName>
    <definedName name="Acct25399SE">#REF!</definedName>
    <definedName name="Acct25399SG">#REF!</definedName>
    <definedName name="Acct25399SO">#REF!</definedName>
    <definedName name="Acct254" localSheetId="2">[5]FuncStudy!$F$1866</definedName>
    <definedName name="Acct254" localSheetId="3">[5]FuncStudy!$F$1866</definedName>
    <definedName name="Acct254">'[6]Func Study'!$H$2233</definedName>
    <definedName name="ACCT254S">#REF!</definedName>
    <definedName name="ACCT254SO">#REF!</definedName>
    <definedName name="Acct255">#REF!</definedName>
    <definedName name="Acct255DGU">#REF!</definedName>
    <definedName name="Acct255ITC84">#REF!</definedName>
    <definedName name="Acct255ITC85">#REF!</definedName>
    <definedName name="Acct255ITC86">#REF!</definedName>
    <definedName name="Acct255ITC88">#REF!</definedName>
    <definedName name="Acct255ITC89">#REF!</definedName>
    <definedName name="Acct255ITC90">#REF!</definedName>
    <definedName name="Acct255S">#REF!</definedName>
    <definedName name="Acct281">#REF!</definedName>
    <definedName name="Acct281DGP">#REF!</definedName>
    <definedName name="Acct281DNPTU">#REF!</definedName>
    <definedName name="Acct282">#REF!</definedName>
    <definedName name="Acct282CN">#REF!</definedName>
    <definedName name="Acct282DITBAL" localSheetId="2">[5]FuncStudy!$F$1914</definedName>
    <definedName name="Acct282DITBAL" localSheetId="3">[5]FuncStudy!$F$1914</definedName>
    <definedName name="Acct282DITBAL">[8]FuncStudy!$F$1912</definedName>
    <definedName name="Acct282S">#REF!</definedName>
    <definedName name="Acct282SE">#REF!</definedName>
    <definedName name="Acct282SG">#REF!</definedName>
    <definedName name="Acct282SGP">#REF!</definedName>
    <definedName name="Acct282SO">#REF!</definedName>
    <definedName name="Acct283">#REF!</definedName>
    <definedName name="Acct283GPS">#REF!</definedName>
    <definedName name="Acct283S">#REF!</definedName>
    <definedName name="Acct283SE">#REF!</definedName>
    <definedName name="Acct283SG">#REF!</definedName>
    <definedName name="ACCT283SGCT">#REF!</definedName>
    <definedName name="Acct283SNP">#REF!</definedName>
    <definedName name="ACCT283SNPD">#REF!</definedName>
    <definedName name="Acct283SO">#REF!</definedName>
    <definedName name="ACCT283SSGCH">#REF!</definedName>
    <definedName name="Acct283TROJD">#REF!</definedName>
    <definedName name="Acct300">#REF!</definedName>
    <definedName name="Acct300DGP">#REF!</definedName>
    <definedName name="Acct300DGU">#REF!</definedName>
    <definedName name="Acct300S">#REF!</definedName>
    <definedName name="Acct300SEP">#REF!</definedName>
    <definedName name="Acct300SGP">#REF!</definedName>
    <definedName name="Acct300SOU">#REF!</definedName>
    <definedName name="Acct301">#REF!</definedName>
    <definedName name="Acct301S">#REF!</definedName>
    <definedName name="Acct301SG">#REF!</definedName>
    <definedName name="Acct301SGP">#REF!</definedName>
    <definedName name="Acct301SO">#REF!</definedName>
    <definedName name="Acct302">#REF!</definedName>
    <definedName name="Acct302S">#REF!</definedName>
    <definedName name="Acct302SG">#REF!</definedName>
    <definedName name="Acct302SGP">#REF!</definedName>
    <definedName name="Acct302SGU">#REF!</definedName>
    <definedName name="Acct303">#REF!</definedName>
    <definedName name="Acct303CN">#REF!</definedName>
    <definedName name="Acct303S">#REF!</definedName>
    <definedName name="Acct303SE">#REF!</definedName>
    <definedName name="Acct303SG">#REF!</definedName>
    <definedName name="Acct303SGP">#REF!</definedName>
    <definedName name="Acct303SO">#REF!</definedName>
    <definedName name="ACCT303SSGCT">#REF!</definedName>
    <definedName name="Acct310">#REF!</definedName>
    <definedName name="Acct310DGP">#REF!</definedName>
    <definedName name="Acct310SGU">#REF!</definedName>
    <definedName name="Acct311">#REF!</definedName>
    <definedName name="Acct311DGP">#REF!</definedName>
    <definedName name="Acct312">#REF!</definedName>
    <definedName name="Acct312SGP">#REF!</definedName>
    <definedName name="Acct314">#REF!</definedName>
    <definedName name="Acct314SGP">#REF!</definedName>
    <definedName name="Acct315">#REF!</definedName>
    <definedName name="Acct315SGP">#REF!</definedName>
    <definedName name="Acct316">#REF!</definedName>
    <definedName name="Acct316SGP">#REF!</definedName>
    <definedName name="Acct320">#REF!</definedName>
    <definedName name="Acct320DGP">#REF!</definedName>
    <definedName name="Acct321">#REF!</definedName>
    <definedName name="Acct321DGP">#REF!</definedName>
    <definedName name="Acct322">#REF!</definedName>
    <definedName name="Acct322DGP">#REF!</definedName>
    <definedName name="Acct323">#REF!</definedName>
    <definedName name="Acct323DGP">#REF!</definedName>
    <definedName name="Acct324">#REF!</definedName>
    <definedName name="Acct324DGP">#REF!</definedName>
    <definedName name="Acct325">#REF!</definedName>
    <definedName name="Acct325DGP">#REF!</definedName>
    <definedName name="Acct33">#REF!</definedName>
    <definedName name="Acct330">#REF!</definedName>
    <definedName name="Acct330SGP">#REF!</definedName>
    <definedName name="Acct331">#REF!</definedName>
    <definedName name="Acct331DGP">#REF!</definedName>
    <definedName name="Acct332">#REF!</definedName>
    <definedName name="Acct332DGP">#REF!</definedName>
    <definedName name="Acct333">#REF!</definedName>
    <definedName name="Acct333DGP">#REF!</definedName>
    <definedName name="Acct334">#REF!</definedName>
    <definedName name="Acct334DGP">#REF!</definedName>
    <definedName name="Acct335">#REF!</definedName>
    <definedName name="Acct335DGP">#REF!</definedName>
    <definedName name="Acct336">#REF!</definedName>
    <definedName name="Acct336SGP">#REF!</definedName>
    <definedName name="Acct340">#REF!</definedName>
    <definedName name="Acct340DGU">#REF!</definedName>
    <definedName name="Acct340SGU">#REF!</definedName>
    <definedName name="ACCT340SSGCT">#REF!</definedName>
    <definedName name="Acct341">#REF!</definedName>
    <definedName name="Acct341DGU">#REF!</definedName>
    <definedName name="Acct341SGU">#REF!</definedName>
    <definedName name="Acct342">#REF!</definedName>
    <definedName name="Acct342DGU">#REF!</definedName>
    <definedName name="Acct342SGU">#REF!</definedName>
    <definedName name="Acct343">#REF!</definedName>
    <definedName name="Acct343DGU">#REF!</definedName>
    <definedName name="Acct343S">#REF!</definedName>
    <definedName name="Acct343SGU">#REF!</definedName>
    <definedName name="Acct344">#REF!</definedName>
    <definedName name="Acct344S">#REF!</definedName>
    <definedName name="Acct344SGP">#REF!</definedName>
    <definedName name="Acct344SGU">#REF!</definedName>
    <definedName name="Acct345">#REF!</definedName>
    <definedName name="Acct345DGU">#REF!</definedName>
    <definedName name="Acct345SGU">#REF!</definedName>
    <definedName name="Acct346">#REF!</definedName>
    <definedName name="Acct346DGU">#REF!</definedName>
    <definedName name="Acct346SGU">#REF!</definedName>
    <definedName name="Acct350" localSheetId="2">[5]FuncStudy!$F$1324</definedName>
    <definedName name="Acct350" localSheetId="3">[5]FuncStudy!$F$1324</definedName>
    <definedName name="Acct350">'[6]Func Study'!$H$1660</definedName>
    <definedName name="Acct350SG">#REF!</definedName>
    <definedName name="Acct350SGP">#REF!</definedName>
    <definedName name="Acct350SGU">#REF!</definedName>
    <definedName name="Acct352" localSheetId="2">[5]FuncStudy!$F$1331</definedName>
    <definedName name="Acct352" localSheetId="3">[5]FuncStudy!$F$1331</definedName>
    <definedName name="Acct352">'[6]Func Study'!$H$1667</definedName>
    <definedName name="Acct352S">#REF!</definedName>
    <definedName name="Acct352SG">#REF!</definedName>
    <definedName name="Acct352SGP">#REF!</definedName>
    <definedName name="Acct352SGU">#REF!</definedName>
    <definedName name="Acct353" localSheetId="2">[5]FuncStudy!$F$1337</definedName>
    <definedName name="Acct353" localSheetId="3">[5]FuncStudy!$F$1337</definedName>
    <definedName name="Acct353">'[6]Func Study'!$H$1673</definedName>
    <definedName name="Acct353SG">#REF!</definedName>
    <definedName name="Acct353SGP">#REF!</definedName>
    <definedName name="Acct353SGU">#REF!</definedName>
    <definedName name="Acct354" localSheetId="2">[5]FuncStudy!$F$1343</definedName>
    <definedName name="Acct354" localSheetId="3">[5]FuncStudy!$F$1343</definedName>
    <definedName name="Acct354">'[6]Func Study'!$H$1679</definedName>
    <definedName name="Acct354SG">#REF!</definedName>
    <definedName name="Acct354SGP">#REF!</definedName>
    <definedName name="Acct354SGU">#REF!</definedName>
    <definedName name="Acct355" localSheetId="2">[5]FuncStudy!$F$1349</definedName>
    <definedName name="Acct355" localSheetId="3">[5]FuncStudy!$F$1349</definedName>
    <definedName name="Acct355">'[6]Func Study'!$H$1685</definedName>
    <definedName name="Acct355SG">#REF!</definedName>
    <definedName name="Acct355SGP">#REF!</definedName>
    <definedName name="Acct355SGU">#REF!</definedName>
    <definedName name="Acct356" localSheetId="2">[5]FuncStudy!$F$1355</definedName>
    <definedName name="Acct356" localSheetId="3">[5]FuncStudy!$F$1355</definedName>
    <definedName name="Acct356">'[6]Func Study'!$H$1691</definedName>
    <definedName name="Acct356SG">#REF!</definedName>
    <definedName name="Acct356SGP">#REF!</definedName>
    <definedName name="Acct356SGU">#REF!</definedName>
    <definedName name="Acct357" localSheetId="2">[5]FuncStudy!$F$1361</definedName>
    <definedName name="Acct357" localSheetId="3">[5]FuncStudy!$F$1361</definedName>
    <definedName name="Acct357">'[6]Func Study'!$H$1697</definedName>
    <definedName name="Acct357SG">#REF!</definedName>
    <definedName name="Acct357SGP">#REF!</definedName>
    <definedName name="Acct357SGU">#REF!</definedName>
    <definedName name="Acct358" localSheetId="2">[5]FuncStudy!$F$1367</definedName>
    <definedName name="Acct358" localSheetId="3">[5]FuncStudy!$F$1367</definedName>
    <definedName name="Acct358">'[6]Func Study'!$H$1703</definedName>
    <definedName name="Acct358SG">#REF!</definedName>
    <definedName name="Acct358SGP">#REF!</definedName>
    <definedName name="Acct358SGU">#REF!</definedName>
    <definedName name="Acct359" localSheetId="2">[5]FuncStudy!$F$1373</definedName>
    <definedName name="Acct359" localSheetId="3">[5]FuncStudy!$F$1373</definedName>
    <definedName name="Acct359">'[6]Func Study'!$H$1709</definedName>
    <definedName name="Acct359SG">#REF!</definedName>
    <definedName name="Acct359SGP">#REF!</definedName>
    <definedName name="Acct359SGU">#REF!</definedName>
    <definedName name="Acct360" localSheetId="2">[5]FuncStudy!$F$1389</definedName>
    <definedName name="Acct360" localSheetId="3">[5]FuncStudy!$F$1389</definedName>
    <definedName name="Acct360">'[6]Func Study'!$H$1729</definedName>
    <definedName name="Acct360___Assigned">#REF!</definedName>
    <definedName name="Acct360___Demand__Primary">#REF!</definedName>
    <definedName name="Acct360A">#REF!</definedName>
    <definedName name="Acct360DP">#REF!</definedName>
    <definedName name="Acct361" localSheetId="2">[5]FuncStudy!$F$1395</definedName>
    <definedName name="Acct361" localSheetId="3">[5]FuncStudy!$F$1395</definedName>
    <definedName name="Acct361">'[6]Func Study'!$H$1735</definedName>
    <definedName name="Acct361___Assigned">#REF!</definedName>
    <definedName name="Acct361___Demand__Primary">#REF!</definedName>
    <definedName name="Acct361A">#REF!</definedName>
    <definedName name="Acct361DP">#REF!</definedName>
    <definedName name="Acct362" localSheetId="2">[5]FuncStudy!$F$1401</definedName>
    <definedName name="Acct362" localSheetId="3">[5]FuncStudy!$F$1401</definedName>
    <definedName name="Acct362">'[6]Func Study'!$H$1741</definedName>
    <definedName name="Acct362___Assigned">#REF!</definedName>
    <definedName name="Acct362___Demand__Primary">#REF!</definedName>
    <definedName name="Acct362A">#REF!</definedName>
    <definedName name="Acct362DP">#REF!</definedName>
    <definedName name="Acct364" localSheetId="2">[5]FuncStudy!$F$1408</definedName>
    <definedName name="Acct364" localSheetId="3">[5]FuncStudy!$F$1408</definedName>
    <definedName name="Acct364">'[6]Func Study'!$H$1748</definedName>
    <definedName name="Acct364___Assigned">#REF!</definedName>
    <definedName name="Acct364___Demand__Primary">#REF!</definedName>
    <definedName name="Acct364___Demand__Secondary">#REF!</definedName>
    <definedName name="Acct364A">#REF!</definedName>
    <definedName name="Acct364DP">#REF!</definedName>
    <definedName name="Acct364DS">#REF!</definedName>
    <definedName name="Acct365" localSheetId="2">[5]FuncStudy!$F$1415</definedName>
    <definedName name="Acct365" localSheetId="3">[5]FuncStudy!$F$1415</definedName>
    <definedName name="Acct365">'[6]Func Study'!$H$1755</definedName>
    <definedName name="Acct365___Assigned">#REF!</definedName>
    <definedName name="Acct365___Demand__Primary">#REF!</definedName>
    <definedName name="Acct365___Demand__Secondary">#REF!</definedName>
    <definedName name="Acct365A">#REF!</definedName>
    <definedName name="Acct365DP">#REF!</definedName>
    <definedName name="Acct365DS">#REF!</definedName>
    <definedName name="Acct366" localSheetId="2">[5]FuncStudy!$F$1422</definedName>
    <definedName name="Acct366" localSheetId="3">[5]FuncStudy!$F$1422</definedName>
    <definedName name="Acct366">'[6]Func Study'!$H$1762</definedName>
    <definedName name="Acct366___Assigned">#REF!</definedName>
    <definedName name="Acct366___Demand__Primary">#REF!</definedName>
    <definedName name="Acct366___Demand__Secondary">#REF!</definedName>
    <definedName name="Acct366A">#REF!</definedName>
    <definedName name="Acct366DP">#REF!</definedName>
    <definedName name="Acct366DS">#REF!</definedName>
    <definedName name="Acct367" localSheetId="2">[5]FuncStudy!$F$1429</definedName>
    <definedName name="Acct367" localSheetId="3">[5]FuncStudy!$F$1429</definedName>
    <definedName name="Acct367">'[6]Func Study'!$H$1769</definedName>
    <definedName name="Acct367___Assigned">#REF!</definedName>
    <definedName name="Acct367___Demand__Primary">#REF!</definedName>
    <definedName name="Acct367___Demand__Secondary">#REF!</definedName>
    <definedName name="Acct367A">#REF!</definedName>
    <definedName name="Acct367DP">#REF!</definedName>
    <definedName name="Acct367DS">#REF!</definedName>
    <definedName name="Acct368" localSheetId="2">[5]FuncStudy!$F$1435</definedName>
    <definedName name="Acct368" localSheetId="3">[5]FuncStudy!$F$1435</definedName>
    <definedName name="Acct368">'[6]Func Study'!$H$1775</definedName>
    <definedName name="Acct368___Assigned">#REF!</definedName>
    <definedName name="Acct368___Demand__Secondary">#REF!</definedName>
    <definedName name="Acct368A">#REF!</definedName>
    <definedName name="Acct368DS">#REF!</definedName>
    <definedName name="Acct369" localSheetId="2">[5]FuncStudy!$F$1442</definedName>
    <definedName name="Acct369" localSheetId="3">[5]FuncStudy!$F$1442</definedName>
    <definedName name="Acct369">'[6]Func Study'!$H$1782</definedName>
    <definedName name="Acct369___Assigned">#REF!</definedName>
    <definedName name="Acct369___Customer_OH">#REF!</definedName>
    <definedName name="Acct369___Customer_UG">#REF!</definedName>
    <definedName name="Acct369A">#REF!</definedName>
    <definedName name="Acct369COH">#REF!</definedName>
    <definedName name="Acct369CUG">#REF!</definedName>
    <definedName name="Acct370" localSheetId="2">[5]FuncStudy!$F$1448</definedName>
    <definedName name="Acct370" localSheetId="3">[5]FuncStudy!$F$1448</definedName>
    <definedName name="Acct370">'[6]Func Study'!$H$1793</definedName>
    <definedName name="Acct370___Assigned">#REF!</definedName>
    <definedName name="Acct370___Customer">#REF!</definedName>
    <definedName name="Acct370A">#REF!</definedName>
    <definedName name="Acct370C">#REF!</definedName>
    <definedName name="Acct371" localSheetId="2">[5]FuncStudy!$F$1455</definedName>
    <definedName name="Acct371" localSheetId="3">[5]FuncStudy!$F$1455</definedName>
    <definedName name="Acct371">'[6]Func Study'!$H$1800</definedName>
    <definedName name="Acct371___Assigned">#REF!</definedName>
    <definedName name="Acct371___Demand__Primary">#REF!</definedName>
    <definedName name="Acct371___Demand__Secondary">#REF!</definedName>
    <definedName name="Acct371A">#REF!</definedName>
    <definedName name="Acct371DP">#REF!</definedName>
    <definedName name="Acct371DS">#REF!</definedName>
    <definedName name="Acct372" localSheetId="2">[5]FuncStudy!$F$1462</definedName>
    <definedName name="Acct372" localSheetId="3">[5]FuncStudy!$F$1462</definedName>
    <definedName name="Acct372">'[6]Func Study'!$H$1807</definedName>
    <definedName name="Acct372___Assigned">#REF!</definedName>
    <definedName name="Acct372___Demand__Primary">#REF!</definedName>
    <definedName name="Acct372___Demand__Secondary">#REF!</definedName>
    <definedName name="Acct372A" localSheetId="2">[5]FuncStudy!$F$1461</definedName>
    <definedName name="Acct372A" localSheetId="3">[5]FuncStudy!$F$1461</definedName>
    <definedName name="Acct372A">'[6]Func Study'!$H$1806</definedName>
    <definedName name="Acct372DP" localSheetId="2">[5]FuncStudy!$F$1459</definedName>
    <definedName name="Acct372DP" localSheetId="3">[5]FuncStudy!$F$1459</definedName>
    <definedName name="Acct372DP">'[6]Func Study'!$H$1804</definedName>
    <definedName name="Acct372DS" localSheetId="2">[5]FuncStudy!$F$1460</definedName>
    <definedName name="Acct372DS" localSheetId="3">[5]FuncStudy!$F$1460</definedName>
    <definedName name="Acct372DS">'[6]Func Study'!$H$1805</definedName>
    <definedName name="Acct373" localSheetId="2">[5]FuncStudy!$F$1468</definedName>
    <definedName name="Acct373" localSheetId="3">[5]FuncStudy!$F$1468</definedName>
    <definedName name="Acct373">'[6]Func Study'!$H$1813</definedName>
    <definedName name="Acct373___Customer">#REF!</definedName>
    <definedName name="Acct373___Public_Authority">#REF!</definedName>
    <definedName name="Acct373C">#REF!</definedName>
    <definedName name="Acct373PA">#REF!</definedName>
    <definedName name="Acct389">#REF!</definedName>
    <definedName name="Acct389CN">#REF!</definedName>
    <definedName name="Acct389S">#REF!</definedName>
    <definedName name="Acct389SG">#REF!</definedName>
    <definedName name="Acct389SGP">#REF!</definedName>
    <definedName name="Acct389SGU">#REF!</definedName>
    <definedName name="Acct389SO">#REF!</definedName>
    <definedName name="Acct390">#REF!</definedName>
    <definedName name="Acct390CN">#REF!</definedName>
    <definedName name="Acct390CS">#REF!</definedName>
    <definedName name="ACCT390L">#REF!</definedName>
    <definedName name="Acct390LRCL">#REF!</definedName>
    <definedName name="Acct390LSG">#REF!</definedName>
    <definedName name="Acct390LSOU">#REF!</definedName>
    <definedName name="Acct390S">#REF!</definedName>
    <definedName name="Acct390SGP">#REF!</definedName>
    <definedName name="Acct390SGU">#REF!</definedName>
    <definedName name="Acct390SOP">#REF!</definedName>
    <definedName name="Acct390SOU">#REF!</definedName>
    <definedName name="Acct391">#REF!</definedName>
    <definedName name="Acct391CN">#REF!</definedName>
    <definedName name="Acct391S">#REF!</definedName>
    <definedName name="Acct391SE">#REF!</definedName>
    <definedName name="Acct391SG">#REF!</definedName>
    <definedName name="Acct391SGP">#REF!</definedName>
    <definedName name="Acct391SGU">#REF!</definedName>
    <definedName name="Acct391SO">#REF!</definedName>
    <definedName name="Acct392">#REF!</definedName>
    <definedName name="Acct392CN">#REF!</definedName>
    <definedName name="Acct392L">#REF!</definedName>
    <definedName name="ACCT392LRCL">#REF!</definedName>
    <definedName name="Acct392LSOP">#REF!</definedName>
    <definedName name="Acct392S">#REF!</definedName>
    <definedName name="Acct392SE">#REF!</definedName>
    <definedName name="Acct392SG">#REF!</definedName>
    <definedName name="Acct392SGP">#REF!</definedName>
    <definedName name="Acct392SGU">#REF!</definedName>
    <definedName name="Acct392SO">#REF!</definedName>
    <definedName name="Acct393">#REF!</definedName>
    <definedName name="Acct393S">#REF!</definedName>
    <definedName name="Acct393SG">#REF!</definedName>
    <definedName name="Acct393SGP">#REF!</definedName>
    <definedName name="Acct393SGU">#REF!</definedName>
    <definedName name="Acct393SO">#REF!</definedName>
    <definedName name="Acct394">#REF!</definedName>
    <definedName name="Acct394S">#REF!</definedName>
    <definedName name="Acct394SE">#REF!</definedName>
    <definedName name="Acct394SG">#REF!</definedName>
    <definedName name="Acct394SGP">#REF!</definedName>
    <definedName name="Acct394SGU">#REF!</definedName>
    <definedName name="Acct394SO">#REF!</definedName>
    <definedName name="ACCT394SSGCH">#REF!</definedName>
    <definedName name="ACCT394SSGCT">#REF!</definedName>
    <definedName name="Acct395">#REF!</definedName>
    <definedName name="Acct395S">#REF!</definedName>
    <definedName name="Acct395SEU">#REF!</definedName>
    <definedName name="Acct395SG">#REF!</definedName>
    <definedName name="Acct395SGP">#REF!</definedName>
    <definedName name="Acct395SGU">#REF!</definedName>
    <definedName name="Acct395SO">#REF!</definedName>
    <definedName name="ACCT395SSGCH">#REF!</definedName>
    <definedName name="ACCT395SSGCT">#REF!</definedName>
    <definedName name="Acct396">#REF!</definedName>
    <definedName name="Acct396S">#REF!</definedName>
    <definedName name="Acct396SE">#REF!</definedName>
    <definedName name="Acct396SG">#REF!</definedName>
    <definedName name="Acct396SGP">#REF!</definedName>
    <definedName name="Acct396SGU">#REF!</definedName>
    <definedName name="Acct396SO">#REF!</definedName>
    <definedName name="ACCT396SSGCH">#REF!</definedName>
    <definedName name="ACCT396SSGCT">#REF!</definedName>
    <definedName name="Acct397">#REF!</definedName>
    <definedName name="Acct397CN">#REF!</definedName>
    <definedName name="Acct397S">#REF!</definedName>
    <definedName name="Acct397SE">#REF!</definedName>
    <definedName name="Acct397SG">#REF!</definedName>
    <definedName name="Acct397SGP">#REF!</definedName>
    <definedName name="Acct397SGU">#REF!</definedName>
    <definedName name="Acct397SO">#REF!</definedName>
    <definedName name="ACCT397SSGCH">#REF!</definedName>
    <definedName name="ACCT397SSGCT">#REF!</definedName>
    <definedName name="Acct398">#REF!</definedName>
    <definedName name="Acct398CN">#REF!</definedName>
    <definedName name="Acct398S">#REF!</definedName>
    <definedName name="Acct398SE">#REF!</definedName>
    <definedName name="Acct398SG">#REF!</definedName>
    <definedName name="Acct398SGP">#REF!</definedName>
    <definedName name="Acct398SGU">#REF!</definedName>
    <definedName name="Acct398SO">#REF!</definedName>
    <definedName name="ACCT398SSGCT">#REF!</definedName>
    <definedName name="Acct399">#REF!</definedName>
    <definedName name="Acct399DOTH">#REF!</definedName>
    <definedName name="Acct399G">#REF!</definedName>
    <definedName name="Acct399GS">#REF!</definedName>
    <definedName name="Acct399GSG">#REF!</definedName>
    <definedName name="Acct399GSGP">#REF!</definedName>
    <definedName name="Acct399GSGU">#REF!</definedName>
    <definedName name="Acct399GSO">#REF!</definedName>
    <definedName name="Acct399L">#REF!</definedName>
    <definedName name="Acct399LRCL">#REF!</definedName>
    <definedName name="Acct399S">#REF!</definedName>
    <definedName name="Acct399SEP">#REF!</definedName>
    <definedName name="Acct399SEU">#REF!</definedName>
    <definedName name="Acct399SGP">#REF!</definedName>
    <definedName name="Acct399SGU">#REF!</definedName>
    <definedName name="Acct399SOP">#REF!</definedName>
    <definedName name="Acct403">#REF!</definedName>
    <definedName name="Acct403360">#REF!</definedName>
    <definedName name="Acct403361">#REF!</definedName>
    <definedName name="Acct403362">#REF!</definedName>
    <definedName name="Acct403364">#REF!</definedName>
    <definedName name="Acct403365">#REF!</definedName>
    <definedName name="Acct403366">#REF!</definedName>
    <definedName name="Acct403367">#REF!</definedName>
    <definedName name="Acct403368">#REF!</definedName>
    <definedName name="Acct403369">#REF!</definedName>
    <definedName name="Acct403370">#REF!</definedName>
    <definedName name="Acct403371">#REF!</definedName>
    <definedName name="Acct403372">#REF!</definedName>
    <definedName name="Acct403373">#REF!</definedName>
    <definedName name="Acct403DP">#REF!</definedName>
    <definedName name="Acct403EP">#REF!</definedName>
    <definedName name="Acct403EPSG">#REF!</definedName>
    <definedName name="Acct403EPSGP">#REF!</definedName>
    <definedName name="Acct403GP">#REF!</definedName>
    <definedName name="Acct403GPCN">#REF!</definedName>
    <definedName name="Acct403GPS">#REF!</definedName>
    <definedName name="Acct403GPSE">#REF!</definedName>
    <definedName name="Acct403GPSG">#REF!</definedName>
    <definedName name="Acct403GPSGP">#REF!</definedName>
    <definedName name="Acct403GPSGU">#REF!</definedName>
    <definedName name="Acct403GPSO">#REF!</definedName>
    <definedName name="Acct403GV0">#REF!</definedName>
    <definedName name="Acct403GV0SGP">#REF!</definedName>
    <definedName name="Acct403HP">#REF!</definedName>
    <definedName name="Acct403HPDGP">#REF!</definedName>
    <definedName name="Acct403HPDGU">#REF!</definedName>
    <definedName name="Acct403HPSG" localSheetId="3">'[6]Func Study'!#REF!</definedName>
    <definedName name="Acct403HPSG">'[6]Func Study'!#REF!</definedName>
    <definedName name="Acct403Land___Land_Rights">#REF!</definedName>
    <definedName name="Acct403MP">#REF!</definedName>
    <definedName name="Acct403MPSEU">#REF!</definedName>
    <definedName name="Acct403NP">#REF!</definedName>
    <definedName name="Acct403NPDGP">#REF!</definedName>
    <definedName name="Acct403OP">#REF!</definedName>
    <definedName name="Acct403OPSGP">#REF!</definedName>
    <definedName name="Acct403OPSGU">#REF!</definedName>
    <definedName name="Acct403S">#REF!</definedName>
    <definedName name="Acct403SEU">#REF!</definedName>
    <definedName name="Acct403SGP">#REF!</definedName>
    <definedName name="Acct403SOP">#REF!</definedName>
    <definedName name="Acct403SP">#REF!</definedName>
    <definedName name="Acct403SPDG">#REF!</definedName>
    <definedName name="Acct403SPSGP">#REF!</definedName>
    <definedName name="Acct403SPSGU">#REF!</definedName>
    <definedName name="Acct403Structures">#REF!</definedName>
    <definedName name="Acct403TP">#REF!</definedName>
    <definedName name="Acct403TPSG">#REF!</definedName>
    <definedName name="Acct403TPSGP">#REF!</definedName>
    <definedName name="Acct403TPSGU">#REF!</definedName>
    <definedName name="Acct404330">#REF!</definedName>
    <definedName name="Acct404330SG1">#REF!</definedName>
    <definedName name="Acct404330SG3">#REF!</definedName>
    <definedName name="Acct404CLG">#REF!</definedName>
    <definedName name="Acct404CLGDGP">#REF!</definedName>
    <definedName name="Acct404CLGDGU">#REF!</definedName>
    <definedName name="Acct404CLGS">#REF!</definedName>
    <definedName name="Acct404CLGSGP">#REF!</definedName>
    <definedName name="Acct404CLGSOP">#REF!</definedName>
    <definedName name="Acct404CLGSOU">#REF!</definedName>
    <definedName name="Acct404CLS">#REF!</definedName>
    <definedName name="Acct404CLSDGP">#REF!</definedName>
    <definedName name="Acct404DGP">#REF!</definedName>
    <definedName name="Acct404IP">#REF!</definedName>
    <definedName name="Acct404IPCN">#REF!</definedName>
    <definedName name="ACCT404IPDGU">#REF!</definedName>
    <definedName name="Acct404IPS">#REF!</definedName>
    <definedName name="Acct404IPSEU">#REF!</definedName>
    <definedName name="Acct404IPSG2">#REF!</definedName>
    <definedName name="ACCT404IPSGP">#REF!</definedName>
    <definedName name="Acct404IPSO">#REF!</definedName>
    <definedName name="ACCT404IPSSGCH">#REF!</definedName>
    <definedName name="Acct404O">#REF!</definedName>
    <definedName name="Acct404OPSSGCT">#REF!</definedName>
    <definedName name="Acct404S">#REF!</definedName>
    <definedName name="Acct404SEU">#REF!</definedName>
    <definedName name="Acct404SGP">#REF!</definedName>
    <definedName name="Acct404SOP">#REF!</definedName>
    <definedName name="Acct405">#REF!</definedName>
    <definedName name="Acct405S">#REF!</definedName>
    <definedName name="Acct406">#REF!</definedName>
    <definedName name="Acct406DGP">#REF!</definedName>
    <definedName name="Acct406S">#REF!</definedName>
    <definedName name="Acct406SO">#REF!</definedName>
    <definedName name="Acct407">#REF!</definedName>
    <definedName name="Acct407DGP">#REF!</definedName>
    <definedName name="Acct407S">#REF!</definedName>
    <definedName name="Acct407SEU">#REF!</definedName>
    <definedName name="Acct407SGP">#REF!</definedName>
    <definedName name="Acct407SO">#REF!</definedName>
    <definedName name="Acct407TROJP">#REF!</definedName>
    <definedName name="Acct408">#REF!</definedName>
    <definedName name="Acct408DOU">#REF!</definedName>
    <definedName name="Acct408EXCTAX">#REF!</definedName>
    <definedName name="Acct408OPRVID">#REF!</definedName>
    <definedName name="Acct408OPRVWY">#REF!</definedName>
    <definedName name="Acct408S">#REF!</definedName>
    <definedName name="Acct408SE">#REF!</definedName>
    <definedName name="Acct408SGPP">#REF!</definedName>
    <definedName name="Acct408SO">#REF!</definedName>
    <definedName name="Acct40910FITOther">#REF!</definedName>
    <definedName name="Acct40910FITPMI">#REF!</definedName>
    <definedName name="Acct40910FITPTC">#REF!</definedName>
    <definedName name="Acct40910FITSitus">#REF!</definedName>
    <definedName name="Acct40911">#REF!</definedName>
    <definedName name="Acct40911DGU">#REF!</definedName>
    <definedName name="Acct40911IDSIT">#REF!</definedName>
    <definedName name="Acct40911S">#REF!</definedName>
    <definedName name="Acct40911SO">#REF!</definedName>
    <definedName name="Acct41010">#REF!</definedName>
    <definedName name="Acct41010BADDEBT">#REF!</definedName>
    <definedName name="Acct41010DGU">#REF!</definedName>
    <definedName name="Acct41010DITEXP">#REF!</definedName>
    <definedName name="Acct41010S">#REF!</definedName>
    <definedName name="Acct41010SE">#REF!</definedName>
    <definedName name="Acct41010SG1">#REF!</definedName>
    <definedName name="Acct41010SG2">#REF!</definedName>
    <definedName name="Acct41010SGPS">#REF!</definedName>
    <definedName name="Acct41010SNP">#REF!</definedName>
    <definedName name="Acct41010SO">#REF!</definedName>
    <definedName name="Acct41010TROJP">#REF!</definedName>
    <definedName name="Acct41020">#REF!</definedName>
    <definedName name="Acct41020BADDEBT">#REF!</definedName>
    <definedName name="Acct41020DITEXP">#REF!</definedName>
    <definedName name="Acct41020S">#REF!</definedName>
    <definedName name="Acct41020SE">#REF!</definedName>
    <definedName name="Acct41020SG1">#REF!</definedName>
    <definedName name="Acct41020SG2">#REF!</definedName>
    <definedName name="ACCT41020SGCT">#REF!</definedName>
    <definedName name="Acct41020SGPP">#REF!</definedName>
    <definedName name="Acct41020SNP">#REF!</definedName>
    <definedName name="ACCT41020SNPD">#REF!</definedName>
    <definedName name="Acct41020SO">#REF!</definedName>
    <definedName name="Acct41020TROJP">#REF!</definedName>
    <definedName name="Acct41111">#REF!</definedName>
    <definedName name="Acct41111BADDEBT">#REF!</definedName>
    <definedName name="Acct41111DITEXP">#REF!</definedName>
    <definedName name="Acct41111S">#REF!</definedName>
    <definedName name="Acct41111SE">#REF!</definedName>
    <definedName name="Acct41111SG1">#REF!</definedName>
    <definedName name="Acct41111SG2">#REF!</definedName>
    <definedName name="Acct41111SG3">#REF!</definedName>
    <definedName name="Acct41111SGPP">#REF!</definedName>
    <definedName name="Acct41111SNP">#REF!</definedName>
    <definedName name="Acct41111SNTP">#REF!</definedName>
    <definedName name="Acct41111SO">#REF!</definedName>
    <definedName name="Acct41111TROJP">#REF!</definedName>
    <definedName name="Acct41120">#REF!</definedName>
    <definedName name="Acct41120DGP">#REF!</definedName>
    <definedName name="Acct41120DITEXP">#REF!</definedName>
    <definedName name="Acct41120GPS">#REF!</definedName>
    <definedName name="ACCT41120S">#REF!</definedName>
    <definedName name="Acct41120SE">#REF!</definedName>
    <definedName name="Acct41120SG">#REF!</definedName>
    <definedName name="ACCT41120SG1">#REF!</definedName>
    <definedName name="ACCT41120SGCT">#REF!</definedName>
    <definedName name="Acct41120SGPS">#REF!</definedName>
    <definedName name="Acct41120SNP">#REF!</definedName>
    <definedName name="Acct41120SNPD">#REF!</definedName>
    <definedName name="Acct41120SO">#REF!</definedName>
    <definedName name="ACCT41120SSGCT">#REF!</definedName>
    <definedName name="Acct41120TROJP">#REF!</definedName>
    <definedName name="Acct41140">#REF!</definedName>
    <definedName name="Acct41140DGU">#REF!</definedName>
    <definedName name="Acct41141">#REF!</definedName>
    <definedName name="Acct41141DGU">#REF!</definedName>
    <definedName name="Acct4114DGU">#REF!</definedName>
    <definedName name="Acct41160">#REF!</definedName>
    <definedName name="Acct41160DGP">#REF!</definedName>
    <definedName name="Acct41160DGU">#REF!</definedName>
    <definedName name="Acct41160S">#REF!</definedName>
    <definedName name="Acct41160SG">#REF!</definedName>
    <definedName name="Acct41160SO">#REF!</definedName>
    <definedName name="Acct41170">#REF!</definedName>
    <definedName name="Acct41170DGU">#REF!</definedName>
    <definedName name="Acct41170S">#REF!</definedName>
    <definedName name="Acct4118">#REF!</definedName>
    <definedName name="Acct41181">#REF!</definedName>
    <definedName name="Acct41181SE">#REF!</definedName>
    <definedName name="Acct4118SE">#REF!</definedName>
    <definedName name="Acct411BADDEBT">#REF!</definedName>
    <definedName name="Acct411DGP">#REF!</definedName>
    <definedName name="Acct411DGU">#REF!</definedName>
    <definedName name="Acct411DITEXP">#REF!</definedName>
    <definedName name="Acct411DNPP">#REF!</definedName>
    <definedName name="Acct411DNPTP">#REF!</definedName>
    <definedName name="Acct411S">#REF!</definedName>
    <definedName name="Acct411SE">#REF!</definedName>
    <definedName name="Acct411SG">#REF!</definedName>
    <definedName name="Acct411SGPP">#REF!</definedName>
    <definedName name="Acct411SO">#REF!</definedName>
    <definedName name="Acct411TROJP">#REF!</definedName>
    <definedName name="Acct419">#REF!</definedName>
    <definedName name="Acct4194">#REF!</definedName>
    <definedName name="Acct4194DGU">#REF!</definedName>
    <definedName name="Acct419DOTH">#REF!</definedName>
    <definedName name="Acct421">#REF!</definedName>
    <definedName name="Acct421DGP">#REF!</definedName>
    <definedName name="Acct421DGU">#REF!</definedName>
    <definedName name="Acct421S">#REF!</definedName>
    <definedName name="Acct421SE">#REF!</definedName>
    <definedName name="Acct421SG">#REF!</definedName>
    <definedName name="Acct421SO">#REF!</definedName>
    <definedName name="Acct427">#REF!</definedName>
    <definedName name="Acct427INT">#REF!</definedName>
    <definedName name="Acct427S">#REF!</definedName>
    <definedName name="Acct428">#REF!</definedName>
    <definedName name="Acct428INT">#REF!</definedName>
    <definedName name="Acct429">#REF!</definedName>
    <definedName name="Acct429INT">#REF!</definedName>
    <definedName name="Acct431">#REF!</definedName>
    <definedName name="Acct4311">#REF!</definedName>
    <definedName name="Acct4311CSU">#REF!</definedName>
    <definedName name="Acct431INT">#REF!</definedName>
    <definedName name="Acct432">#REF!</definedName>
    <definedName name="Acct432DOTH">#REF!</definedName>
    <definedName name="Acct440S">#REF!</definedName>
    <definedName name="Acct442">#REF!</definedName>
    <definedName name="Acct442S">#REF!</definedName>
    <definedName name="Acct442SE">#REF!</definedName>
    <definedName name="Acct442SG">#REF!</definedName>
    <definedName name="Acct444">#REF!</definedName>
    <definedName name="Acct444S" localSheetId="2">[5]FuncStudy!$F$105</definedName>
    <definedName name="Acct444S" localSheetId="3">[5]FuncStudy!$F$105</definedName>
    <definedName name="Acct444S">'[6]Func Study'!$H$264</definedName>
    <definedName name="Acct445">#REF!</definedName>
    <definedName name="Acct445S">#REF!</definedName>
    <definedName name="Acct447">#REF!</definedName>
    <definedName name="Acct447DGP">#REF!</definedName>
    <definedName name="Acct447DGU" localSheetId="17">'[7]Func Study'!#REF!</definedName>
    <definedName name="Acct447DGU" localSheetId="3">'[7]Func Study'!#REF!</definedName>
    <definedName name="Acct447DGU">'[7]Func Study'!#REF!</definedName>
    <definedName name="Acct447S">#REF!</definedName>
    <definedName name="Acct447SE">#REF!</definedName>
    <definedName name="Acct447SG">#REF!</definedName>
    <definedName name="Acct448">#REF!</definedName>
    <definedName name="Acct448S" localSheetId="2">[5]FuncStudy!$F$114</definedName>
    <definedName name="Acct448S" localSheetId="3">[5]FuncStudy!$F$114</definedName>
    <definedName name="Acct448S">'[6]Func Study'!$H$273</definedName>
    <definedName name="Acct448SO">#REF!</definedName>
    <definedName name="Acct449">#REF!</definedName>
    <definedName name="Acct449DGP">#REF!</definedName>
    <definedName name="Acct449S">#REF!</definedName>
    <definedName name="Acct450">#REF!</definedName>
    <definedName name="Acct450S" localSheetId="2">[5]FuncStudy!$F$139</definedName>
    <definedName name="Acct450S" localSheetId="3">[5]FuncStudy!$F$139</definedName>
    <definedName name="Acct450S">'[6]Func Study'!$H$297</definedName>
    <definedName name="Acct450SO">#REF!</definedName>
    <definedName name="Acct451">#REF!</definedName>
    <definedName name="Acct451S" localSheetId="2">[5]FuncStudy!$F$144</definedName>
    <definedName name="Acct451S" localSheetId="3">[5]FuncStudy!$F$144</definedName>
    <definedName name="Acct451S">'[6]Func Study'!$H$302</definedName>
    <definedName name="Acct451SG">#REF!</definedName>
    <definedName name="Acct451SO">#REF!</definedName>
    <definedName name="Acct453">#REF!</definedName>
    <definedName name="Acct453SG">#REF!</definedName>
    <definedName name="Acct454">#REF!</definedName>
    <definedName name="Acct454S" localSheetId="2">[5]FuncStudy!$F$154</definedName>
    <definedName name="Acct454S" localSheetId="3">[5]FuncStudy!$F$154</definedName>
    <definedName name="Acct454S">'[6]Func Study'!$H$312</definedName>
    <definedName name="Acct454SG">#REF!</definedName>
    <definedName name="Acct454SO">#REF!</definedName>
    <definedName name="Acct456">#REF!</definedName>
    <definedName name="Acct456CN">#REF!</definedName>
    <definedName name="Acct456S" localSheetId="2">[5]FuncStudy!$F$160</definedName>
    <definedName name="Acct456S" localSheetId="3">[5]FuncStudy!$F$160</definedName>
    <definedName name="Acct456S">'[6]Func Study'!$H$318</definedName>
    <definedName name="Acct456SE">#REF!</definedName>
    <definedName name="Acct456SG">#REF!</definedName>
    <definedName name="Acct456SO">#REF!</definedName>
    <definedName name="Acct500">#REF!</definedName>
    <definedName name="Acct500DNPPSU">#REF!</definedName>
    <definedName name="Acct501">#REF!</definedName>
    <definedName name="Acct501SE">#REF!</definedName>
    <definedName name="ACCT501SENNPC">#REF!</definedName>
    <definedName name="ACCT501SSECHNNPC">#REF!</definedName>
    <definedName name="Acct502">#REF!</definedName>
    <definedName name="Acct502DNPPSU" localSheetId="3">'[6]Func Study'!#REF!</definedName>
    <definedName name="Acct502DNPPSU">'[6]Func Study'!#REF!</definedName>
    <definedName name="Acct503">#REF!</definedName>
    <definedName name="Acct503SE">#REF!</definedName>
    <definedName name="ACCT503SENNPC">#REF!</definedName>
    <definedName name="Acct505">#REF!</definedName>
    <definedName name="Acct505DNPPSU">#REF!</definedName>
    <definedName name="Acct506">#REF!</definedName>
    <definedName name="Acct506DNPPSU">#REF!</definedName>
    <definedName name="Acct506SE">#REF!</definedName>
    <definedName name="Acct507">#REF!</definedName>
    <definedName name="Acct507DNPPSU">#REF!</definedName>
    <definedName name="Acct510">#REF!</definedName>
    <definedName name="Acct510DNPPSU">#REF!</definedName>
    <definedName name="Acct511">#REF!</definedName>
    <definedName name="Acct511DNPPSU">#REF!</definedName>
    <definedName name="Acct512">#REF!</definedName>
    <definedName name="Acct512DNPPSU">#REF!</definedName>
    <definedName name="Acct513">#REF!</definedName>
    <definedName name="Acct513DNPPSU">#REF!</definedName>
    <definedName name="Acct514">#REF!</definedName>
    <definedName name="Acct514DNPPSU">#REF!</definedName>
    <definedName name="Acct517">#REF!</definedName>
    <definedName name="Acct517DNPPNP">#REF!</definedName>
    <definedName name="Acct518">#REF!</definedName>
    <definedName name="Acct518SE">#REF!</definedName>
    <definedName name="Acct519">#REF!</definedName>
    <definedName name="Acct519DNPPNP">#REF!</definedName>
    <definedName name="Acct520">#REF!</definedName>
    <definedName name="Acct520DNPPNP">#REF!</definedName>
    <definedName name="Acct523">#REF!</definedName>
    <definedName name="Acct523DNPPNP">#REF!</definedName>
    <definedName name="Acct524">#REF!</definedName>
    <definedName name="Acct524DNPPNP">#REF!</definedName>
    <definedName name="Acct528">#REF!</definedName>
    <definedName name="Acct528DNPPNP">#REF!</definedName>
    <definedName name="Acct529">#REF!</definedName>
    <definedName name="Acct529DNPPNP">#REF!</definedName>
    <definedName name="Acct530">#REF!</definedName>
    <definedName name="Acct530DNPPNP">#REF!</definedName>
    <definedName name="Acct531">#REF!</definedName>
    <definedName name="Acct531DNPPNP">#REF!</definedName>
    <definedName name="Acct532">#REF!</definedName>
    <definedName name="Acct532DNPPNP">#REF!</definedName>
    <definedName name="Acct535">#REF!</definedName>
    <definedName name="Acct535DGU">#REF!</definedName>
    <definedName name="Acct536">#REF!</definedName>
    <definedName name="Acct536DGU">#REF!</definedName>
    <definedName name="Acct537">#REF!</definedName>
    <definedName name="Acct537DGU">#REF!</definedName>
    <definedName name="Acct538">#REF!</definedName>
    <definedName name="Acct538DGU">#REF!</definedName>
    <definedName name="Acct539">#REF!</definedName>
    <definedName name="Acct539DGU">#REF!</definedName>
    <definedName name="Acct540">#REF!</definedName>
    <definedName name="Acct540DGU">#REF!</definedName>
    <definedName name="Acct541">#REF!</definedName>
    <definedName name="Acct541DGU">#REF!</definedName>
    <definedName name="Acct542">#REF!</definedName>
    <definedName name="Acct542DGU">#REF!</definedName>
    <definedName name="Acct543">#REF!</definedName>
    <definedName name="Acct543DGU">#REF!</definedName>
    <definedName name="Acct544">#REF!</definedName>
    <definedName name="Acct544DGU">#REF!</definedName>
    <definedName name="Acct545">#REF!</definedName>
    <definedName name="Acct545DGU">#REF!</definedName>
    <definedName name="Acct546">#REF!</definedName>
    <definedName name="Acct546SNPPO">#REF!</definedName>
    <definedName name="Acct547">#REF!</definedName>
    <definedName name="Acct547SE">#REF!</definedName>
    <definedName name="Acct548">#REF!</definedName>
    <definedName name="Acct548SNPPO">#REF!</definedName>
    <definedName name="Acct549">#REF!</definedName>
    <definedName name="Acct549DNPPOU">#REF!</definedName>
    <definedName name="Acct551">#REF!</definedName>
    <definedName name="Acct551SNPPO">#REF!</definedName>
    <definedName name="Acct552">#REF!</definedName>
    <definedName name="Acct552DNPPOU">#REF!</definedName>
    <definedName name="Acct553">#REF!</definedName>
    <definedName name="Acct553DNPPOU">#REF!</definedName>
    <definedName name="Acct554">#REF!</definedName>
    <definedName name="Acct554DNPPOU">#REF!</definedName>
    <definedName name="Acct555">#REF!</definedName>
    <definedName name="Acct555DGU">#REF!</definedName>
    <definedName name="Acct555S">#REF!</definedName>
    <definedName name="Acct555SE">#REF!</definedName>
    <definedName name="Acct556">#REF!</definedName>
    <definedName name="Acct556SG">#REF!</definedName>
    <definedName name="Acct557">#REF!</definedName>
    <definedName name="Acct557CT">#REF!</definedName>
    <definedName name="Acct557DNPPNP">#REF!</definedName>
    <definedName name="Acct557S">#REF!</definedName>
    <definedName name="Acct557SG">#REF!</definedName>
    <definedName name="Acct557TROJP">#REF!</definedName>
    <definedName name="Acct560">#REF!</definedName>
    <definedName name="Acct560DNPTU">#REF!</definedName>
    <definedName name="Acct561">#REF!</definedName>
    <definedName name="Acct561DNPTU">#REF!</definedName>
    <definedName name="Acct562">#REF!</definedName>
    <definedName name="Acct562DNPTU">#REF!</definedName>
    <definedName name="Acct563">#REF!</definedName>
    <definedName name="Acct563DNPTU">#REF!</definedName>
    <definedName name="Acct564">#REF!</definedName>
    <definedName name="Acct564DNPTU">#REF!</definedName>
    <definedName name="Acct565">#REF!</definedName>
    <definedName name="Acct565SE">#REF!</definedName>
    <definedName name="Acct565SG">#REF!</definedName>
    <definedName name="Acct566">#REF!</definedName>
    <definedName name="Acct566DNPTU">#REF!</definedName>
    <definedName name="Acct567">#REF!</definedName>
    <definedName name="Acct567DNPTU">#REF!</definedName>
    <definedName name="Acct568">#REF!</definedName>
    <definedName name="Acct568DNPTU">#REF!</definedName>
    <definedName name="Acct569">#REF!</definedName>
    <definedName name="Acct569DNPTU">#REF!</definedName>
    <definedName name="Acct570">#REF!</definedName>
    <definedName name="Acct570DNPTU">#REF!</definedName>
    <definedName name="Acct571">#REF!</definedName>
    <definedName name="Acct571DNPTU">#REF!</definedName>
    <definedName name="Acct572">#REF!</definedName>
    <definedName name="Acct572DNPTU">#REF!</definedName>
    <definedName name="Acct573">#REF!</definedName>
    <definedName name="Acct573DNPTU">#REF!</definedName>
    <definedName name="Acct580" localSheetId="2">[5]FuncStudy!$F$537</definedName>
    <definedName name="Acct580" localSheetId="3">[5]FuncStudy!$F$537</definedName>
    <definedName name="Acct580">'[6]Func Study'!$H$748</definedName>
    <definedName name="Acct580DNPD">#REF!</definedName>
    <definedName name="Acct580S">#REF!</definedName>
    <definedName name="Acct581" localSheetId="2">[5]FuncStudy!$F$542</definedName>
    <definedName name="Acct581" localSheetId="3">[5]FuncStudy!$F$542</definedName>
    <definedName name="Acct581">'[6]Func Study'!$H$753</definedName>
    <definedName name="Acct581DNPD">#REF!</definedName>
    <definedName name="Acct581S">#REF!</definedName>
    <definedName name="Acct582" localSheetId="2">[5]FuncStudy!$F$547</definedName>
    <definedName name="Acct582" localSheetId="3">[5]FuncStudy!$F$547</definedName>
    <definedName name="Acct582">'[6]Func Study'!$H$758</definedName>
    <definedName name="Acct582DNPD">#REF!</definedName>
    <definedName name="Acct582S">#REF!</definedName>
    <definedName name="Acct583" localSheetId="2">[5]FuncStudy!$F$552</definedName>
    <definedName name="Acct583" localSheetId="3">[5]FuncStudy!$F$552</definedName>
    <definedName name="Acct583">'[6]Func Study'!$H$763</definedName>
    <definedName name="Acct583DNPD">#REF!</definedName>
    <definedName name="Acct583S">#REF!</definedName>
    <definedName name="Acct584" localSheetId="2">[5]FuncStudy!$F$557</definedName>
    <definedName name="Acct584" localSheetId="3">[5]FuncStudy!$F$557</definedName>
    <definedName name="Acct584">'[6]Func Study'!$H$768</definedName>
    <definedName name="Acct584DNPD">#REF!</definedName>
    <definedName name="Acct584S">#REF!</definedName>
    <definedName name="Acct585" localSheetId="2">[5]FuncStudy!$F$562</definedName>
    <definedName name="Acct585" localSheetId="3">[5]FuncStudy!$F$562</definedName>
    <definedName name="Acct585">'[6]Func Study'!$H$773</definedName>
    <definedName name="Acct585S">#REF!</definedName>
    <definedName name="Acct585SNPD">#REF!</definedName>
    <definedName name="Acct586" localSheetId="2">[5]FuncStudy!$F$567</definedName>
    <definedName name="Acct586" localSheetId="3">[5]FuncStudy!$F$567</definedName>
    <definedName name="Acct586">'[6]Func Study'!$H$778</definedName>
    <definedName name="Acct586DNPD">#REF!</definedName>
    <definedName name="Acct586S">#REF!</definedName>
    <definedName name="Acct587" localSheetId="2">[5]FuncStudy!$F$572</definedName>
    <definedName name="Acct587" localSheetId="3">[5]FuncStudy!$F$572</definedName>
    <definedName name="Acct587">'[6]Func Study'!$H$783</definedName>
    <definedName name="Acct587DNPD">#REF!</definedName>
    <definedName name="Acct587S">#REF!</definedName>
    <definedName name="Acct588" localSheetId="2">[5]FuncStudy!$F$577</definedName>
    <definedName name="Acct588" localSheetId="3">[5]FuncStudy!$F$577</definedName>
    <definedName name="Acct588">'[6]Func Study'!$H$788</definedName>
    <definedName name="Acct588DNPD">#REF!</definedName>
    <definedName name="Acct588S">#REF!</definedName>
    <definedName name="Acct589" localSheetId="2">[5]FuncStudy!$F$582</definedName>
    <definedName name="Acct589" localSheetId="3">[5]FuncStudy!$F$582</definedName>
    <definedName name="Acct589">'[6]Func Study'!$H$793</definedName>
    <definedName name="Acct589DNPD">#REF!</definedName>
    <definedName name="Acct589S">#REF!</definedName>
    <definedName name="Acct590" localSheetId="2">[5]FuncStudy!$F$587</definedName>
    <definedName name="Acct590" localSheetId="3">[5]FuncStudy!$F$587</definedName>
    <definedName name="Acct590">'[6]Func Study'!$H$798</definedName>
    <definedName name="Acct590DNPD">#REF!</definedName>
    <definedName name="Acct590S">#REF!</definedName>
    <definedName name="Acct591" localSheetId="2">[5]FuncStudy!$F$592</definedName>
    <definedName name="Acct591" localSheetId="3">[5]FuncStudy!$F$592</definedName>
    <definedName name="Acct591">'[6]Func Study'!$H$803</definedName>
    <definedName name="Acct591DNPD">#REF!</definedName>
    <definedName name="Acct591S">#REF!</definedName>
    <definedName name="Acct592" localSheetId="2">[5]FuncStudy!$F$597</definedName>
    <definedName name="Acct592" localSheetId="3">[5]FuncStudy!$F$597</definedName>
    <definedName name="Acct592">'[6]Func Study'!$H$808</definedName>
    <definedName name="Acct592DNPD">#REF!</definedName>
    <definedName name="Acct592S">#REF!</definedName>
    <definedName name="Acct593" localSheetId="2">[5]FuncStudy!$F$602</definedName>
    <definedName name="Acct593" localSheetId="3">[5]FuncStudy!$F$602</definedName>
    <definedName name="Acct593">'[6]Func Study'!$H$813</definedName>
    <definedName name="Acct593DNPD">#REF!</definedName>
    <definedName name="Acct593S">#REF!</definedName>
    <definedName name="Acct594" localSheetId="2">[5]FuncStudy!$F$607</definedName>
    <definedName name="Acct594" localSheetId="3">[5]FuncStudy!$F$607</definedName>
    <definedName name="Acct594">'[6]Func Study'!$H$818</definedName>
    <definedName name="Acct594DNPD">#REF!</definedName>
    <definedName name="Acct594S">#REF!</definedName>
    <definedName name="Acct595" localSheetId="2">[5]FuncStudy!$F$612</definedName>
    <definedName name="Acct595" localSheetId="3">[5]FuncStudy!$F$612</definedName>
    <definedName name="Acct595">'[6]Func Study'!$H$823</definedName>
    <definedName name="Acct595DNPD">#REF!</definedName>
    <definedName name="Acct595S">#REF!</definedName>
    <definedName name="Acct596" localSheetId="2">[5]FuncStudy!$F$617</definedName>
    <definedName name="Acct596" localSheetId="3">[5]FuncStudy!$F$617</definedName>
    <definedName name="Acct596">'[6]Func Study'!$H$833</definedName>
    <definedName name="Acct596DNPD">#REF!</definedName>
    <definedName name="Acct596S">#REF!</definedName>
    <definedName name="Acct597" localSheetId="2">[5]FuncStudy!$F$622</definedName>
    <definedName name="Acct597" localSheetId="3">[5]FuncStudy!$F$622</definedName>
    <definedName name="Acct597">'[6]Func Study'!$H$838</definedName>
    <definedName name="Acct597DNPD">#REF!</definedName>
    <definedName name="Acct597S">#REF!</definedName>
    <definedName name="Acct598" localSheetId="2">[5]FuncStudy!$F$627</definedName>
    <definedName name="Acct598" localSheetId="3">[5]FuncStudy!$F$627</definedName>
    <definedName name="Acct598">'[6]Func Study'!$H$843</definedName>
    <definedName name="Acct598DNPD">#REF!</definedName>
    <definedName name="Acct598S">#REF!</definedName>
    <definedName name="Acct901">#REF!</definedName>
    <definedName name="Acct901CS">#REF!</definedName>
    <definedName name="Acct901S">#REF!</definedName>
    <definedName name="Acct902">#REF!</definedName>
    <definedName name="Acct902CS">#REF!</definedName>
    <definedName name="Acct902S">#REF!</definedName>
    <definedName name="Acct903">#REF!</definedName>
    <definedName name="Acct903CS">#REF!</definedName>
    <definedName name="Acct903S">#REF!</definedName>
    <definedName name="Acct904">#REF!</definedName>
    <definedName name="ACCT904CN">#REF!</definedName>
    <definedName name="Acct904S">#REF!</definedName>
    <definedName name="ACCT904SG">#REF!</definedName>
    <definedName name="Acct905">#REF!</definedName>
    <definedName name="Acct905CS">#REF!</definedName>
    <definedName name="Acct905S">#REF!</definedName>
    <definedName name="Acct907">#REF!</definedName>
    <definedName name="Acct907CS">#REF!</definedName>
    <definedName name="Acct907S">#REF!</definedName>
    <definedName name="Acct908">#REF!</definedName>
    <definedName name="Acct908CS">#REF!</definedName>
    <definedName name="Acct908S">#REF!</definedName>
    <definedName name="Acct909">#REF!</definedName>
    <definedName name="Acct909CS">#REF!</definedName>
    <definedName name="Acct909S">#REF!</definedName>
    <definedName name="Acct910">#REF!</definedName>
    <definedName name="Acct910CS">#REF!</definedName>
    <definedName name="Acct910S">#REF!</definedName>
    <definedName name="Acct911">#REF!</definedName>
    <definedName name="Acct911CS">#REF!</definedName>
    <definedName name="Acct911S">#REF!</definedName>
    <definedName name="Acct912">#REF!</definedName>
    <definedName name="Acct912CS">#REF!</definedName>
    <definedName name="Acct912S">#REF!</definedName>
    <definedName name="Acct913">#REF!</definedName>
    <definedName name="Acct913CS">#REF!</definedName>
    <definedName name="Acct913S">#REF!</definedName>
    <definedName name="Acct916">#REF!</definedName>
    <definedName name="Acct916CS">#REF!</definedName>
    <definedName name="Acct916S">#REF!</definedName>
    <definedName name="Acct920">#REF!</definedName>
    <definedName name="Acct920CN">#REF!</definedName>
    <definedName name="Acct920S">#REF!</definedName>
    <definedName name="Acct920SO">#REF!</definedName>
    <definedName name="Acct921">#REF!</definedName>
    <definedName name="Acct921CN">#REF!</definedName>
    <definedName name="Acct921S">#REF!</definedName>
    <definedName name="Acct921SO">#REF!</definedName>
    <definedName name="Acct923">#REF!</definedName>
    <definedName name="Acct923CN">#REF!</definedName>
    <definedName name="Acct923S">#REF!</definedName>
    <definedName name="Acct923SO">#REF!</definedName>
    <definedName name="Acct924">#REF!</definedName>
    <definedName name="Acct924S">#REF!</definedName>
    <definedName name="ACCT924SG">#REF!</definedName>
    <definedName name="Acct924SO">#REF!</definedName>
    <definedName name="Acct925">#REF!</definedName>
    <definedName name="Acct925SO">#REF!</definedName>
    <definedName name="Acct926">#REF!</definedName>
    <definedName name="Acct926CN">#REF!</definedName>
    <definedName name="Acct926S">#REF!</definedName>
    <definedName name="Acct926SO">#REF!</definedName>
    <definedName name="Acct927">#REF!</definedName>
    <definedName name="Acct927S">#REF!</definedName>
    <definedName name="Acct927SO">#REF!</definedName>
    <definedName name="Acct928">#REF!</definedName>
    <definedName name="Acct928RE" localSheetId="2">[5]FuncStudy!$F$750</definedName>
    <definedName name="Acct928RE" localSheetId="3">[5]FuncStudy!$F$750</definedName>
    <definedName name="Acct928RE">'[6]Func Study'!$H$983</definedName>
    <definedName name="Acct928S">#REF!</definedName>
    <definedName name="Acct928SG">#REF!</definedName>
    <definedName name="Acct928SO">#REF!</definedName>
    <definedName name="Acct929">#REF!</definedName>
    <definedName name="Acct929S">#REF!</definedName>
    <definedName name="Acct929SO">#REF!</definedName>
    <definedName name="Acct930">#REF!</definedName>
    <definedName name="Acct930CN">#REF!</definedName>
    <definedName name="Acct930S">#REF!</definedName>
    <definedName name="Acct930SO">#REF!</definedName>
    <definedName name="Acct931">#REF!</definedName>
    <definedName name="Acct931S">#REF!</definedName>
    <definedName name="Acct931SO">#REF!</definedName>
    <definedName name="Acct935">#REF!</definedName>
    <definedName name="Acct935CN">#REF!</definedName>
    <definedName name="Acct935S">#REF!</definedName>
    <definedName name="Acct935SO">#REF!</definedName>
    <definedName name="Acct99LSEP">#REF!</definedName>
    <definedName name="AcctAGA" localSheetId="2">[5]FuncStudy!$F$133</definedName>
    <definedName name="AcctAGA" localSheetId="3">[5]FuncStudy!$F$133</definedName>
    <definedName name="AcctAGA">'[6]Func Study'!$H$291</definedName>
    <definedName name="AcctCWC">#REF!</definedName>
    <definedName name="AcctCWCS">#REF!</definedName>
    <definedName name="AcctCWCSE">#REF!</definedName>
    <definedName name="AcctCWCSO">#REF!</definedName>
    <definedName name="AcctD00">#REF!</definedName>
    <definedName name="AcctD00S">#REF!</definedName>
    <definedName name="AcctDFAD">#REF!</definedName>
    <definedName name="AcctDFAP">#REF!</definedName>
    <definedName name="AcctDFAT">#REF!</definedName>
    <definedName name="AcctDGU">#REF!</definedName>
    <definedName name="AcctDS0">#REF!</definedName>
    <definedName name="AcctDS0S">#REF!</definedName>
    <definedName name="AcctFIT">'[6]Func Study'!$H$1422</definedName>
    <definedName name="AcctG00">#REF!</definedName>
    <definedName name="AcctG00CN">#REF!</definedName>
    <definedName name="AcctG00S">#REF!</definedName>
    <definedName name="AcctG00SG">#REF!</definedName>
    <definedName name="AcctG00SGP">#REF!</definedName>
    <definedName name="AcctG00SGU">#REF!</definedName>
    <definedName name="AcctG00SO">#REF!</definedName>
    <definedName name="AcctH00">#REF!</definedName>
    <definedName name="AcctH00DGP">#REF!</definedName>
    <definedName name="AcctI00">#REF!</definedName>
    <definedName name="AcctI00DGU">#REF!</definedName>
    <definedName name="AcctI00S">#REF!</definedName>
    <definedName name="AcctI00SGP">#REF!</definedName>
    <definedName name="AcctI00SOU">#REF!</definedName>
    <definedName name="AcctN00">#REF!</definedName>
    <definedName name="AcctN00SGP">#REF!</definedName>
    <definedName name="AcctO00">#REF!</definedName>
    <definedName name="AcctO00S">#REF!</definedName>
    <definedName name="AcctO00SGU">#REF!</definedName>
    <definedName name="AcctOWC">#REF!</definedName>
    <definedName name="AcctOWCDGP">#REF!</definedName>
    <definedName name="AcctOWCSE">#REF!</definedName>
    <definedName name="AcctOWCSG">#REF!</definedName>
    <definedName name="AcctOWCSNP">#REF!</definedName>
    <definedName name="AcctOWCSO">#REF!</definedName>
    <definedName name="AcctS00">#REF!</definedName>
    <definedName name="AcctS00SGU">#REF!</definedName>
    <definedName name="AcctSEU">#REF!</definedName>
    <definedName name="AcctSTTAX">#REF!</definedName>
    <definedName name="AcctT00">#REF!</definedName>
    <definedName name="AcctT00SGU">#REF!</definedName>
    <definedName name="AcctTable">[9]Variables!$AK$42:$AK$396</definedName>
    <definedName name="AcctTS0" localSheetId="2">[5]FuncStudy!$F$1381</definedName>
    <definedName name="AcctTS0" localSheetId="3">[5]FuncStudy!$F$1381</definedName>
    <definedName name="AcctTS0">'[6]Func Study'!$H$1717</definedName>
    <definedName name="AcctTS0SGU">#REF!</definedName>
    <definedName name="ActualROE" localSheetId="2">[10]FuncStudy!$E$61</definedName>
    <definedName name="ActualROE" localSheetId="3">[10]FuncStudy!$E$61</definedName>
    <definedName name="ActualROE">[8]FuncStudy!$E$61</definedName>
    <definedName name="actualror" localSheetId="2">[11]WorkArea!$F$86</definedName>
    <definedName name="actualror" localSheetId="3">[11]WorkArea!$F$86</definedName>
    <definedName name="ActualROR">'[12]G+T+D+R+M'!$H$61</definedName>
    <definedName name="ACYear">[13]Variables!$C$13</definedName>
    <definedName name="Adjs2avg">[14]Inputs!$L$255:'[14]Inputs'!$T$505</definedName>
    <definedName name="AdjustInput">[15]Inputs!$L$3:$T$265</definedName>
    <definedName name="AdjustSwitch">[15]Variables!$AH$3:$AJ$3</definedName>
    <definedName name="ALL" localSheetId="17">#REF!</definedName>
    <definedName name="ALL" localSheetId="3">#REF!</definedName>
    <definedName name="ALL">#REF!</definedName>
    <definedName name="all_months" localSheetId="17">#REF!</definedName>
    <definedName name="all_months">#REF!</definedName>
    <definedName name="APR" localSheetId="17">#REF!</definedName>
    <definedName name="APR">#REF!</definedName>
    <definedName name="APRT" localSheetId="17">#REF!</definedName>
    <definedName name="APRT">#REF!</definedName>
    <definedName name="AT_48" localSheetId="17">#REF!</definedName>
    <definedName name="AT_48">#REF!</definedName>
    <definedName name="AUG" localSheetId="17">#REF!</definedName>
    <definedName name="AUG">#REF!</definedName>
    <definedName name="AUGT" localSheetId="17">#REF!</definedName>
    <definedName name="AUGT">#REF!</definedName>
    <definedName name="AverageFactors">[15]UTCR!$AC$22:$AQ$108</definedName>
    <definedName name="AverageInput">[15]Inputs!$F$3:$I$1798</definedName>
    <definedName name="AvgFactors">[9]Factors!$B$3:$P$99</definedName>
    <definedName name="AVOIDED_COSTS">'[16]Avoided Costs'!$A$3:$G$38</definedName>
    <definedName name="AvoidedCosts">'[13]Avoided Costs'!$A$3:$G$35</definedName>
    <definedName name="BACK1" localSheetId="17">#REF!</definedName>
    <definedName name="BACK1" localSheetId="3">#REF!</definedName>
    <definedName name="BACK1">#REF!</definedName>
    <definedName name="BACK2" localSheetId="17">#REF!</definedName>
    <definedName name="BACK2">#REF!</definedName>
    <definedName name="BACK3" localSheetId="17">#REF!</definedName>
    <definedName name="BACK3">#REF!</definedName>
    <definedName name="BACKUP1" localSheetId="17">#REF!</definedName>
    <definedName name="BACKUP1">#REF!</definedName>
    <definedName name="Baseline" localSheetId="17">#REF!</definedName>
    <definedName name="Baseline">#REF!</definedName>
    <definedName name="BLOCK" localSheetId="17">#REF!</definedName>
    <definedName name="BLOCK">#REF!</definedName>
    <definedName name="BLOCKTOP" localSheetId="17">#REF!</definedName>
    <definedName name="BLOCKTOP">#REF!</definedName>
    <definedName name="BOOKADJ" localSheetId="17">#REF!</definedName>
    <definedName name="BOOKADJ">#REF!</definedName>
    <definedName name="cap">[17]Readings!$B$2</definedName>
    <definedName name="Capacity" localSheetId="2">#REF!</definedName>
    <definedName name="Capacity" localSheetId="17">#REF!</definedName>
    <definedName name="Capacity" localSheetId="3">#REF!</definedName>
    <definedName name="Capacity">#REF!</definedName>
    <definedName name="Check" localSheetId="2">#REF!</definedName>
    <definedName name="Check" localSheetId="17">#REF!</definedName>
    <definedName name="Check">#REF!</definedName>
    <definedName name="Checksumavg">[15]Inputs!$J$1</definedName>
    <definedName name="Checksumend">[15]Inputs!$E$1</definedName>
    <definedName name="Classification" localSheetId="2">[5]FuncStudy!$Y$91</definedName>
    <definedName name="Classification" localSheetId="3">[5]FuncStudy!$Y$91</definedName>
    <definedName name="Classification">'[6]Func Study'!$AB$251</definedName>
    <definedName name="COMADJ" localSheetId="17">#REF!</definedName>
    <definedName name="COMADJ" localSheetId="3">#REF!</definedName>
    <definedName name="COMADJ">#REF!</definedName>
    <definedName name="Common">[18]Variables!$AQ$27</definedName>
    <definedName name="Comn" localSheetId="2">[10]Inputs!$K$21</definedName>
    <definedName name="Comn" localSheetId="3">[10]Inputs!$K$21</definedName>
    <definedName name="Comn">[12]Inputs!$K$21</definedName>
    <definedName name="COMP" localSheetId="17">#REF!</definedName>
    <definedName name="COMP" localSheetId="3">#REF!</definedName>
    <definedName name="COMP">#REF!</definedName>
    <definedName name="COMPACTUAL" localSheetId="17">#REF!</definedName>
    <definedName name="COMPACTUAL">#REF!</definedName>
    <definedName name="COMPT" localSheetId="17">#REF!</definedName>
    <definedName name="COMPT">#REF!</definedName>
    <definedName name="COMPWEATHER" localSheetId="17">#REF!</definedName>
    <definedName name="COMPWEATHER">#REF!</definedName>
    <definedName name="copy" hidden="1">#REF!</definedName>
    <definedName name="COSFacVal" localSheetId="2">[5]Inputs!$W$11</definedName>
    <definedName name="COSFacVal" localSheetId="3">[5]Inputs!$W$11</definedName>
    <definedName name="COSFacVal">[6]Inputs!$W$11</definedName>
    <definedName name="Cust_Exp_Acct_903" localSheetId="3">#REF!</definedName>
    <definedName name="Cust_Exp_Acct_903">#REF!</definedName>
    <definedName name="_xlnm.Database" localSheetId="2">[19]Invoice!#REF!</definedName>
    <definedName name="_xlnm.Database" localSheetId="10">[19]Invoice!#REF!</definedName>
    <definedName name="_xlnm.Database" localSheetId="17">[19]Invoice!#REF!</definedName>
    <definedName name="_xlnm.Database" localSheetId="18">[19]Invoice!#REF!</definedName>
    <definedName name="_xlnm.Database">[19]Invoice!#REF!</definedName>
    <definedName name="DATE" localSheetId="17">[20]Jan!#REF!</definedName>
    <definedName name="DATE">[20]Jan!#REF!</definedName>
    <definedName name="Debt">[18]Variables!$AQ$25</definedName>
    <definedName name="Debt_" localSheetId="2">[10]Inputs!$K$19</definedName>
    <definedName name="Debt_" localSheetId="3">[10]Inputs!$K$19</definedName>
    <definedName name="Debt_">[12]Inputs!$K$19</definedName>
    <definedName name="DebtCost">[18]Variables!$AT$25</definedName>
    <definedName name="DEC" localSheetId="17">#REF!</definedName>
    <definedName name="DEC" localSheetId="3">#REF!</definedName>
    <definedName name="DEC">#REF!</definedName>
    <definedName name="DECT" localSheetId="17">#REF!</definedName>
    <definedName name="DECT">#REF!</definedName>
    <definedName name="Demand">[7]Inputs!$D$8</definedName>
    <definedName name="Demand2" localSheetId="2">[5]Inputs!$D$10</definedName>
    <definedName name="Demand2" localSheetId="3">[5]Inputs!$D$10</definedName>
    <definedName name="Demand2">[6]Inputs!$D$10</definedName>
    <definedName name="Dfac">#REF!</definedName>
    <definedName name="Dis" localSheetId="2">[5]FuncStudy!$Y$90</definedName>
    <definedName name="Dis" localSheetId="3">[5]FuncStudy!$Y$90</definedName>
    <definedName name="Dis">'[6]Func Study'!$AB$250</definedName>
    <definedName name="DisFac" localSheetId="2">'[5]Func Dist Factor Table'!$A$11:$G$25</definedName>
    <definedName name="DisFac" localSheetId="3">'[5]Func Dist Factor Table'!$A$11:$G$25</definedName>
    <definedName name="DisFac">'[6]Func Dist Factor Table'!$A$11:$G$25</definedName>
    <definedName name="DisMetr">#REF!</definedName>
    <definedName name="DisPc">#REF!</definedName>
    <definedName name="DisServ">#REF!</definedName>
    <definedName name="DisSubs">#REF!</definedName>
    <definedName name="Dist_factor" localSheetId="17">#REF!</definedName>
    <definedName name="Dist_factor" localSheetId="3">#REF!</definedName>
    <definedName name="Dist_factor">#REF!</definedName>
    <definedName name="DisTot">#REF!</definedName>
    <definedName name="DistSub_Year1">[13]Variables!$C$23</definedName>
    <definedName name="DistSub_Year2">[13]Variables!$D$23</definedName>
    <definedName name="DISTSUB_YR1">[16]Variables!$C$23</definedName>
    <definedName name="DISTSUB_YR2">[16]Variables!$D$23</definedName>
    <definedName name="DisXfmr">#REF!</definedName>
    <definedName name="DmOM">#REF!</definedName>
    <definedName name="DmPlt1">#REF!</definedName>
    <definedName name="DmPlt2">#REF!</definedName>
    <definedName name="DmRvcdt">#REF!</definedName>
    <definedName name="DpOM">#REF!</definedName>
    <definedName name="DpPlt1">#REF!</definedName>
    <definedName name="DpPlt2">#REF!</definedName>
    <definedName name="DpRvcdt">#REF!</definedName>
    <definedName name="dsd" localSheetId="3" hidden="1">[3]Inputs!#REF!</definedName>
    <definedName name="dsd" hidden="1">[3]Inputs!#REF!</definedName>
    <definedName name="DsOM">#REF!</definedName>
    <definedName name="DsPlt1">#REF!</definedName>
    <definedName name="DsPlt2">#REF!</definedName>
    <definedName name="DsrOM">#REF!</definedName>
    <definedName name="DsrPlt1">#REF!</definedName>
    <definedName name="DsrPlt2">#REF!</definedName>
    <definedName name="DsrRvcdt">#REF!</definedName>
    <definedName name="DsRvcdt">#REF!</definedName>
    <definedName name="DtOM">#REF!</definedName>
    <definedName name="DtPlt1">#REF!</definedName>
    <definedName name="DtPlt2">#REF!</definedName>
    <definedName name="DtRvcdt">#REF!</definedName>
    <definedName name="DUDE" localSheetId="17" hidden="1">#REF!</definedName>
    <definedName name="DUDE" localSheetId="3" hidden="1">#REF!</definedName>
    <definedName name="DUDE" hidden="1">#REF!</definedName>
    <definedName name="energy">[17]Readings!$B$3</definedName>
    <definedName name="Engy">[7]Inputs!$D$9</definedName>
    <definedName name="EscalationRegion">[13]Variables!$C$12</definedName>
    <definedName name="f101top" localSheetId="2">#REF!</definedName>
    <definedName name="f101top" localSheetId="17">#REF!</definedName>
    <definedName name="f101top">#REF!</definedName>
    <definedName name="f104top" localSheetId="2">#REF!</definedName>
    <definedName name="f104top" localSheetId="17">#REF!</definedName>
    <definedName name="f104top">#REF!</definedName>
    <definedName name="f138top" localSheetId="2">#REF!</definedName>
    <definedName name="f138top" localSheetId="17">#REF!</definedName>
    <definedName name="f138top">#REF!</definedName>
    <definedName name="f140top" localSheetId="2">#REF!</definedName>
    <definedName name="f140top" localSheetId="17">#REF!</definedName>
    <definedName name="f140top">#REF!</definedName>
    <definedName name="Factorck" localSheetId="2">'[5]COS Factor Table'!$Q$15:$Q$136</definedName>
    <definedName name="Factorck" localSheetId="3">'[5]COS Factor Table'!$Q$15:$Q$136</definedName>
    <definedName name="Factorck">'[6]COS Factor Table'!$S$15:$S$145</definedName>
    <definedName name="FactorMethod">[15]Variables!$AC$2</definedName>
    <definedName name="Factors3">#REF!</definedName>
    <definedName name="FactorType">[9]Variables!$AK$2:$AL$12</definedName>
    <definedName name="FACTP" localSheetId="2">#REF!</definedName>
    <definedName name="FACTP" localSheetId="17">#REF!</definedName>
    <definedName name="FACTP" localSheetId="3">#REF!</definedName>
    <definedName name="FACTP">#REF!</definedName>
    <definedName name="FactSum" localSheetId="2">'[5]COS Factor Table'!$A$14:$Q$137</definedName>
    <definedName name="FactSum" localSheetId="3">'[5]COS Factor Table'!$A$14:$Q$137</definedName>
    <definedName name="FactSum">'[6]COS Factor Table'!$A$14:$S$146</definedName>
    <definedName name="FEB" localSheetId="17">#REF!</definedName>
    <definedName name="FEB" localSheetId="3">#REF!</definedName>
    <definedName name="FEB">#REF!</definedName>
    <definedName name="FEBT" localSheetId="17">#REF!</definedName>
    <definedName name="FEBT">#REF!</definedName>
    <definedName name="Ffac">#REF!</definedName>
    <definedName name="FIX" localSheetId="2">#REF!</definedName>
    <definedName name="FIX" localSheetId="17">#REF!</definedName>
    <definedName name="FIX">#REF!</definedName>
    <definedName name="FranchiseTax">[14]Variables!$D$26</definedName>
    <definedName name="Func" localSheetId="2">'[5]Func Factor Table'!$A$10:$H$76</definedName>
    <definedName name="Func" localSheetId="3">'[5]Func Factor Table'!$A$10:$H$76</definedName>
    <definedName name="Func">'[6]Func Factor Table'!$A$10:$H$78</definedName>
    <definedName name="Func_Ftrs" localSheetId="17">#REF!</definedName>
    <definedName name="Func_Ftrs" localSheetId="3">#REF!</definedName>
    <definedName name="Func_Ftrs">#REF!</definedName>
    <definedName name="Func_GTD_Percents" localSheetId="17">#REF!</definedName>
    <definedName name="Func_GTD_Percents">#REF!</definedName>
    <definedName name="Func_MC" localSheetId="17">#REF!</definedName>
    <definedName name="Func_MC">#REF!</definedName>
    <definedName name="Func_Percents" localSheetId="17">#REF!</definedName>
    <definedName name="Func_Percents">#REF!</definedName>
    <definedName name="Func_Rev_Req1" localSheetId="17">#REF!</definedName>
    <definedName name="Func_Rev_Req1">#REF!</definedName>
    <definedName name="Func_Rev_Req2" localSheetId="17">#REF!</definedName>
    <definedName name="Func_Rev_Req2">#REF!</definedName>
    <definedName name="Func_Revenue" localSheetId="17">#REF!</definedName>
    <definedName name="Func_Revenue">#REF!</definedName>
    <definedName name="Function" localSheetId="2">[5]FuncStudy!$Y$90</definedName>
    <definedName name="Function" localSheetId="3">[5]FuncStudy!$Y$90</definedName>
    <definedName name="Function">'[6]Func Study'!$AB$250</definedName>
    <definedName name="GenDem">#REF!</definedName>
    <definedName name="GenEgy">#REF!</definedName>
    <definedName name="GenTot">#REF!</definedName>
    <definedName name="GREATER10MW" localSheetId="17">#REF!</definedName>
    <definedName name="GREATER10MW" localSheetId="3">#REF!</definedName>
    <definedName name="GREATER10MW">#REF!</definedName>
    <definedName name="GrossReceipts">[15]Variables!$B$31</definedName>
    <definedName name="GTD_Percents" localSheetId="17">#REF!</definedName>
    <definedName name="GTD_Percents" localSheetId="3">#REF!</definedName>
    <definedName name="GTD_Percents">#REF!</definedName>
    <definedName name="HEIGHT" localSheetId="17">#REF!</definedName>
    <definedName name="HEIGHT">#REF!</definedName>
    <definedName name="High_Plan">#REF!</definedName>
    <definedName name="ID_0303_RVN_data" localSheetId="17">#REF!</definedName>
    <definedName name="ID_0303_RVN_data">#REF!</definedName>
    <definedName name="IDcontractsRVN" localSheetId="17">#REF!</definedName>
    <definedName name="IDcontractsRVN">#REF!</definedName>
    <definedName name="IncomeTaxOptVal" localSheetId="2">[5]Inputs!$Y$11</definedName>
    <definedName name="IncomeTaxOptVal" localSheetId="3">[5]Inputs!$Y$11</definedName>
    <definedName name="IncomeTaxOptVal">[12]Inputs!$Y$11</definedName>
    <definedName name="INDADJ" localSheetId="17">#REF!</definedName>
    <definedName name="INDADJ" localSheetId="3">#REF!</definedName>
    <definedName name="INDADJ">#REF!</definedName>
    <definedName name="INPUT" localSheetId="17">[21]Summary!#REF!</definedName>
    <definedName name="INPUT" localSheetId="3">[21]Summary!#REF!</definedName>
    <definedName name="INPUT">[21]Summary!#REF!</definedName>
    <definedName name="Instructions" localSheetId="2">#REF!</definedName>
    <definedName name="Instructions" localSheetId="17">#REF!</definedName>
    <definedName name="Instructions" localSheetId="3">#REF!</definedName>
    <definedName name="Instructions">#REF!</definedName>
    <definedName name="IRR" localSheetId="17">#REF!</definedName>
    <definedName name="IRR">#REF!</definedName>
    <definedName name="IRRIGATION" localSheetId="2">#REF!</definedName>
    <definedName name="IRRIGATION" localSheetId="17">#REF!</definedName>
    <definedName name="IRRIGATION">#REF!</definedName>
    <definedName name="JAN" localSheetId="17">#REF!</definedName>
    <definedName name="JAN">#REF!</definedName>
    <definedName name="JANT" localSheetId="17">#REF!</definedName>
    <definedName name="JANT">#REF!</definedName>
    <definedName name="JUL" localSheetId="17">#REF!</definedName>
    <definedName name="JUL">#REF!</definedName>
    <definedName name="JULT" localSheetId="17">#REF!</definedName>
    <definedName name="JULT">#REF!</definedName>
    <definedName name="JUN" localSheetId="17">#REF!</definedName>
    <definedName name="JUN">#REF!</definedName>
    <definedName name="JUNT" localSheetId="17">#REF!</definedName>
    <definedName name="JUNT">#REF!</definedName>
    <definedName name="Jurisdiction">[9]Variables!$AK$15</definedName>
    <definedName name="JurisNumber">[9]Variables!$AL$15</definedName>
    <definedName name="LABORMOD" localSheetId="17">#REF!</definedName>
    <definedName name="LABORMOD" localSheetId="3">#REF!</definedName>
    <definedName name="LABORMOD">#REF!</definedName>
    <definedName name="LABORROLL" localSheetId="17">#REF!</definedName>
    <definedName name="LABORROLL">#REF!</definedName>
    <definedName name="LastCell">[22]Variance!#REF!</definedName>
    <definedName name="LeadLag">[15]Inputs!#REF!</definedName>
    <definedName name="LIGHT_YR1">[16]Variables!$C$24</definedName>
    <definedName name="LIGHT_YR2">[16]Variables!$D$24</definedName>
    <definedName name="limcount" hidden="1">1</definedName>
    <definedName name="Line_Ext_Credit" localSheetId="17">#REF!</definedName>
    <definedName name="Line_Ext_Credit" localSheetId="3">#REF!</definedName>
    <definedName name="Line_Ext_Credit">#REF!</definedName>
    <definedName name="LinkCos" localSheetId="2">'[5]JAM Download'!$I$4</definedName>
    <definedName name="LinkCos" localSheetId="3">'[5]JAM Download'!$I$4</definedName>
    <definedName name="LinkCos">'[6]JAM Download'!$I$4</definedName>
    <definedName name="LOG" localSheetId="17">[23]Backup!#REF!</definedName>
    <definedName name="LOG" localSheetId="3">[23]Backup!#REF!</definedName>
    <definedName name="LOG">[23]Backup!#REF!</definedName>
    <definedName name="LOSS" localSheetId="17">[23]Backup!#REF!</definedName>
    <definedName name="LOSS" localSheetId="3">[23]Backup!#REF!</definedName>
    <definedName name="LOSS">[23]Backup!#REF!</definedName>
    <definedName name="Low_Plan">#REF!</definedName>
    <definedName name="MACTIT" localSheetId="2">#REF!</definedName>
    <definedName name="MACTIT" localSheetId="17">#REF!</definedName>
    <definedName name="MACTIT" localSheetId="3">#REF!</definedName>
    <definedName name="MACTIT">#REF!</definedName>
    <definedName name="MAR" localSheetId="17">#REF!</definedName>
    <definedName name="MAR">#REF!</definedName>
    <definedName name="MART" localSheetId="17">#REF!</definedName>
    <definedName name="MART">#REF!</definedName>
    <definedName name="MAY" localSheetId="17">#REF!</definedName>
    <definedName name="MAY">#REF!</definedName>
    <definedName name="MAYT" localSheetId="17">#REF!</definedName>
    <definedName name="MAYT">#REF!</definedName>
    <definedName name="MCtoREV" localSheetId="17">#REF!</definedName>
    <definedName name="MCtoREV">#REF!</definedName>
    <definedName name="MD_High1">'[22]Master Data'!$A$2</definedName>
    <definedName name="MD_Low1">'[22]Master Data'!$D$28</definedName>
    <definedName name="MEN" localSheetId="17">[1]Jan!#REF!</definedName>
    <definedName name="MEN" localSheetId="3">[1]Jan!#REF!</definedName>
    <definedName name="MEN">[1]Jan!#REF!</definedName>
    <definedName name="Menu_Begin" localSheetId="2">#REF!</definedName>
    <definedName name="Menu_Begin" localSheetId="17">#REF!</definedName>
    <definedName name="Menu_Begin">#REF!</definedName>
    <definedName name="Menu_Caption" localSheetId="2">#REF!</definedName>
    <definedName name="Menu_Caption" localSheetId="17">#REF!</definedName>
    <definedName name="Menu_Caption">#REF!</definedName>
    <definedName name="Menu_Large" localSheetId="2">[24]MacroBuilder!#REF!</definedName>
    <definedName name="Menu_Large" localSheetId="17">[24]MacroBuilder!#REF!</definedName>
    <definedName name="Menu_Large" localSheetId="3">[24]MacroBuilder!#REF!</definedName>
    <definedName name="Menu_Large">#REF!</definedName>
    <definedName name="Menu_Name" localSheetId="2">#REF!</definedName>
    <definedName name="Menu_Name" localSheetId="17">#REF!</definedName>
    <definedName name="Menu_Name" localSheetId="3">#REF!</definedName>
    <definedName name="Menu_Name">#REF!</definedName>
    <definedName name="Menu_OnAction" localSheetId="2">#REF!</definedName>
    <definedName name="Menu_OnAction" localSheetId="17">#REF!</definedName>
    <definedName name="Menu_OnAction">#REF!</definedName>
    <definedName name="Menu_Parent" localSheetId="2">#REF!</definedName>
    <definedName name="Menu_Parent" localSheetId="17">#REF!</definedName>
    <definedName name="Menu_Parent">#REF!</definedName>
    <definedName name="Menu_Small" localSheetId="2">[24]MacroBuilder!#REF!</definedName>
    <definedName name="Menu_Small" localSheetId="17">[24]MacroBuilder!#REF!</definedName>
    <definedName name="Menu_Small" localSheetId="3">[24]MacroBuilder!#REF!</definedName>
    <definedName name="Menu_Small">#REF!</definedName>
    <definedName name="Meter_Year1">[13]Variables!$C$19</definedName>
    <definedName name="Meter_Year2">[13]Variables!$D$19</definedName>
    <definedName name="Method">[7]Inputs!$C$6</definedName>
    <definedName name="MiscTot">#REF!</definedName>
    <definedName name="MONTH" localSheetId="17">[23]Backup!#REF!</definedName>
    <definedName name="MONTH" localSheetId="3">[23]Backup!#REF!</definedName>
    <definedName name="MONTH">[23]Backup!#REF!</definedName>
    <definedName name="monthlist">[25]Table!$R$2:$S$13</definedName>
    <definedName name="monthtotals">'[25]WA SBC'!$D$40:$O$40</definedName>
    <definedName name="MSPAverageInput" localSheetId="17">[26]Inputs!#REF!</definedName>
    <definedName name="MSPAverageInput" localSheetId="3">[26]Inputs!#REF!</definedName>
    <definedName name="MSPAverageInput">[26]Inputs!#REF!</definedName>
    <definedName name="MSPYearEndInput" localSheetId="17">[26]Inputs!#REF!</definedName>
    <definedName name="MSPYearEndInput" localSheetId="3">[26]Inputs!#REF!</definedName>
    <definedName name="MSPYearEndInput">[26]Inputs!#REF!</definedName>
    <definedName name="MTKWH" localSheetId="17">#REF!</definedName>
    <definedName name="MTKWH" localSheetId="3">#REF!</definedName>
    <definedName name="MTKWH">#REF!</definedName>
    <definedName name="MTR_YR1">[16]Variables!$C$19</definedName>
    <definedName name="MTR_YR2">[16]Variables!$D$19</definedName>
    <definedName name="MTR_YR3">[27]Variables!$E$14</definedName>
    <definedName name="MTREV" localSheetId="17">#REF!</definedName>
    <definedName name="MTREV" localSheetId="3">#REF!</definedName>
    <definedName name="MTREV">#REF!</definedName>
    <definedName name="MULT" localSheetId="17">#REF!</definedName>
    <definedName name="MULT">#REF!</definedName>
    <definedName name="NetLagDays">[5]Inputs!$H$23</definedName>
    <definedName name="NetToGross">[14]Variables!$D$23</definedName>
    <definedName name="NEWMO1" localSheetId="17">[1]Jan!#REF!</definedName>
    <definedName name="NEWMO1" localSheetId="3">[1]Jan!#REF!</definedName>
    <definedName name="NEWMO1">[1]Jan!#REF!</definedName>
    <definedName name="NEWMO2" localSheetId="17">[1]Jan!#REF!</definedName>
    <definedName name="NEWMO2" localSheetId="3">[1]Jan!#REF!</definedName>
    <definedName name="NEWMO2">[1]Jan!#REF!</definedName>
    <definedName name="NEWMONTH" localSheetId="17">[1]Jan!#REF!</definedName>
    <definedName name="NEWMONTH">[1]Jan!#REF!</definedName>
    <definedName name="NONRES" localSheetId="17">#REF!</definedName>
    <definedName name="NONRES" localSheetId="3">#REF!</definedName>
    <definedName name="NONRES">#REF!</definedName>
    <definedName name="NORMALIZE" localSheetId="17">#REF!</definedName>
    <definedName name="NORMALIZE">#REF!</definedName>
    <definedName name="NOV" localSheetId="17">#REF!</definedName>
    <definedName name="NOV">#REF!</definedName>
    <definedName name="NOVT" localSheetId="17">#REF!</definedName>
    <definedName name="NOVT">#REF!</definedName>
    <definedName name="NUM" localSheetId="2">#REF!</definedName>
    <definedName name="NUM" localSheetId="17">#REF!</definedName>
    <definedName name="NUM">#REF!</definedName>
    <definedName name="OCT" localSheetId="17">#REF!</definedName>
    <definedName name="OCT">#REF!</definedName>
    <definedName name="OCTT" localSheetId="17">#REF!</definedName>
    <definedName name="OCTT">#REF!</definedName>
    <definedName name="OH" localSheetId="2">[5]Inputs!$D$24</definedName>
    <definedName name="OH" localSheetId="3">[5]Inputs!$D$24</definedName>
    <definedName name="OH">[6]Inputs!$D$24</definedName>
    <definedName name="ONE" localSheetId="17">[1]Jan!#REF!</definedName>
    <definedName name="ONE" localSheetId="3">[1]Jan!#REF!</definedName>
    <definedName name="ONE">[1]Jan!#REF!</definedName>
    <definedName name="OperatingIncome">#REF!</definedName>
    <definedName name="option">'[11]Dist Misc'!$F$120</definedName>
    <definedName name="OR_305_12mo_endg_200203" localSheetId="17">#REF!</definedName>
    <definedName name="OR_305_12mo_endg_200203" localSheetId="3">#REF!</definedName>
    <definedName name="OR_305_12mo_endg_200203">#REF!</definedName>
    <definedName name="P" localSheetId="2">#REF!</definedName>
    <definedName name="P" localSheetId="17">#REF!</definedName>
    <definedName name="P">#REF!</definedName>
    <definedName name="page1" localSheetId="17">[21]Summary!#REF!</definedName>
    <definedName name="page1" localSheetId="3">[21]Summary!#REF!</definedName>
    <definedName name="page1">[21]Summary!#REF!</definedName>
    <definedName name="page14">#REF!</definedName>
    <definedName name="Page160">#REF!</definedName>
    <definedName name="Page161">#REF!</definedName>
    <definedName name="Page162">#REF!</definedName>
    <definedName name="Page163">#REF!</definedName>
    <definedName name="Page164">#REF!</definedName>
    <definedName name="Page165">#REF!</definedName>
    <definedName name="Page166">#REF!</definedName>
    <definedName name="Page167">#REF!</definedName>
    <definedName name="Page168">#REF!</definedName>
    <definedName name="Page169">#REF!</definedName>
    <definedName name="page17">#REF!</definedName>
    <definedName name="Page170">#REF!</definedName>
    <definedName name="Page171">#REF!</definedName>
    <definedName name="Page172">#REF!</definedName>
    <definedName name="Page173">#REF!</definedName>
    <definedName name="Page174">#REF!</definedName>
    <definedName name="Page175">#REF!</definedName>
    <definedName name="Page176">#REF!</definedName>
    <definedName name="Page177">#REF!</definedName>
    <definedName name="Page178">#REF!</definedName>
    <definedName name="page18">#REF!</definedName>
    <definedName name="page19">#REF!</definedName>
    <definedName name="Page2" localSheetId="17">'[28]Summary Table - Earned'!#REF!</definedName>
    <definedName name="Page2" localSheetId="3">'[28]Summary Table - Earned'!#REF!</definedName>
    <definedName name="Page2">'[28]Summary Table - Earned'!#REF!</definedName>
    <definedName name="page20">#REF!</definedName>
    <definedName name="page21">#REF!</definedName>
    <definedName name="Page238">#REF!</definedName>
    <definedName name="Page239">#REF!</definedName>
    <definedName name="Page258">#REF!</definedName>
    <definedName name="Page259">#REF!</definedName>
    <definedName name="Page278">#REF!</definedName>
    <definedName name="Page279">#REF!</definedName>
    <definedName name="PAGE3" localSheetId="17">#REF!</definedName>
    <definedName name="PAGE3" localSheetId="3">#REF!</definedName>
    <definedName name="PAGE3">#REF!</definedName>
    <definedName name="Page4" localSheetId="17">#REF!</definedName>
    <definedName name="Page4">#REF!</definedName>
    <definedName name="Page5" localSheetId="17">#REF!</definedName>
    <definedName name="Page5">#REF!</definedName>
    <definedName name="Page62" localSheetId="17">[24]TransInvest!#REF!</definedName>
    <definedName name="Page62" localSheetId="3">[24]TransInvest!#REF!</definedName>
    <definedName name="Page62">[24]TransInvest!#REF!</definedName>
    <definedName name="page63" localSheetId="3">'[8]Energy Factor'!#REF!</definedName>
    <definedName name="page63">'[8]Energy Factor'!#REF!</definedName>
    <definedName name="page64" localSheetId="3">'[8]Energy Factor'!#REF!</definedName>
    <definedName name="page64">'[8]Energy Factor'!#REF!</definedName>
    <definedName name="page65" localSheetId="17">#REF!</definedName>
    <definedName name="page65" localSheetId="3">#REF!</definedName>
    <definedName name="page65">#REF!</definedName>
    <definedName name="page66" localSheetId="17">#REF!</definedName>
    <definedName name="page66">#REF!</definedName>
    <definedName name="page67" localSheetId="17">#REF!</definedName>
    <definedName name="page67">#REF!</definedName>
    <definedName name="page68" localSheetId="17">#REF!</definedName>
    <definedName name="page68">#REF!</definedName>
    <definedName name="page69" localSheetId="17">#REF!</definedName>
    <definedName name="page69">#REF!</definedName>
    <definedName name="Page7" localSheetId="2">#REF!</definedName>
    <definedName name="Page7" localSheetId="17">#REF!</definedName>
    <definedName name="Page7">#REF!</definedName>
    <definedName name="page8" localSheetId="2">#REF!</definedName>
    <definedName name="page8" localSheetId="17">#REF!</definedName>
    <definedName name="page8">#REF!</definedName>
    <definedName name="PALL" localSheetId="17">#REF!</definedName>
    <definedName name="PALL">#REF!</definedName>
    <definedName name="PBLOCK" localSheetId="17">#REF!</definedName>
    <definedName name="PBLOCK">#REF!</definedName>
    <definedName name="PBLOCKWZ" localSheetId="17">#REF!</definedName>
    <definedName name="PBLOCKWZ">#REF!</definedName>
    <definedName name="PC_Year1">[13]Variables!$C$21</definedName>
    <definedName name="PC_Year2">[13]Variables!$D$21</definedName>
    <definedName name="PC_YR1">[16]Variables!$C$21</definedName>
    <definedName name="PC_YR2">[16]Variables!$D$21</definedName>
    <definedName name="PCOMP" localSheetId="17">#REF!</definedName>
    <definedName name="PCOMP" localSheetId="3">#REF!</definedName>
    <definedName name="PCOMP">#REF!</definedName>
    <definedName name="PCOMPOSITES" localSheetId="17">#REF!</definedName>
    <definedName name="PCOMPOSITES">#REF!</definedName>
    <definedName name="PCOMPWZ" localSheetId="17">#REF!</definedName>
    <definedName name="PCOMPWZ">#REF!</definedName>
    <definedName name="PeakMethod">[7]Inputs!$T$5</definedName>
    <definedName name="PLUG" localSheetId="2">#REF!</definedName>
    <definedName name="PLUG" localSheetId="17">#REF!</definedName>
    <definedName name="PLUG" localSheetId="3">#REF!</definedName>
    <definedName name="PLUG">#REF!</definedName>
    <definedName name="PMAC" localSheetId="17">[23]Backup!#REF!</definedName>
    <definedName name="PMAC" localSheetId="3">[23]Backup!#REF!</definedName>
    <definedName name="PMAC">[23]Backup!#REF!</definedName>
    <definedName name="PostDE">[15]Variables!#REF!</definedName>
    <definedName name="PostDG">[15]Variables!#REF!</definedName>
    <definedName name="PreDG">[15]Variables!#REF!</definedName>
    <definedName name="Pref">[18]Variables!$AQ$26</definedName>
    <definedName name="Pref_" localSheetId="2">[10]Inputs!$K$20</definedName>
    <definedName name="Pref_" localSheetId="3">[10]Inputs!$K$20</definedName>
    <definedName name="Pref_">[12]Inputs!$K$20</definedName>
    <definedName name="PrefCost">[18]Variables!$AT$26</definedName>
    <definedName name="PRESENT" localSheetId="17">#REF!</definedName>
    <definedName name="PRESENT" localSheetId="3">#REF!</definedName>
    <definedName name="PRESENT">#REF!</definedName>
    <definedName name="PRICCHNG" localSheetId="17">#REF!</definedName>
    <definedName name="PRICCHNG">#REF!</definedName>
    <definedName name="_xlnm.Print_Area" localSheetId="2">'Company Rate Spread'!$A$1:$Q$51</definedName>
    <definedName name="_xlnm.Print_Area" localSheetId="6">'Exhibit RMP-(WRG-1)'!$A$1:$U$53</definedName>
    <definedName name="_xlnm.Print_Area" localSheetId="7">'Exhibit RMP-(WRG-2a)'!$A$1:$B$25</definedName>
    <definedName name="_xlnm.Print_Area" localSheetId="8">'Exhibit RMP-(WRG-2b)'!$A$1:$D$29</definedName>
    <definedName name="_xlnm.Print_Area" localSheetId="9">'Exhibit RMP-(WRG-5)'!$A$1:$O$856</definedName>
    <definedName name="_xlnm.Print_Area" localSheetId="10">'Exhibit RMP-(WRG-6)-Sch1'!$A$1:$W$36</definedName>
    <definedName name="_xlnm.Print_Area" localSheetId="15">'Exhibit RMP-(WRG-6)-Sch10'!$A$1:$T$35</definedName>
    <definedName name="_xlnm.Print_Area" localSheetId="11">'Exhibit RMP-(WRG-6)-Sch23'!$A$1:$S$28</definedName>
    <definedName name="_xlnm.Print_Area" localSheetId="12">'Exhibit RMP-(WRG-6)-Sch6'!$A$1:$S$31</definedName>
    <definedName name="_xlnm.Print_Area" localSheetId="13">'Exhibit RMP-(WRG-6)-Sch8'!$A$1:$U$62</definedName>
    <definedName name="_xlnm.Print_Area" localSheetId="14">'Exhibit RMP-(WRG-6)-Sch9'!$A$1:$U$62</definedName>
    <definedName name="_xlnm.Print_Area" localSheetId="17">MPA!$A$1:$S$533</definedName>
    <definedName name="_xlnm.Print_Area" localSheetId="3">'OCS Rate Spread'!$A$1:$S$67</definedName>
    <definedName name="_xlnm.Print_Area" localSheetId="18">#REF!</definedName>
    <definedName name="_xlnm.Print_Area" localSheetId="16">RateSpread!$A$1:$U$68</definedName>
    <definedName name="_xlnm.Print_Area">#REF!</definedName>
    <definedName name="_xlnm.Print_Titles" localSheetId="2">'Company Rate Spread'!$A:$K,'Company Rate Spread'!$9:$13</definedName>
    <definedName name="_xlnm.Print_Titles" localSheetId="6">'Exhibit RMP-(WRG-1)'!$A:$M,'Exhibit RMP-(WRG-1)'!$8:$13</definedName>
    <definedName name="_xlnm.Print_Titles" localSheetId="9">'Exhibit RMP-(WRG-5)'!$1:$9</definedName>
    <definedName name="_xlnm.Print_Titles" localSheetId="17">MPA!$1:$9</definedName>
    <definedName name="_xlnm.Print_Titles" localSheetId="3">'OCS Rate Spread'!$A:$K,'OCS Rate Spread'!$9:$13</definedName>
    <definedName name="_xlnm.Print_Titles" localSheetId="16">RateSpread!$A:$M,RateSpread!$9:$13</definedName>
    <definedName name="Print_Titles_MI" localSheetId="9">'Exhibit RMP-(WRG-5)'!$1:$9</definedName>
    <definedName name="Print_Titles_MI" localSheetId="17">MPA!$1:$9</definedName>
    <definedName name="PROPOSED" localSheetId="17">#REF!</definedName>
    <definedName name="PROPOSED" localSheetId="3">#REF!</definedName>
    <definedName name="PROPOSED">#REF!</definedName>
    <definedName name="ProRate1" localSheetId="17">#REF!</definedName>
    <definedName name="ProRate1">#REF!</definedName>
    <definedName name="PTABLES" localSheetId="17">#REF!</definedName>
    <definedName name="PTABLES">#REF!</definedName>
    <definedName name="PTDMOD" localSheetId="17">#REF!</definedName>
    <definedName name="PTDMOD">#REF!</definedName>
    <definedName name="PTDROLL" localSheetId="17">#REF!</definedName>
    <definedName name="PTDROLL">#REF!</definedName>
    <definedName name="PTMOD" localSheetId="17">#REF!</definedName>
    <definedName name="PTMOD">#REF!</definedName>
    <definedName name="PTROLL" localSheetId="17">#REF!</definedName>
    <definedName name="PTROLL">#REF!</definedName>
    <definedName name="PWORKBACK" localSheetId="17">#REF!</definedName>
    <definedName name="PWORKBACK">#REF!</definedName>
    <definedName name="Query1" localSheetId="17">#REF!</definedName>
    <definedName name="Query1">#REF!</definedName>
    <definedName name="RateCd" localSheetId="17">#REF!</definedName>
    <definedName name="RateCd">#REF!</definedName>
    <definedName name="Rates" localSheetId="17">#REF!</definedName>
    <definedName name="Rates">#REF!</definedName>
    <definedName name="RC_ADJ" localSheetId="17">#REF!</definedName>
    <definedName name="RC_ADJ">#REF!</definedName>
    <definedName name="RESADJ" localSheetId="17">#REF!</definedName>
    <definedName name="RESADJ">#REF!</definedName>
    <definedName name="RESIDENTIAL" localSheetId="17">#REF!</definedName>
    <definedName name="RESIDENTIAL">#REF!</definedName>
    <definedName name="ResourceSupplier">[14]Variables!$D$28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localSheetId="15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localSheetId="12" hidden="1">{#N/A,#N/A,FALSE,"Loans";#N/A,#N/A,FALSE,"Program Costs";#N/A,#N/A,FALSE,"Measures";#N/A,#N/A,FALSE,"Net Lost Rev";#N/A,#N/A,FALSE,"Incentive"}</definedName>
    <definedName name="retail_CC" localSheetId="13" hidden="1">{#N/A,#N/A,FALSE,"Loans";#N/A,#N/A,FALSE,"Program Costs";#N/A,#N/A,FALSE,"Measures";#N/A,#N/A,FALSE,"Net Lost Rev";#N/A,#N/A,FALSE,"Incentive"}</definedName>
    <definedName name="retail_CC" localSheetId="14" hidden="1">{#N/A,#N/A,FALSE,"Loans";#N/A,#N/A,FALSE,"Program Costs";#N/A,#N/A,FALSE,"Measures";#N/A,#N/A,FALSE,"Net Lost Rev";#N/A,#N/A,FALSE,"Incentive"}</definedName>
    <definedName name="retail_CC" localSheetId="17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localSheetId="15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localSheetId="12" hidden="1">{#N/A,#N/A,FALSE,"Loans";#N/A,#N/A,FALSE,"Program Costs";#N/A,#N/A,FALSE,"Measures";#N/A,#N/A,FALSE,"Net Lost Rev";#N/A,#N/A,FALSE,"Incentive"}</definedName>
    <definedName name="retail_CC1" localSheetId="13" hidden="1">{#N/A,#N/A,FALSE,"Loans";#N/A,#N/A,FALSE,"Program Costs";#N/A,#N/A,FALSE,"Measures";#N/A,#N/A,FALSE,"Net Lost Rev";#N/A,#N/A,FALSE,"Incentive"}</definedName>
    <definedName name="retail_CC1" localSheetId="14" hidden="1">{#N/A,#N/A,FALSE,"Loans";#N/A,#N/A,FALSE,"Program Costs";#N/A,#N/A,FALSE,"Measures";#N/A,#N/A,FALSE,"Net Lost Rev";#N/A,#N/A,FALSE,"Incentive"}</definedName>
    <definedName name="retail_CC1" localSheetId="17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17">#REF!</definedName>
    <definedName name="REV_SCHD" localSheetId="3">#REF!</definedName>
    <definedName name="REV_SCHD">#REF!</definedName>
    <definedName name="RevCl" localSheetId="17">#REF!</definedName>
    <definedName name="RevCl">#REF!</definedName>
    <definedName name="RevClass" localSheetId="17">#REF!</definedName>
    <definedName name="RevClass">#REF!</definedName>
    <definedName name="Revenue_by_month_take_2" localSheetId="17">#REF!</definedName>
    <definedName name="Revenue_by_month_take_2">#REF!</definedName>
    <definedName name="Revenue1">'[16]PPL_905_Pg1 (RR by Class)'!$C$37</definedName>
    <definedName name="revenue3" localSheetId="17">#REF!</definedName>
    <definedName name="revenue3" localSheetId="3">#REF!</definedName>
    <definedName name="revenue3">#REF!</definedName>
    <definedName name="RevenueCheck" localSheetId="17">#REF!</definedName>
    <definedName name="RevenueCheck">#REF!</definedName>
    <definedName name="Revenues" localSheetId="17">#REF!</definedName>
    <definedName name="Revenues">#REF!</definedName>
    <definedName name="RevenueTax">[15]Variables!$B$29</definedName>
    <definedName name="RevReqSettle" localSheetId="17">#REF!</definedName>
    <definedName name="RevReqSettle" localSheetId="3">#REF!</definedName>
    <definedName name="RevReqSettle">#REF!</definedName>
    <definedName name="REVVSTRS" localSheetId="17">#REF!</definedName>
    <definedName name="REVVSTRS">#REF!</definedName>
    <definedName name="RISFORM" localSheetId="17">#REF!</definedName>
    <definedName name="RISFORM">#REF!</definedName>
    <definedName name="RtlTot">#REF!</definedName>
    <definedName name="SAPBEXrevision" hidden="1">1</definedName>
    <definedName name="SAPBEXsysID" hidden="1">"BWP"</definedName>
    <definedName name="SAPBEXwbID" hidden="1">"45EQYSCWE9WJMGB34OOD1BOQZ"</definedName>
    <definedName name="SCH33CUSTS" localSheetId="17">#REF!</definedName>
    <definedName name="SCH33CUSTS" localSheetId="3">#REF!</definedName>
    <definedName name="SCH33CUSTS">#REF!</definedName>
    <definedName name="SCH48ADJ" localSheetId="17">#REF!</definedName>
    <definedName name="SCH48ADJ">#REF!</definedName>
    <definedName name="SCH98NOR" localSheetId="17">#REF!</definedName>
    <definedName name="SCH98NOR">#REF!</definedName>
    <definedName name="SCHED47" localSheetId="17">#REF!</definedName>
    <definedName name="SCHED47">#REF!</definedName>
    <definedName name="SCHMD">#REF!</definedName>
    <definedName name="se" localSheetId="17">#REF!</definedName>
    <definedName name="se">#REF!</definedName>
    <definedName name="SECOND" localSheetId="17">[1]Jan!#REF!</definedName>
    <definedName name="SECOND" localSheetId="3">[1]Jan!#REF!</definedName>
    <definedName name="SECOND">[1]Jan!#REF!</definedName>
    <definedName name="SEP" localSheetId="17">#REF!</definedName>
    <definedName name="SEP" localSheetId="3">#REF!</definedName>
    <definedName name="SEP">#REF!</definedName>
    <definedName name="SEPT" localSheetId="17">#REF!</definedName>
    <definedName name="SEPT">#REF!</definedName>
    <definedName name="September_2001_305_Detail" localSheetId="17">#REF!</definedName>
    <definedName name="September_2001_305_Detail">#REF!</definedName>
    <definedName name="Service_Year1">[13]Variables!$C$18</definedName>
    <definedName name="Service_Year2">[13]Variables!$D$18</definedName>
    <definedName name="SERVICES_3" localSheetId="17">#REF!</definedName>
    <definedName name="SERVICES_3" localSheetId="3">#REF!</definedName>
    <definedName name="SERVICES_3">#REF!</definedName>
    <definedName name="sg" localSheetId="17">#REF!</definedName>
    <definedName name="sg">#REF!</definedName>
    <definedName name="SIT">[15]Variables!$AF$32</definedName>
    <definedName name="SITRate">[5]Inputs!$H$20</definedName>
    <definedName name="solver_adj" localSheetId="9" hidden="1">'Exhibit RMP-(WRG-5)'!#REF!</definedName>
    <definedName name="solver_adj" localSheetId="11" hidden="1">'Exhibit RMP-(WRG-6)-Sch23'!$C$24</definedName>
    <definedName name="solver_adj" localSheetId="17" hidden="1">MPA!#REF!</definedName>
    <definedName name="solver_cvg" localSheetId="9" hidden="1">0.001</definedName>
    <definedName name="solver_cvg" localSheetId="17" hidden="1">0.001</definedName>
    <definedName name="solver_drv" localSheetId="9" hidden="1">1</definedName>
    <definedName name="solver_drv" localSheetId="17" hidden="1">1</definedName>
    <definedName name="solver_est" localSheetId="9" hidden="1">1</definedName>
    <definedName name="solver_est" localSheetId="17" hidden="1">1</definedName>
    <definedName name="solver_itr" localSheetId="9" hidden="1">100</definedName>
    <definedName name="solver_itr" localSheetId="17" hidden="1">100</definedName>
    <definedName name="solver_lin" localSheetId="9" hidden="1">2</definedName>
    <definedName name="solver_lin" localSheetId="11" hidden="1">0</definedName>
    <definedName name="solver_lin" localSheetId="17" hidden="1">2</definedName>
    <definedName name="solver_neg" localSheetId="9" hidden="1">2</definedName>
    <definedName name="solver_neg" localSheetId="17" hidden="1">2</definedName>
    <definedName name="solver_num" localSheetId="9" hidden="1">0</definedName>
    <definedName name="solver_num" localSheetId="11" hidden="1">0</definedName>
    <definedName name="solver_num" localSheetId="17" hidden="1">0</definedName>
    <definedName name="solver_nwt" localSheetId="9" hidden="1">1</definedName>
    <definedName name="solver_nwt" localSheetId="17" hidden="1">1</definedName>
    <definedName name="solver_opt" localSheetId="9" hidden="1">'Exhibit RMP-(WRG-5)'!#REF!</definedName>
    <definedName name="solver_opt" localSheetId="11" hidden="1">'Exhibit RMP-(WRG-6)-Sch23'!$S$24</definedName>
    <definedName name="solver_opt" localSheetId="17" hidden="1">MPA!#REF!</definedName>
    <definedName name="solver_pre" localSheetId="9" hidden="1">0.000001</definedName>
    <definedName name="solver_pre" localSheetId="17" hidden="1">0.000001</definedName>
    <definedName name="solver_scl" localSheetId="9" hidden="1">2</definedName>
    <definedName name="solver_scl" localSheetId="17" hidden="1">2</definedName>
    <definedName name="solver_sho" localSheetId="9" hidden="1">2</definedName>
    <definedName name="solver_sho" localSheetId="17" hidden="1">2</definedName>
    <definedName name="solver_tim" localSheetId="9" hidden="1">100</definedName>
    <definedName name="solver_tim" localSheetId="17" hidden="1">100</definedName>
    <definedName name="solver_tol" localSheetId="9" hidden="1">0.05</definedName>
    <definedName name="solver_tol" localSheetId="17" hidden="1">0.05</definedName>
    <definedName name="solver_typ" localSheetId="9" hidden="1">2</definedName>
    <definedName name="solver_typ" localSheetId="11" hidden="1">3</definedName>
    <definedName name="solver_typ" localSheetId="17" hidden="1">2</definedName>
    <definedName name="solver_val" localSheetId="9" hidden="1">0</definedName>
    <definedName name="solver_val" localSheetId="11" hidden="1">0</definedName>
    <definedName name="solver_val" localSheetId="17" hidden="1">0</definedName>
    <definedName name="SRV_YR1">[16]Variables!$C$18</definedName>
    <definedName name="SRV_YR2">[16]Variables!$D$18</definedName>
    <definedName name="ST_Bottom1">[22]Variance!#REF!</definedName>
    <definedName name="START" localSheetId="2">[1]Jan!#REF!</definedName>
    <definedName name="START" localSheetId="17">[1]Jan!#REF!</definedName>
    <definedName name="START" localSheetId="3">[1]Jan!#REF!</definedName>
    <definedName name="Start">'[13]Circuit Model Intro'!#REF!</definedName>
    <definedName name="State" localSheetId="2">[5]Inputs!$C$5</definedName>
    <definedName name="State" localSheetId="3">[5]Inputs!$C$5</definedName>
    <definedName name="State">[13]Variables!$C$10</definedName>
    <definedName name="Streetlight_Year1">[13]Variables!$C$24</definedName>
    <definedName name="Streetlight_Year2">[13]Variables!$D$24</definedName>
    <definedName name="SUM_TAB1" localSheetId="17">#REF!</definedName>
    <definedName name="SUM_TAB1" localSheetId="3">#REF!</definedName>
    <definedName name="SUM_TAB1">#REF!</definedName>
    <definedName name="SUM_TAB2" localSheetId="17">#REF!</definedName>
    <definedName name="SUM_TAB2">#REF!</definedName>
    <definedName name="SUM_TAB3" localSheetId="17">#REF!</definedName>
    <definedName name="SUM_TAB3">#REF!</definedName>
    <definedName name="TABLE_1" localSheetId="17">#REF!</definedName>
    <definedName name="TABLE_1">#REF!</definedName>
    <definedName name="TABLE_2" localSheetId="17">#REF!</definedName>
    <definedName name="TABLE_2">#REF!</definedName>
    <definedName name="TABLE_3" localSheetId="17">#REF!</definedName>
    <definedName name="TABLE_3">#REF!</definedName>
    <definedName name="TABLE_4" localSheetId="17">#REF!</definedName>
    <definedName name="TABLE_4">#REF!</definedName>
    <definedName name="TABLE_4_A" localSheetId="17">#REF!</definedName>
    <definedName name="TABLE_4_A">#REF!</definedName>
    <definedName name="TABLE_5" localSheetId="17">#REF!</definedName>
    <definedName name="TABLE_5">#REF!</definedName>
    <definedName name="TABLE_6" localSheetId="17">#REF!</definedName>
    <definedName name="TABLE_6">#REF!</definedName>
    <definedName name="TABLE_7" localSheetId="17">#REF!</definedName>
    <definedName name="TABLE_7">#REF!</definedName>
    <definedName name="TABLE1" localSheetId="17">#REF!</definedName>
    <definedName name="TABLE1">#REF!</definedName>
    <definedName name="TABLE2" localSheetId="17">#REF!</definedName>
    <definedName name="TABLE2">#REF!</definedName>
    <definedName name="TABLEA" localSheetId="17">#REF!</definedName>
    <definedName name="TABLEA">#REF!</definedName>
    <definedName name="TABLEB" localSheetId="17">#REF!</definedName>
    <definedName name="TABLEB">#REF!</definedName>
    <definedName name="TABLEC" localSheetId="17">#REF!</definedName>
    <definedName name="TABLEC">#REF!</definedName>
    <definedName name="TABLEONE" localSheetId="17">#REF!</definedName>
    <definedName name="TABLEONE">#REF!</definedName>
    <definedName name="TargetROR" localSheetId="2">[29]Inputs!$L$6</definedName>
    <definedName name="TargetROR" localSheetId="3">[30]Inputs!$L$6</definedName>
    <definedName name="TargetROR">[12]Inputs!$L$9</definedName>
    <definedName name="TDMOD" localSheetId="17">#REF!</definedName>
    <definedName name="TDMOD" localSheetId="3">#REF!</definedName>
    <definedName name="TDMOD">#REF!</definedName>
    <definedName name="TDROLL" localSheetId="17">#REF!</definedName>
    <definedName name="TDROLL">#REF!</definedName>
    <definedName name="TEMPADJ" localSheetId="17">#REF!</definedName>
    <definedName name="TEMPADJ">#REF!</definedName>
    <definedName name="Test" localSheetId="17">#REF!</definedName>
    <definedName name="Test">#REF!</definedName>
    <definedName name="Test_COS">'[6]Hot Sheet'!$F$120</definedName>
    <definedName name="Test_Dis">#REF!</definedName>
    <definedName name="Test_Func">#REF!</definedName>
    <definedName name="Test1" localSheetId="17">#REF!</definedName>
    <definedName name="Test1" localSheetId="3">#REF!</definedName>
    <definedName name="Test1">#REF!</definedName>
    <definedName name="Test2" localSheetId="17">#REF!</definedName>
    <definedName name="Test2">#REF!</definedName>
    <definedName name="Test3" localSheetId="17">#REF!</definedName>
    <definedName name="Test3">#REF!</definedName>
    <definedName name="Test4" localSheetId="17">#REF!</definedName>
    <definedName name="Test4">#REF!</definedName>
    <definedName name="Test5" localSheetId="17">#REF!</definedName>
    <definedName name="Test5">#REF!</definedName>
    <definedName name="TestPeriod" localSheetId="2">[5]Inputs!$C$6</definedName>
    <definedName name="TestPeriod" localSheetId="3">[5]Inputs!$C$6</definedName>
    <definedName name="TestPeriod">[6]Inputs!$C$6</definedName>
    <definedName name="TESTYEAR">[16]Variables!$C$11</definedName>
    <definedName name="TopJAM">#REF!</definedName>
    <definedName name="TotalRateBase" localSheetId="2">'[5]G+T+D+R+M'!$H$58</definedName>
    <definedName name="TotalRateBase" localSheetId="3">'[5]G+T+D+R+M'!$H$58</definedName>
    <definedName name="TotalRateBase">'[8]G+T+D+R+M'!$H$58</definedName>
    <definedName name="TotTaxRate" localSheetId="2">[5]Inputs!$H$17</definedName>
    <definedName name="TotTaxRate" localSheetId="3">[5]Inputs!$H$17</definedName>
    <definedName name="TotTaxRate">[8]Inputs!$H$17</definedName>
    <definedName name="Trans_Year1">[13]Variables!$C$22</definedName>
    <definedName name="Trans_Year2">[13]Variables!$D$22</definedName>
    <definedName name="TRANS_YR1">[16]Variables!$C$22</definedName>
    <definedName name="TRANS_YR2">[16]Variables!$D$22</definedName>
    <definedName name="TRANSM_2">[31]Transm2!$A$1:$M$461:'[31]10 Yr FC'!$M$47</definedName>
    <definedName name="TrnDem">#REF!</definedName>
    <definedName name="TrnEgy">#REF!</definedName>
    <definedName name="TrnTot">#REF!</definedName>
    <definedName name="UAACT283TROJP">#REF!</definedName>
    <definedName name="UAACT549SGW">#REF!</definedName>
    <definedName name="UAACT550SGW" localSheetId="2">[5]FuncStudy!$Y$406</definedName>
    <definedName name="UAACT550SGW" localSheetId="3">[5]FuncStudy!$Y$406</definedName>
    <definedName name="UAACT550SGW">[8]FuncStudy!$Y$405</definedName>
    <definedName name="UAACT554SGW" localSheetId="2">[5]FuncStudy!$Y$428</definedName>
    <definedName name="UAACT554SGW" localSheetId="3">[5]FuncStudy!$Y$428</definedName>
    <definedName name="UAACT554SGW">[8]FuncStudy!$Y$427</definedName>
    <definedName name="UAcct">#REF!</definedName>
    <definedName name="UAcct103" localSheetId="2">[5]FuncStudy!$Y$1316</definedName>
    <definedName name="UAcct103" localSheetId="3">[5]FuncStudy!$Y$1316</definedName>
    <definedName name="UAcct103">'[6]Func Study'!$AB$1645</definedName>
    <definedName name="UAcct105">#REF!</definedName>
    <definedName name="UAcct105S" localSheetId="2">[5]FuncStudy!$Y$1674</definedName>
    <definedName name="UAcct105S" localSheetId="3">[5]FuncStudy!$Y$1674</definedName>
    <definedName name="UAcct105S">'[6]Func Study'!$AB$2033</definedName>
    <definedName name="UAcct105SEU" localSheetId="2">[5]FuncStudy!$Y$1678</definedName>
    <definedName name="UAcct105SEU" localSheetId="3">[5]FuncStudy!$Y$1678</definedName>
    <definedName name="UAcct105SEU">'[6]Func Study'!$AB$2037</definedName>
    <definedName name="UAcct105SGG" localSheetId="2">[5]FuncStudy!$Y$1679</definedName>
    <definedName name="UAcct105SGG" localSheetId="3">[5]FuncStudy!$Y$1679</definedName>
    <definedName name="UAcct105SGG">'[6]Func Study'!$AB$2038</definedName>
    <definedName name="UAcct105SGP1" localSheetId="2">[5]FuncStudy!$Y$1675</definedName>
    <definedName name="UAcct105SGP1" localSheetId="3">[5]FuncStudy!$Y$1675</definedName>
    <definedName name="UAcct105SGP1">'[6]Func Study'!$AB$2034</definedName>
    <definedName name="UAcct105SGP2" localSheetId="2">[5]FuncStudy!$Y$1677</definedName>
    <definedName name="UAcct105SGP2" localSheetId="3">[5]FuncStudy!$Y$1677</definedName>
    <definedName name="UAcct105SGP2">'[6]Func Study'!$AB$2036</definedName>
    <definedName name="UAcct105SGT" localSheetId="2">[5]FuncStudy!$Y$1676</definedName>
    <definedName name="UAcct105SGT" localSheetId="3">[5]FuncStudy!$Y$1676</definedName>
    <definedName name="UAcct105SGT">'[6]Func Study'!$AB$2035</definedName>
    <definedName name="UAcct1081390" localSheetId="2">[5]FuncStudy!$Y$2101</definedName>
    <definedName name="UAcct1081390" localSheetId="3">[5]FuncStudy!$Y$2101</definedName>
    <definedName name="UAcct1081390">'[6]Func Study'!$AB$2487</definedName>
    <definedName name="UAcct1081390Rcl" localSheetId="2">[5]FuncStudy!$Y$2100</definedName>
    <definedName name="UAcct1081390Rcl" localSheetId="3">[5]FuncStudy!$Y$2100</definedName>
    <definedName name="UAcct1081390Rcl">'[6]Func Study'!$AB$2486</definedName>
    <definedName name="UAcct1081390Sou">#REF!</definedName>
    <definedName name="UAcct1081399" localSheetId="2">[5]FuncStudy!$Y$2109</definedName>
    <definedName name="UAcct1081399" localSheetId="3">[5]FuncStudy!$Y$2109</definedName>
    <definedName name="UAcct1081399">'[6]Func Study'!$AB$2495</definedName>
    <definedName name="UAcct1081399Rcl" localSheetId="2">[5]FuncStudy!$Y$2108</definedName>
    <definedName name="UAcct1081399Rcl" localSheetId="3">[5]FuncStudy!$Y$2108</definedName>
    <definedName name="UAcct1081399Rcl">'[6]Func Study'!$AB$2494</definedName>
    <definedName name="UAcct1081399S">#REF!</definedName>
    <definedName name="UAcct1081399Sep">#REF!</definedName>
    <definedName name="UAcct108360" localSheetId="2">[5]FuncStudy!$Y$2008</definedName>
    <definedName name="UAcct108360" localSheetId="3">[5]FuncStudy!$Y$2008</definedName>
    <definedName name="UAcct108360">'[6]Func Study'!$AB$2389</definedName>
    <definedName name="UAcct108360S">#REF!</definedName>
    <definedName name="UAcct108361" localSheetId="2">[5]FuncStudy!$Y$2012</definedName>
    <definedName name="UAcct108361" localSheetId="3">[5]FuncStudy!$Y$2012</definedName>
    <definedName name="UAcct108361">'[6]Func Study'!$AB$2393</definedName>
    <definedName name="UAcct108361S">#REF!</definedName>
    <definedName name="UAcct108362" localSheetId="2">[5]FuncStudy!$Y$2016</definedName>
    <definedName name="UAcct108362" localSheetId="3">[5]FuncStudy!$Y$2016</definedName>
    <definedName name="UAcct108362">'[6]Func Study'!$AB$2397</definedName>
    <definedName name="UAcct108362S">#REF!</definedName>
    <definedName name="UAcct108364" localSheetId="2">[5]FuncStudy!$Y$2020</definedName>
    <definedName name="UAcct108364" localSheetId="3">[5]FuncStudy!$Y$2020</definedName>
    <definedName name="UAcct108364">'[6]Func Study'!$AB$2401</definedName>
    <definedName name="UAcct108364S">#REF!</definedName>
    <definedName name="UAcct108365" localSheetId="2">[5]FuncStudy!$Y$2024</definedName>
    <definedName name="UAcct108365" localSheetId="3">[5]FuncStudy!$Y$2024</definedName>
    <definedName name="UAcct108365">'[6]Func Study'!$AB$2405</definedName>
    <definedName name="UAcct108365S">#REF!</definedName>
    <definedName name="UAcct108366" localSheetId="2">[5]FuncStudy!$Y$2028</definedName>
    <definedName name="UAcct108366" localSheetId="3">[5]FuncStudy!$Y$2028</definedName>
    <definedName name="UAcct108366">'[6]Func Study'!$AB$2409</definedName>
    <definedName name="UAcct108366S">#REF!</definedName>
    <definedName name="UAcct108367" localSheetId="2">[5]FuncStudy!$Y$2032</definedName>
    <definedName name="UAcct108367" localSheetId="3">[5]FuncStudy!$Y$2032</definedName>
    <definedName name="UAcct108367">'[6]Func Study'!$AB$2413</definedName>
    <definedName name="UAcct108367S">#REF!</definedName>
    <definedName name="UAcct108368" localSheetId="2">[5]FuncStudy!$Y$2036</definedName>
    <definedName name="UAcct108368" localSheetId="3">[5]FuncStudy!$Y$2036</definedName>
    <definedName name="UAcct108368">'[6]Func Study'!$AB$2417</definedName>
    <definedName name="UAcct108368S">#REF!</definedName>
    <definedName name="UAcct108369" localSheetId="2">[5]FuncStudy!$Y$2040</definedName>
    <definedName name="UAcct108369" localSheetId="3">[5]FuncStudy!$Y$2040</definedName>
    <definedName name="UAcct108369">'[6]Func Study'!$AB$2421</definedName>
    <definedName name="UAcct108369S">#REF!</definedName>
    <definedName name="UAcct108370" localSheetId="2">[5]FuncStudy!$Y$2044</definedName>
    <definedName name="UAcct108370" localSheetId="3">[5]FuncStudy!$Y$2044</definedName>
    <definedName name="UAcct108370">'[6]Func Study'!$AB$2425</definedName>
    <definedName name="UAcct108370S">#REF!</definedName>
    <definedName name="UAcct108371" localSheetId="2">[5]FuncStudy!$Y$2048</definedName>
    <definedName name="UAcct108371" localSheetId="3">[5]FuncStudy!$Y$2048</definedName>
    <definedName name="UAcct108371">'[6]Func Study'!$AB$2429</definedName>
    <definedName name="UAcct108371S">#REF!</definedName>
    <definedName name="UAcct108372" localSheetId="2">[5]FuncStudy!$Y$2052</definedName>
    <definedName name="UAcct108372" localSheetId="3">[5]FuncStudy!$Y$2052</definedName>
    <definedName name="UAcct108372">'[6]Func Study'!$AB$2433</definedName>
    <definedName name="UAcct108372S">#REF!</definedName>
    <definedName name="UAcct108373" localSheetId="2">[5]FuncStudy!$Y$2056</definedName>
    <definedName name="UAcct108373" localSheetId="3">[5]FuncStudy!$Y$2056</definedName>
    <definedName name="UAcct108373">'[6]Func Study'!$AB$2437</definedName>
    <definedName name="UAcct108373S">#REF!</definedName>
    <definedName name="UAcct108D" localSheetId="2">[5]FuncStudy!$Y$2068</definedName>
    <definedName name="UAcct108D" localSheetId="3">[5]FuncStudy!$Y$2068</definedName>
    <definedName name="UAcct108D">'[6]Func Study'!$AB$2449</definedName>
    <definedName name="UAcct108D_S">#REF!</definedName>
    <definedName name="UAcct108D00" localSheetId="2">[5]FuncStudy!$Y$2060</definedName>
    <definedName name="UAcct108D00" localSheetId="3">[5]FuncStudy!$Y$2060</definedName>
    <definedName name="UAcct108D00">'[6]Func Study'!$AB$2441</definedName>
    <definedName name="UAcct108D00S">#REF!</definedName>
    <definedName name="UAcct108Ds" localSheetId="2">[5]FuncStudy!$Y$2064</definedName>
    <definedName name="UAcct108Ds" localSheetId="3">[5]FuncStudy!$Y$2064</definedName>
    <definedName name="UAcct108Ds">'[6]Func Study'!$AB$2445</definedName>
    <definedName name="UAcct108Dss">#REF!</definedName>
    <definedName name="UAcct108Ep" localSheetId="2">[5]FuncStudy!$Y$1990</definedName>
    <definedName name="UAcct108Ep" localSheetId="3">[5]FuncStudy!$Y$1990</definedName>
    <definedName name="UAcct108Ep">'[6]Func Study'!$AB$2362</definedName>
    <definedName name="UAcct108Epdgp">#REF!</definedName>
    <definedName name="UAcct108Epsgp">#REF!</definedName>
    <definedName name="UAcct108Gp">#REF!</definedName>
    <definedName name="UAcct108Gpcn" localSheetId="2">[5]FuncStudy!$Y$2078</definedName>
    <definedName name="UAcct108Gpcn" localSheetId="3">[5]FuncStudy!$Y$2078</definedName>
    <definedName name="UAcct108Gpcn">'[6]Func Study'!$AB$2463</definedName>
    <definedName name="uacct108gpdeu">'[6]Func Study'!$AB$2466</definedName>
    <definedName name="UAcct108Gps" localSheetId="2">[5]FuncStudy!$Y$2074</definedName>
    <definedName name="UAcct108Gps" localSheetId="3">[5]FuncStudy!$Y$2074</definedName>
    <definedName name="UAcct108Gps">'[6]Func Study'!$AB$2459</definedName>
    <definedName name="UAcct108Gpse" localSheetId="2">[5]FuncStudy!$Y$2080</definedName>
    <definedName name="UAcct108Gpse" localSheetId="3">[5]FuncStudy!$Y$2080</definedName>
    <definedName name="UAcct108Gpse">'[6]Func Study'!$AB$2465</definedName>
    <definedName name="UAcct108Gpseu">#REF!</definedName>
    <definedName name="UAcct108Gpsg" localSheetId="2">[5]FuncStudy!$Y$2077</definedName>
    <definedName name="UAcct108Gpsg" localSheetId="3">[5]FuncStudy!$Y$2077</definedName>
    <definedName name="UAcct108Gpsg">'[6]Func Study'!$AB$2462</definedName>
    <definedName name="UAcct108Gpsgp" localSheetId="2">[5]FuncStudy!$Y$2075</definedName>
    <definedName name="UAcct108Gpsgp" localSheetId="3">[5]FuncStudy!$Y$2075</definedName>
    <definedName name="UAcct108Gpsgp">'[6]Func Study'!$AB$2460</definedName>
    <definedName name="UAcct108Gpsgu" localSheetId="2">[5]FuncStudy!$Y$2076</definedName>
    <definedName name="UAcct108Gpsgu" localSheetId="3">[5]FuncStudy!$Y$2076</definedName>
    <definedName name="UAcct108Gpsgu">'[6]Func Study'!$AB$2461</definedName>
    <definedName name="UAcct108Gpso" localSheetId="2">[5]FuncStudy!$Y$2079</definedName>
    <definedName name="UAcct108Gpso" localSheetId="3">[5]FuncStudy!$Y$2079</definedName>
    <definedName name="UAcct108Gpso">'[6]Func Study'!$AB$2464</definedName>
    <definedName name="UACCT108GPSSGCH" localSheetId="2">[5]FuncStudy!$Y$2082</definedName>
    <definedName name="UACCT108GPSSGCH" localSheetId="3">[5]FuncStudy!$Y$2082</definedName>
    <definedName name="UACCT108GPSSGCH">'[6]Func Study'!$AB$2468</definedName>
    <definedName name="UACCT108GPSSGCT" localSheetId="2">[5]FuncStudy!$Y$2081</definedName>
    <definedName name="UACCT108GPSSGCT" localSheetId="3">[5]FuncStudy!$Y$2081</definedName>
    <definedName name="UACCT108GPSSGCT">'[6]Func Study'!$AB$2467</definedName>
    <definedName name="UAcct108Hp" localSheetId="2">[5]FuncStudy!$Y$1977</definedName>
    <definedName name="UAcct108Hp" localSheetId="3">[5]FuncStudy!$Y$1977</definedName>
    <definedName name="UAcct108Hp">'[6]Func Study'!$AB$2349</definedName>
    <definedName name="UAcct108Hpdgp">#REF!</definedName>
    <definedName name="UAcct108Hpdgu">#REF!</definedName>
    <definedName name="UAcct108Mp" localSheetId="2">[5]FuncStudy!$Y$2094</definedName>
    <definedName name="UAcct108Mp" localSheetId="3">[5]FuncStudy!$Y$2094</definedName>
    <definedName name="UAcct108Mp">'[6]Func Study'!$AB$2480</definedName>
    <definedName name="UAcct108Mpdoth">#REF!</definedName>
    <definedName name="UAcct108Mps">#REF!</definedName>
    <definedName name="UAcct108Mpseu">#REF!</definedName>
    <definedName name="UAcct108Np" localSheetId="2">[5]FuncStudy!$Y$1970</definedName>
    <definedName name="UAcct108Np" localSheetId="3">[5]FuncStudy!$Y$1970</definedName>
    <definedName name="UAcct108Np">'[6]Func Study'!$AB$2342</definedName>
    <definedName name="UAcct108Npdgp">#REF!</definedName>
    <definedName name="UAcct108Npdgu">#REF!</definedName>
    <definedName name="UAcct108Npsgu">#REF!</definedName>
    <definedName name="UAcct108Op" localSheetId="2">[5]FuncStudy!$Y$1985</definedName>
    <definedName name="UAcct108Op" localSheetId="3">[5]FuncStudy!$Y$1985</definedName>
    <definedName name="UAcct108Op">'[6]Func Study'!$AB$2357</definedName>
    <definedName name="UAcct108Opdgu">#REF!</definedName>
    <definedName name="UAcct108Ops">#REF!</definedName>
    <definedName name="UAcct108Opsgp">#REF!</definedName>
    <definedName name="UAcct108Opsgw" localSheetId="2">[5]FuncStudy!$Y$1982</definedName>
    <definedName name="UAcct108Opsgw" localSheetId="3">[5]FuncStudy!$Y$1982</definedName>
    <definedName name="UAcct108Opsgw">[8]FuncStudy!$Y$1980</definedName>
    <definedName name="UAcct108OPSSGCT" localSheetId="2">[5]FuncStudy!$Y$1984</definedName>
    <definedName name="UAcct108OPSSGCT" localSheetId="3">[5]FuncStudy!$Y$1984</definedName>
    <definedName name="UAcct108OPSSGCT">'[6]Func Study'!$AB$2356</definedName>
    <definedName name="UAcct108Sp" localSheetId="2">[5]FuncStudy!$Y$1964</definedName>
    <definedName name="UAcct108Sp" localSheetId="3">[5]FuncStudy!$Y$1964</definedName>
    <definedName name="UAcct108Sp">'[6]Func Study'!$AB$2336</definedName>
    <definedName name="UAcct108Spdgp">#REF!</definedName>
    <definedName name="UAcct108Spdgu">#REF!</definedName>
    <definedName name="UAcct108Spsgp">#REF!</definedName>
    <definedName name="uacct108spssgch" localSheetId="2">[5]FuncStudy!$Y$1963</definedName>
    <definedName name="uacct108spssgch" localSheetId="3">[5]FuncStudy!$Y$1963</definedName>
    <definedName name="uacct108spssgch">'[6]Func Study'!$AB$2335</definedName>
    <definedName name="UAcct108Tp" localSheetId="2">[5]FuncStudy!$Y$2004</definedName>
    <definedName name="UAcct108Tp" localSheetId="3">[5]FuncStudy!$Y$2004</definedName>
    <definedName name="UAcct108Tp">'[6]Func Study'!$AB$2380</definedName>
    <definedName name="UAcct108Tpdgp">#REF!</definedName>
    <definedName name="UAcct108Tpdgu">#REF!</definedName>
    <definedName name="UAcct108Tpsgu">#REF!</definedName>
    <definedName name="UAcct111390" localSheetId="2">[5]FuncStudy!$Y$2161</definedName>
    <definedName name="UAcct111390" localSheetId="3">[5]FuncStudy!$Y$2161</definedName>
    <definedName name="UAcct111390">'[6]Func Study'!$AB$2554</definedName>
    <definedName name="UAcct111Clg" localSheetId="2">[5]FuncStudy!$Y$2130</definedName>
    <definedName name="UAcct111Clg" localSheetId="3">[5]FuncStudy!$Y$2130</definedName>
    <definedName name="UAcct111Clg">'[6]Func Study'!$AB$2523</definedName>
    <definedName name="UAcct111Clgcn" localSheetId="2">[5]FuncStudy!$Y$2126</definedName>
    <definedName name="UAcct111Clgcn" localSheetId="3">[5]FuncStudy!$Y$2126</definedName>
    <definedName name="UAcct111Clgcn">'[6]Func Study'!$AB$2519</definedName>
    <definedName name="UAcct111Clgdgp">#REF!</definedName>
    <definedName name="UAcct111Clgs">#REF!</definedName>
    <definedName name="UAcct111Clgsgp">#REF!</definedName>
    <definedName name="UAcct111Clgsop" localSheetId="2">[5]FuncStudy!$Y$2129</definedName>
    <definedName name="UAcct111Clgsop" localSheetId="3">[5]FuncStudy!$Y$2129</definedName>
    <definedName name="UAcct111Clgsop">'[6]Func Study'!$AB$2522</definedName>
    <definedName name="UAcct111Clgsou" localSheetId="2">[5]FuncStudy!$Y$2128</definedName>
    <definedName name="UAcct111Clgsou" localSheetId="3">[5]FuncStudy!$Y$2128</definedName>
    <definedName name="UAcct111Clgsou">'[6]Func Study'!$AB$2521</definedName>
    <definedName name="UAcct111Clh" localSheetId="2">[5]FuncStudy!$Y$2136</definedName>
    <definedName name="UAcct111Clh" localSheetId="3">[5]FuncStudy!$Y$2136</definedName>
    <definedName name="UAcct111Clh">'[6]Func Study'!$AB$2529</definedName>
    <definedName name="UAcct111Clhdgp">#REF!</definedName>
    <definedName name="UAcct111Clhdgu">#REF!</definedName>
    <definedName name="UAcct111Cls" localSheetId="2">[5]FuncStudy!$Y$2121</definedName>
    <definedName name="UAcct111Cls" localSheetId="3">[5]FuncStudy!$Y$2121</definedName>
    <definedName name="UAcct111Cls">'[6]Func Study'!$AB$2514</definedName>
    <definedName name="UAcct111Clsdgp">#REF!</definedName>
    <definedName name="UAcct111Clssgp">#REF!</definedName>
    <definedName name="UAcct111Doth">#REF!</definedName>
    <definedName name="UAcct111Ip">#REF!</definedName>
    <definedName name="UAcct111Ipcn" localSheetId="2">[5]FuncStudy!$Y$2145</definedName>
    <definedName name="UAcct111Ipcn" localSheetId="3">[5]FuncStudy!$Y$2145</definedName>
    <definedName name="UAcct111Ipcn">'[6]Func Study'!$AB$2538</definedName>
    <definedName name="UAcct111Ips" localSheetId="2">[5]FuncStudy!$Y$2140</definedName>
    <definedName name="UAcct111Ips" localSheetId="3">[5]FuncStudy!$Y$2140</definedName>
    <definedName name="UAcct111Ips">'[6]Func Study'!$AB$2533</definedName>
    <definedName name="UAcct111Ipse" localSheetId="2">[5]FuncStudy!$Y$2143</definedName>
    <definedName name="UAcct111Ipse" localSheetId="3">[5]FuncStudy!$Y$2143</definedName>
    <definedName name="UAcct111Ipse">'[6]Func Study'!$AB$2536</definedName>
    <definedName name="UAcct111Ipsg" localSheetId="2">[5]FuncStudy!$Y$2144</definedName>
    <definedName name="UAcct111Ipsg" localSheetId="3">[5]FuncStudy!$Y$2144</definedName>
    <definedName name="UAcct111Ipsg">'[6]Func Study'!$AB$2537</definedName>
    <definedName name="UAcct111Ipsgp" localSheetId="2">[5]FuncStudy!$Y$2141</definedName>
    <definedName name="UAcct111Ipsgp" localSheetId="3">[5]FuncStudy!$Y$2141</definedName>
    <definedName name="UAcct111Ipsgp">'[6]Func Study'!$AB$2534</definedName>
    <definedName name="UAcct111Ipsgu" localSheetId="2">[5]FuncStudy!$Y$2142</definedName>
    <definedName name="UAcct111Ipsgu" localSheetId="3">[5]FuncStudy!$Y$2142</definedName>
    <definedName name="UAcct111Ipsgu">'[6]Func Study'!$AB$2535</definedName>
    <definedName name="uacct111ipso" localSheetId="2">[5]FuncStudy!$Y$2148</definedName>
    <definedName name="uacct111ipso" localSheetId="3">[5]FuncStudy!$Y$2148</definedName>
    <definedName name="uacct111ipso">'[6]Func Study'!$AB$2541</definedName>
    <definedName name="UAcct111Ipsop">#REF!</definedName>
    <definedName name="UACCT111IPSSGCH" localSheetId="2">[5]FuncStudy!$Y$2147</definedName>
    <definedName name="UACCT111IPSSGCH" localSheetId="3">[5]FuncStudy!$Y$2147</definedName>
    <definedName name="UACCT111IPSSGCH">'[6]Func Study'!$AB$2540</definedName>
    <definedName name="UACCT111IPSSGCT">'[6]Func Study'!$AB$2539</definedName>
    <definedName name="UAcct114" localSheetId="2">[5]FuncStudy!$Y$1686</definedName>
    <definedName name="UAcct114" localSheetId="3">[5]FuncStudy!$Y$1686</definedName>
    <definedName name="UAcct114">'[6]Func Study'!$AB$2045</definedName>
    <definedName name="UAcct114Dgp">#REF!</definedName>
    <definedName name="UAcct114S">#REF!</definedName>
    <definedName name="UAcct114Sg">#REF!</definedName>
    <definedName name="UAcct120" localSheetId="2">[5]FuncStudy!$Y$1690</definedName>
    <definedName name="UAcct120" localSheetId="3">[5]FuncStudy!$Y$1690</definedName>
    <definedName name="UAcct120">'[6]Func Study'!$AB$2049</definedName>
    <definedName name="UAcct120Se">#REF!</definedName>
    <definedName name="UAcct124" localSheetId="2">[5]FuncStudy!$Y$1695</definedName>
    <definedName name="UAcct124" localSheetId="3">[5]FuncStudy!$Y$1695</definedName>
    <definedName name="UAcct124">'[6]Func Study'!$AB$2054</definedName>
    <definedName name="UAcct124S">#REF!</definedName>
    <definedName name="UAcct124So">#REF!</definedName>
    <definedName name="UAcct141" localSheetId="2">[5]FuncStudy!$Y$1835</definedName>
    <definedName name="UAcct141" localSheetId="3">[5]FuncStudy!$Y$1835</definedName>
    <definedName name="UAcct141">'[6]Func Study'!$AB$2199</definedName>
    <definedName name="UAcct141Dgu">#REF!</definedName>
    <definedName name="UAcct151" localSheetId="2">[5]FuncStudy!$Y$1717</definedName>
    <definedName name="UAcct151" localSheetId="3">[5]FuncStudy!$Y$1717</definedName>
    <definedName name="UAcct151">'[6]Func Study'!$AB$2076</definedName>
    <definedName name="UAcct151Se" localSheetId="3">'[6]Func Study'!#REF!</definedName>
    <definedName name="UAcct151Se">'[6]Func Study'!#REF!</definedName>
    <definedName name="uacct151ssech" localSheetId="2">[5]FuncStudy!$Y$1716</definedName>
    <definedName name="uacct151ssech" localSheetId="3">[5]FuncStudy!$Y$1716</definedName>
    <definedName name="uacct151ssech">'[6]Func Study'!$AB$2075</definedName>
    <definedName name="UAcct152">#REF!</definedName>
    <definedName name="UAcct152Se">#REF!</definedName>
    <definedName name="UAcct154" localSheetId="2">[5]FuncStudy!$Y$1751</definedName>
    <definedName name="UAcct154" localSheetId="3">[5]FuncStudy!$Y$1751</definedName>
    <definedName name="UAcct154">'[6]Func Study'!$AB$2110</definedName>
    <definedName name="UAcct154Dnppp">#REF!</definedName>
    <definedName name="UAcct154Dnppu">#REF!</definedName>
    <definedName name="UAcct154S">#REF!</definedName>
    <definedName name="UAcct154Se">#REF!</definedName>
    <definedName name="UAcct154Sg">#REF!</definedName>
    <definedName name="UAcct154Sg2">#REF!</definedName>
    <definedName name="UAcct154Snpd">#REF!</definedName>
    <definedName name="UAcct154SNPT">#REF!</definedName>
    <definedName name="UAcct154So">#REF!</definedName>
    <definedName name="uacct154ssgch" localSheetId="2">[5]FuncStudy!$Y$1750</definedName>
    <definedName name="uacct154ssgch" localSheetId="3">[5]FuncStudy!$Y$1750</definedName>
    <definedName name="uacct154ssgch">'[6]Func Study'!$AB$2109</definedName>
    <definedName name="UACCT154SSGCT">#REF!</definedName>
    <definedName name="UAcct163" localSheetId="2">[5]FuncStudy!$Y$1756</definedName>
    <definedName name="UAcct163" localSheetId="3">[5]FuncStudy!$Y$1756</definedName>
    <definedName name="UAcct163">'[6]Func Study'!$AB$2120</definedName>
    <definedName name="UAcct163So">#REF!</definedName>
    <definedName name="UAcct165" localSheetId="2">[5]FuncStudy!$Y$1771</definedName>
    <definedName name="UAcct165" localSheetId="3">[5]FuncStudy!$Y$1771</definedName>
    <definedName name="UAcct165">'[6]Func Study'!$AB$2135</definedName>
    <definedName name="UAcct165Gps">#REF!</definedName>
    <definedName name="UAcct165S">#REF!</definedName>
    <definedName name="UAcct165Se" localSheetId="2">[5]FuncStudy!$Y$1769</definedName>
    <definedName name="UAcct165Se" localSheetId="3">[5]FuncStudy!$Y$1769</definedName>
    <definedName name="UAcct165Se">'[6]Func Study'!$AB$2133</definedName>
    <definedName name="UAcct165SG">#REF!</definedName>
    <definedName name="UAcct165So">#REF!</definedName>
    <definedName name="UAcct182" localSheetId="2">[5]FuncStudy!$Y$1702</definedName>
    <definedName name="UAcct182" localSheetId="3">[5]FuncStudy!$Y$1702</definedName>
    <definedName name="UAcct182">'[6]Func Study'!$AB$2061</definedName>
    <definedName name="UAcct18221">#REF!</definedName>
    <definedName name="UAcct18221S">#REF!</definedName>
    <definedName name="UAcct18222" localSheetId="2">[5]FuncStudy!$Y$1825</definedName>
    <definedName name="UAcct18222" localSheetId="3">[5]FuncStudy!$Y$1825</definedName>
    <definedName name="UAcct18222">'[6]Func Study'!$AB$2189</definedName>
    <definedName name="UAcct18222Se">#REF!</definedName>
    <definedName name="UAcct18222Trojp">#REF!</definedName>
    <definedName name="UAcct182Cs">#REF!</definedName>
    <definedName name="UAcct182Csp">#REF!</definedName>
    <definedName name="UAcct182M" localSheetId="2">[5]FuncStudy!$Y$1781</definedName>
    <definedName name="UAcct182M" localSheetId="3">[5]FuncStudy!$Y$1781</definedName>
    <definedName name="UAcct182M">'[6]Func Study'!$AB$2145</definedName>
    <definedName name="UAcct182Ms">#REF!</definedName>
    <definedName name="UAcct182Msg">#REF!</definedName>
    <definedName name="UAcct182Mso">#REF!</definedName>
    <definedName name="UAcct182MSSGCT" localSheetId="2">[5]FuncStudy!$Y$1779</definedName>
    <definedName name="UAcct182MSSGCT" localSheetId="3">[5]FuncStudy!$Y$1779</definedName>
    <definedName name="UAcct182MSSGCT">[8]FuncStudy!$Y$1778</definedName>
    <definedName name="UAcct182S">#REF!</definedName>
    <definedName name="UAcct182So">#REF!</definedName>
    <definedName name="uacct182ssgch">'[6]Func Study'!$AB$2142</definedName>
    <definedName name="UAcct186" localSheetId="2">[5]FuncStudy!$Y$1710</definedName>
    <definedName name="UAcct186" localSheetId="3">[5]FuncStudy!$Y$1710</definedName>
    <definedName name="UAcct186">'[6]Func Study'!$AB$2069</definedName>
    <definedName name="UAcct1869" localSheetId="2">[5]FuncStudy!$Y$1830</definedName>
    <definedName name="UAcct1869" localSheetId="3">[5]FuncStudy!$Y$1830</definedName>
    <definedName name="UAcct1869">'[6]Func Study'!$AB$2194</definedName>
    <definedName name="UAcct1869Dnppnp">#REF!</definedName>
    <definedName name="UAcct1869S">#REF!</definedName>
    <definedName name="UAcct186Cn">#REF!</definedName>
    <definedName name="UAcct186Cnp">#REF!</definedName>
    <definedName name="UAcct186Cs">#REF!</definedName>
    <definedName name="UAcct186Csp">#REF!</definedName>
    <definedName name="UAcct186M" localSheetId="2">[5]FuncStudy!$Y$1792</definedName>
    <definedName name="UAcct186M" localSheetId="3">[5]FuncStudy!$Y$1792</definedName>
    <definedName name="UAcct186M">'[6]Func Study'!$AB$2156</definedName>
    <definedName name="UAcct186Mdgu">#REF!</definedName>
    <definedName name="UAcct186Mdnppsp">#REF!</definedName>
    <definedName name="UAcct186Mdnptp">#REF!</definedName>
    <definedName name="UAcct186Ms">#REF!</definedName>
    <definedName name="UAcct186Mse" localSheetId="2">[5]FuncStudy!$Y$1789</definedName>
    <definedName name="UAcct186Mse" localSheetId="3">[5]FuncStudy!$Y$1789</definedName>
    <definedName name="UAcct186Mse">'[6]Func Study'!$AB$2153</definedName>
    <definedName name="UAcct186Msg3">#REF!</definedName>
    <definedName name="UAcct186Mso">#REF!</definedName>
    <definedName name="UAcct186S">#REF!</definedName>
    <definedName name="UAcct186Sg">#REF!</definedName>
    <definedName name="UAcct186So">#REF!</definedName>
    <definedName name="UAcct190" localSheetId="2">[5]FuncStudy!$Y$1904</definedName>
    <definedName name="UAcct190" localSheetId="3">[5]FuncStudy!$Y$1904</definedName>
    <definedName name="UAcct190">'[6]Func Study'!$AB$2271</definedName>
    <definedName name="UAcct190Baddebt">#REF!</definedName>
    <definedName name="UAcct190CN" localSheetId="2">[5]FuncStudy!$Y$1893</definedName>
    <definedName name="UAcct190CN" localSheetId="3">[5]FuncStudy!$Y$1893</definedName>
    <definedName name="UAcct190CN">'[6]Func Study'!$AB$2260</definedName>
    <definedName name="UAcct190Dgp">#REF!</definedName>
    <definedName name="UAcct190Dop" localSheetId="2">[5]FuncStudy!$Y$1894</definedName>
    <definedName name="UAcct190Dop" localSheetId="3">[5]FuncStudy!$Y$1894</definedName>
    <definedName name="UAcct190Dop">'[6]Func Study'!$AB$2261</definedName>
    <definedName name="UACCT190IBT" localSheetId="2">[5]FuncStudy!$Y$1896</definedName>
    <definedName name="UACCT190IBT" localSheetId="3">[5]FuncStudy!$Y$1896</definedName>
    <definedName name="UACCT190IBT">'[6]Func Study'!$AB$2263</definedName>
    <definedName name="UAcct190S">#REF!</definedName>
    <definedName name="UAcct190Se">#REF!</definedName>
    <definedName name="UAcct190Sg">#REF!</definedName>
    <definedName name="UAcct190Snp">#REF!</definedName>
    <definedName name="UACCT190SSGCT" localSheetId="2">[5]FuncStudy!$Y$1903</definedName>
    <definedName name="UACCT190SSGCT" localSheetId="3">[5]FuncStudy!$Y$1903</definedName>
    <definedName name="UACCT190SSGCT">'[6]Func Study'!$AB$2270</definedName>
    <definedName name="UACCT2281" localSheetId="2">[5]FuncStudy!$Y$1848</definedName>
    <definedName name="UACCT2281" localSheetId="3">[5]FuncStudy!$Y$1848</definedName>
    <definedName name="UACCT2281">'[6]Func Study'!$AB$2216</definedName>
    <definedName name="UAcct2282" localSheetId="2">[5]FuncStudy!$Y$1852</definedName>
    <definedName name="UAcct2282" localSheetId="3">[5]FuncStudy!$Y$1852</definedName>
    <definedName name="UAcct2282">'[6]Func Study'!$AB$2220</definedName>
    <definedName name="UAcct2283" localSheetId="2">[5]FuncStudy!$Y$1857</definedName>
    <definedName name="UAcct2283" localSheetId="3">[5]FuncStudy!$Y$1857</definedName>
    <definedName name="UAcct2283">'[6]Func Study'!$AB$2224</definedName>
    <definedName name="UAcct2283S" localSheetId="2">[5]FuncStudy!$Y$1861</definedName>
    <definedName name="UAcct2283S" localSheetId="3">[5]FuncStudy!$Y$1861</definedName>
    <definedName name="UAcct2283S">'[6]Func Study'!$AB$2228</definedName>
    <definedName name="UAcct22842" localSheetId="2">[5]FuncStudy!$Y$1870</definedName>
    <definedName name="UAcct22842" localSheetId="3">[5]FuncStudy!$Y$1870</definedName>
    <definedName name="UAcct22842">'[6]Func Study'!$AB$2237</definedName>
    <definedName name="UAcct22842Trojd" localSheetId="17">'[7]Func Study'!#REF!</definedName>
    <definedName name="UAcct22842Trojd" localSheetId="3">'[7]Func Study'!#REF!</definedName>
    <definedName name="UAcct22842Trojd">'[7]Func Study'!#REF!</definedName>
    <definedName name="UAcct228So">#REF!</definedName>
    <definedName name="UAcct235" localSheetId="2">[5]FuncStudy!$Y$1844</definedName>
    <definedName name="UAcct235" localSheetId="3">[5]FuncStudy!$Y$1844</definedName>
    <definedName name="UAcct235">'[6]Func Study'!$AB$2212</definedName>
    <definedName name="UAcct235Csu">#REF!</definedName>
    <definedName name="UAcct252" localSheetId="2">[5]FuncStudy!$Y$1878</definedName>
    <definedName name="UAcct252" localSheetId="3">[5]FuncStudy!$Y$1878</definedName>
    <definedName name="UAcct252">'[6]Func Study'!$AB$2245</definedName>
    <definedName name="UAcct252Cn">#REF!</definedName>
    <definedName name="UAcct252Dnpdp">#REF!</definedName>
    <definedName name="UAcct252S">#REF!</definedName>
    <definedName name="UAcct252Sg">#REF!</definedName>
    <definedName name="UAcct252So">#REF!</definedName>
    <definedName name="UAcct25316" localSheetId="2">[5]FuncStudy!$Y$1725</definedName>
    <definedName name="UAcct25316" localSheetId="3">[5]FuncStudy!$Y$1725</definedName>
    <definedName name="UAcct25316">'[6]Func Study'!$AB$2084</definedName>
    <definedName name="UAcct25316Se">#REF!</definedName>
    <definedName name="UAcct25317" localSheetId="2">[5]FuncStudy!$Y$1729</definedName>
    <definedName name="UAcct25317" localSheetId="3">[5]FuncStudy!$Y$1729</definedName>
    <definedName name="UAcct25317">'[6]Func Study'!$AB$2088</definedName>
    <definedName name="UAcct25317Se">#REF!</definedName>
    <definedName name="UAcct25318" localSheetId="2">[5]FuncStudy!$Y$1761</definedName>
    <definedName name="UAcct25318" localSheetId="3">[5]FuncStudy!$Y$1761</definedName>
    <definedName name="UAcct25318">'[6]Func Study'!$AB$2125</definedName>
    <definedName name="UAcct25318Dnppu">#REF!</definedName>
    <definedName name="UAcct25319" localSheetId="2">[5]FuncStudy!$Y$1733</definedName>
    <definedName name="UAcct25319" localSheetId="3">[5]FuncStudy!$Y$1733</definedName>
    <definedName name="UAcct25319">'[6]Func Study'!$AB$2092</definedName>
    <definedName name="UAcct25319Se">#REF!</definedName>
    <definedName name="UACCT25398" localSheetId="2">[5]FuncStudy!$Y$1882</definedName>
    <definedName name="UACCT25398" localSheetId="3">[5]FuncStudy!$Y$1882</definedName>
    <definedName name="UACCT25398">'[6]Func Study'!$AB$2249</definedName>
    <definedName name="UAcct25399" localSheetId="2">[5]FuncStudy!$Y$1889</definedName>
    <definedName name="UAcct25399" localSheetId="3">[5]FuncStudy!$Y$1889</definedName>
    <definedName name="UAcct25399">'[6]Func Study'!$AB$2256</definedName>
    <definedName name="UAcct25399Se">#REF!</definedName>
    <definedName name="UAcct25399Sg">#REF!</definedName>
    <definedName name="UAcct254" localSheetId="2">[5]FuncStudy!$Y$1866</definedName>
    <definedName name="UAcct254" localSheetId="3">[5]FuncStudy!$Y$1866</definedName>
    <definedName name="UAcct254">'[6]Func Study'!$AB$2233</definedName>
    <definedName name="UACCT254S">#REF!</definedName>
    <definedName name="UACCT254SG">#REF!</definedName>
    <definedName name="UACCT254SO" localSheetId="2">[5]FuncStudy!$Y$1865</definedName>
    <definedName name="UACCT254SO" localSheetId="3">[5]FuncStudy!$Y$1865</definedName>
    <definedName name="UACCT254SO">'[6]Func Study'!$AB$2232</definedName>
    <definedName name="UAcct255" localSheetId="2">[5]FuncStudy!$Y$1954</definedName>
    <definedName name="UAcct255" localSheetId="3">[5]FuncStudy!$Y$1954</definedName>
    <definedName name="UAcct255">'[6]Func Study'!$AB$2321</definedName>
    <definedName name="UAcct255Dgu">#REF!</definedName>
    <definedName name="UAcct255Itc84">#REF!</definedName>
    <definedName name="UAcct255Itc85">#REF!</definedName>
    <definedName name="UAcct255Itc86">#REF!</definedName>
    <definedName name="UAcct255Itc88">#REF!</definedName>
    <definedName name="UAcct255Itc89">#REF!</definedName>
    <definedName name="UAcct255Itc90">#REF!</definedName>
    <definedName name="UAcct255S">#REF!</definedName>
    <definedName name="UAcct281" localSheetId="2">[5]FuncStudy!$Y$1910</definedName>
    <definedName name="UAcct281" localSheetId="3">[5]FuncStudy!$Y$1910</definedName>
    <definedName name="UAcct281">'[6]Func Study'!$AB$2277</definedName>
    <definedName name="UAcct281Dgp">#REF!</definedName>
    <definedName name="UAcct281Dnptu">#REF!</definedName>
    <definedName name="UAcct282" localSheetId="2">[5]FuncStudy!$Y$1928</definedName>
    <definedName name="UAcct282" localSheetId="3">[5]FuncStudy!$Y$1928</definedName>
    <definedName name="UAcct282">'[6]Func Study'!$AB$2295</definedName>
    <definedName name="UAcct282Cn">#REF!</definedName>
    <definedName name="UAcct282Ditbal">#REF!</definedName>
    <definedName name="UAcct282S">#REF!</definedName>
    <definedName name="UAcct282Se">#REF!</definedName>
    <definedName name="UAcct282Sg">#REF!</definedName>
    <definedName name="UAcct282Sgp">#REF!</definedName>
    <definedName name="UAcct282So" localSheetId="2">[5]FuncStudy!$Y$1916</definedName>
    <definedName name="UAcct282So" localSheetId="3">[5]FuncStudy!$Y$1916</definedName>
    <definedName name="UAcct282So">'[6]Func Study'!$AB$2283</definedName>
    <definedName name="UAcct283" localSheetId="2">[5]FuncStudy!$Y$1941</definedName>
    <definedName name="UAcct283" localSheetId="3">[5]FuncStudy!$Y$1941</definedName>
    <definedName name="UAcct283">'[6]Func Study'!$AB$2308</definedName>
    <definedName name="UAcct283GPS">#REF!</definedName>
    <definedName name="UAcct283S">#REF!</definedName>
    <definedName name="UAcct283Se">#REF!</definedName>
    <definedName name="UACCT283SGCT">#REF!</definedName>
    <definedName name="UAcct283Snp">#REF!</definedName>
    <definedName name="UACCT283SNPD">#REF!</definedName>
    <definedName name="UAcct283So" localSheetId="2">[5]FuncStudy!$Y$1934</definedName>
    <definedName name="UAcct283So" localSheetId="3">[5]FuncStudy!$Y$1934</definedName>
    <definedName name="UAcct283So">'[6]Func Study'!$AB$2301</definedName>
    <definedName name="UACCT283SSGCH">'[6]Func Study'!$AB$2307</definedName>
    <definedName name="UAcct283TROJD">#REF!</definedName>
    <definedName name="UAcct300Dgp">#REF!</definedName>
    <definedName name="UAcct301">#REF!</definedName>
    <definedName name="UAcct301S" localSheetId="2">[5]FuncStudy!$Y$1637</definedName>
    <definedName name="UAcct301S" localSheetId="3">[5]FuncStudy!$Y$1637</definedName>
    <definedName name="UAcct301S">'[6]Func Study'!$AB$1993</definedName>
    <definedName name="UAcct301Sg" localSheetId="2">[5]FuncStudy!$Y$1639</definedName>
    <definedName name="UAcct301Sg" localSheetId="3">[5]FuncStudy!$Y$1639</definedName>
    <definedName name="UAcct301Sg">'[6]Func Study'!$AB$1995</definedName>
    <definedName name="UAcct301So" localSheetId="2">[5]FuncStudy!$Y$1638</definedName>
    <definedName name="UAcct301So" localSheetId="3">[5]FuncStudy!$Y$1638</definedName>
    <definedName name="UAcct301So">'[6]Func Study'!$AB$1994</definedName>
    <definedName name="UAcct302">#REF!</definedName>
    <definedName name="UAcct302S" localSheetId="2">[5]FuncStudy!$Y$1642</definedName>
    <definedName name="UAcct302S" localSheetId="3">[5]FuncStudy!$Y$1642</definedName>
    <definedName name="UAcct302S">'[6]Func Study'!$AB$1998</definedName>
    <definedName name="UAcct302Sg" localSheetId="2">[5]FuncStudy!$Y$1643</definedName>
    <definedName name="UAcct302Sg" localSheetId="3">[5]FuncStudy!$Y$1643</definedName>
    <definedName name="UAcct302Sg">'[6]Func Study'!$AB$1999</definedName>
    <definedName name="UAcct302Sgp" localSheetId="2">[5]FuncStudy!$Y$1644</definedName>
    <definedName name="UAcct302Sgp" localSheetId="3">[5]FuncStudy!$Y$1644</definedName>
    <definedName name="UAcct302Sgp">'[6]Func Study'!$AB$2000</definedName>
    <definedName name="UAcct302Sgu" localSheetId="2">[5]FuncStudy!$Y$1645</definedName>
    <definedName name="UAcct302Sgu" localSheetId="3">[5]FuncStudy!$Y$1645</definedName>
    <definedName name="UAcct302Sgu">'[6]Func Study'!$AB$2001</definedName>
    <definedName name="UAcct303">#REF!</definedName>
    <definedName name="UAcct303Cn" localSheetId="2">[5]FuncStudy!$Y$1653</definedName>
    <definedName name="UAcct303Cn" localSheetId="3">[5]FuncStudy!$Y$1653</definedName>
    <definedName name="UAcct303Cn">'[6]Func Study'!$AB$2009</definedName>
    <definedName name="UAcct303S" localSheetId="2">[5]FuncStudy!$Y$1649</definedName>
    <definedName name="UAcct303S" localSheetId="3">[5]FuncStudy!$Y$1649</definedName>
    <definedName name="UAcct303S">'[6]Func Study'!$AB$2005</definedName>
    <definedName name="UAcct303Se" localSheetId="2">[5]FuncStudy!$Y$1652</definedName>
    <definedName name="UAcct303Se" localSheetId="3">[5]FuncStudy!$Y$1652</definedName>
    <definedName name="UAcct303Se">'[6]Func Study'!$AB$2008</definedName>
    <definedName name="UAcct303Sg" localSheetId="2">[5]FuncStudy!$Y$1650</definedName>
    <definedName name="UAcct303Sg" localSheetId="3">[5]FuncStudy!$Y$1650</definedName>
    <definedName name="UAcct303Sg">'[6]Func Study'!$AB$2006</definedName>
    <definedName name="UAcct303So" localSheetId="2">[5]FuncStudy!$Y$1651</definedName>
    <definedName name="UAcct303So" localSheetId="3">[5]FuncStudy!$Y$1651</definedName>
    <definedName name="UAcct303So">'[6]Func Study'!$AB$2007</definedName>
    <definedName name="UACCT303SSGCT" localSheetId="2">[5]FuncStudy!$Y$1655</definedName>
    <definedName name="UACCT303SSGCT" localSheetId="3">[5]FuncStudy!$Y$1655</definedName>
    <definedName name="UACCT303SSGCT">'[6]Func Study'!$AB$2011</definedName>
    <definedName name="UAcct310" localSheetId="2">[5]FuncStudy!$Y$1152</definedName>
    <definedName name="UAcct310" localSheetId="3">[5]FuncStudy!$Y$1152</definedName>
    <definedName name="UAcct310">'[6]Func Study'!$AB$1441</definedName>
    <definedName name="UAcct310Dgp">#REF!</definedName>
    <definedName name="UAcct310Sgu">#REF!</definedName>
    <definedName name="uacct310ssgch" localSheetId="2">[5]FuncStudy!$Y$1151</definedName>
    <definedName name="uacct310ssgch" localSheetId="3">[5]FuncStudy!$Y$1151</definedName>
    <definedName name="uacct310ssgch">'[6]Func Study'!$AB$1440</definedName>
    <definedName name="UAcct311" localSheetId="2">[5]FuncStudy!$Y$1157</definedName>
    <definedName name="UAcct311" localSheetId="3">[5]FuncStudy!$Y$1157</definedName>
    <definedName name="UAcct311">'[6]Func Study'!$AB$1448</definedName>
    <definedName name="UAcct311Dgp">#REF!</definedName>
    <definedName name="uacct311ssgch" localSheetId="2">[5]FuncStudy!$Y$1156</definedName>
    <definedName name="uacct311ssgch" localSheetId="3">[5]FuncStudy!$Y$1156</definedName>
    <definedName name="uacct311ssgch">'[6]Func Study'!$AB$1447</definedName>
    <definedName name="UAcct312" localSheetId="2">[5]FuncStudy!$Y$1162</definedName>
    <definedName name="UAcct312" localSheetId="3">[5]FuncStudy!$Y$1162</definedName>
    <definedName name="UAcct312">'[6]Func Study'!$AB$1455</definedName>
    <definedName name="UAcct312Sgp">#REF!</definedName>
    <definedName name="uacct312ssgch" localSheetId="2">[5]FuncStudy!$Y$1161</definedName>
    <definedName name="uacct312ssgch" localSheetId="3">[5]FuncStudy!$Y$1161</definedName>
    <definedName name="uacct312ssgch">'[6]Func Study'!$AB$1454</definedName>
    <definedName name="UAcct314" localSheetId="2">[5]FuncStudy!$Y$1167</definedName>
    <definedName name="UAcct314" localSheetId="3">[5]FuncStudy!$Y$1167</definedName>
    <definedName name="UAcct314">'[6]Func Study'!$AB$1462</definedName>
    <definedName name="UAcct314Sgp">#REF!</definedName>
    <definedName name="uacct314ssgch" localSheetId="2">[5]FuncStudy!$Y$1166</definedName>
    <definedName name="uacct314ssgch" localSheetId="3">[5]FuncStudy!$Y$1166</definedName>
    <definedName name="uacct314ssgch">'[6]Func Study'!$AB$1461</definedName>
    <definedName name="UAcct315" localSheetId="2">[5]FuncStudy!$Y$1172</definedName>
    <definedName name="UAcct315" localSheetId="3">[5]FuncStudy!$Y$1172</definedName>
    <definedName name="UAcct315">'[6]Func Study'!$AB$1469</definedName>
    <definedName name="UAcct315Sgp">#REF!</definedName>
    <definedName name="uacct315ssgch" localSheetId="2">[5]FuncStudy!$Y$1171</definedName>
    <definedName name="uacct315ssgch" localSheetId="3">[5]FuncStudy!$Y$1171</definedName>
    <definedName name="uacct315ssgch">'[6]Func Study'!$AB$1468</definedName>
    <definedName name="UAcct316" localSheetId="2">[5]FuncStudy!$Y$1177</definedName>
    <definedName name="UAcct316" localSheetId="3">[5]FuncStudy!$Y$1177</definedName>
    <definedName name="UAcct316">'[6]Func Study'!$AB$1476</definedName>
    <definedName name="UAcct316Sgp">#REF!</definedName>
    <definedName name="uacct316ssgch" localSheetId="2">[5]FuncStudy!$Y$1176</definedName>
    <definedName name="uacct316ssgch" localSheetId="3">[5]FuncStudy!$Y$1176</definedName>
    <definedName name="uacct316ssgch">'[6]Func Study'!$AB$1475</definedName>
    <definedName name="UAcct320" localSheetId="2">[5]FuncStudy!$Y$1189</definedName>
    <definedName name="UAcct320" localSheetId="3">[5]FuncStudy!$Y$1189</definedName>
    <definedName name="UAcct320">'[6]Func Study'!$AB$1492</definedName>
    <definedName name="UAcct320Dgp">#REF!</definedName>
    <definedName name="UAcct321" localSheetId="2">[5]FuncStudy!$Y$1193</definedName>
    <definedName name="UAcct321" localSheetId="3">[5]FuncStudy!$Y$1193</definedName>
    <definedName name="UAcct321">'[6]Func Study'!$AB$1497</definedName>
    <definedName name="UAcct321Dgp">#REF!</definedName>
    <definedName name="UAcct322" localSheetId="2">[5]FuncStudy!$Y$1197</definedName>
    <definedName name="UAcct322" localSheetId="3">[5]FuncStudy!$Y$1197</definedName>
    <definedName name="UAcct322">'[6]Func Study'!$AB$1502</definedName>
    <definedName name="UAcct322Dgp">#REF!</definedName>
    <definedName name="UAcct323" localSheetId="2">[5]FuncStudy!$Y$1201</definedName>
    <definedName name="UAcct323" localSheetId="3">[5]FuncStudy!$Y$1201</definedName>
    <definedName name="UAcct323">'[6]Func Study'!$AB$1507</definedName>
    <definedName name="UAcct323Dgp">#REF!</definedName>
    <definedName name="UAcct324" localSheetId="2">[5]FuncStudy!$Y$1205</definedName>
    <definedName name="UAcct324" localSheetId="3">[5]FuncStudy!$Y$1205</definedName>
    <definedName name="UAcct324">'[6]Func Study'!$AB$1512</definedName>
    <definedName name="UAcct324Dgp">#REF!</definedName>
    <definedName name="UAcct325" localSheetId="2">[5]FuncStudy!$Y$1209</definedName>
    <definedName name="UAcct325" localSheetId="3">[5]FuncStudy!$Y$1209</definedName>
    <definedName name="UAcct325">'[6]Func Study'!$AB$1517</definedName>
    <definedName name="UAcct325Dgp">#REF!</definedName>
    <definedName name="UAcct33" localSheetId="2">[5]FuncStudy!$Y$131</definedName>
    <definedName name="UAcct33" localSheetId="3">[5]FuncStudy!$Y$131</definedName>
    <definedName name="UAcct33">'[6]Func Study'!$AB$290</definedName>
    <definedName name="UAcct330" localSheetId="2">[5]FuncStudy!$Y$1222</definedName>
    <definedName name="UAcct330" localSheetId="3">[5]FuncStudy!$Y$1222</definedName>
    <definedName name="UAcct330">'[6]Func Study'!$AB$1535</definedName>
    <definedName name="UAcct330Dgp">#REF!</definedName>
    <definedName name="UAcct331" localSheetId="2">[5]FuncStudy!$Y$1227</definedName>
    <definedName name="UAcct331" localSheetId="3">[5]FuncStudy!$Y$1227</definedName>
    <definedName name="UAcct331">'[6]Func Study'!$AB$1541</definedName>
    <definedName name="UAcct331Dgp">#REF!</definedName>
    <definedName name="UAcct332" localSheetId="2">[5]FuncStudy!$Y$1232</definedName>
    <definedName name="UAcct332" localSheetId="3">[5]FuncStudy!$Y$1232</definedName>
    <definedName name="UAcct332">'[6]Func Study'!$AB$1547</definedName>
    <definedName name="UAcct332Dgp">#REF!</definedName>
    <definedName name="UAcct333" localSheetId="2">[5]FuncStudy!$Y$1237</definedName>
    <definedName name="UAcct333" localSheetId="3">[5]FuncStudy!$Y$1237</definedName>
    <definedName name="UAcct333">'[6]Func Study'!$AB$1553</definedName>
    <definedName name="UAcct333Dgp">#REF!</definedName>
    <definedName name="UAcct334" localSheetId="2">[5]FuncStudy!$Y$1242</definedName>
    <definedName name="UAcct334" localSheetId="3">[5]FuncStudy!$Y$1242</definedName>
    <definedName name="UAcct334">'[6]Func Study'!$AB$1559</definedName>
    <definedName name="UAcct334Dgp">#REF!</definedName>
    <definedName name="UAcct335" localSheetId="2">[5]FuncStudy!$Y$1247</definedName>
    <definedName name="UAcct335" localSheetId="3">[5]FuncStudy!$Y$1247</definedName>
    <definedName name="UAcct335">'[6]Func Study'!$AB$1565</definedName>
    <definedName name="UAcct335Dgp">#REF!</definedName>
    <definedName name="UAcct336" localSheetId="2">[5]FuncStudy!$Y$1252</definedName>
    <definedName name="UAcct336" localSheetId="3">[5]FuncStudy!$Y$1252</definedName>
    <definedName name="UAcct336">'[6]Func Study'!$AB$1571</definedName>
    <definedName name="UAcct336Dgp">#REF!</definedName>
    <definedName name="UAcct33T">[5]FuncStudy!$Y$132</definedName>
    <definedName name="UAcct340" localSheetId="2">[5]FuncStudy!$Y$1267</definedName>
    <definedName name="UAcct340" localSheetId="3">[5]FuncStudy!$Y$1267</definedName>
    <definedName name="UAcct340">'[6]Func Study'!$AB$1600</definedName>
    <definedName name="UAcct340Dgu">#REF!</definedName>
    <definedName name="UAcct340Sgu">#REF!</definedName>
    <definedName name="UAcct340Sgw" localSheetId="2">[5]FuncStudy!$Y$1265</definedName>
    <definedName name="UAcct340Sgw" localSheetId="3">[5]FuncStudy!$Y$1265</definedName>
    <definedName name="UAcct340Sgw">[8]FuncStudy!$Y$1264</definedName>
    <definedName name="UACCT340SSGCT">#REF!</definedName>
    <definedName name="UAcct341" localSheetId="2">[5]FuncStudy!$Y$1273</definedName>
    <definedName name="UAcct341" localSheetId="3">[5]FuncStudy!$Y$1273</definedName>
    <definedName name="UAcct341">'[6]Func Study'!$AB$1605</definedName>
    <definedName name="UAcct341Dgu">#REF!</definedName>
    <definedName name="UAcct341Sgu">#REF!</definedName>
    <definedName name="UACCT341SGW" localSheetId="2">[5]FuncStudy!$Y$1271</definedName>
    <definedName name="UACCT341SGW" localSheetId="3">[5]FuncStudy!$Y$1271</definedName>
    <definedName name="UACCT341SGW">[8]FuncStudy!$Y$1270</definedName>
    <definedName name="uacct341ssgct" localSheetId="2">[5]FuncStudy!$Y$1272</definedName>
    <definedName name="uacct341ssgct" localSheetId="3">[5]FuncStudy!$Y$1272</definedName>
    <definedName name="uacct341ssgct">'[6]Func Study'!$AB$1604</definedName>
    <definedName name="UAcct342" localSheetId="2">[5]FuncStudy!$Y$1278</definedName>
    <definedName name="UAcct342" localSheetId="3">[5]FuncStudy!$Y$1278</definedName>
    <definedName name="UAcct342">'[6]Func Study'!$AB$1610</definedName>
    <definedName name="UAcct342Dgu">#REF!</definedName>
    <definedName name="UAcct342Sgu">#REF!</definedName>
    <definedName name="uacct342ssgct" localSheetId="2">[5]FuncStudy!$Y$1277</definedName>
    <definedName name="uacct342ssgct" localSheetId="3">[5]FuncStudy!$Y$1277</definedName>
    <definedName name="uacct342ssgct">'[6]Func Study'!$AB$1609</definedName>
    <definedName name="UAcct343" localSheetId="2">[5]FuncStudy!$Y$1285</definedName>
    <definedName name="UAcct343" localSheetId="3">[5]FuncStudy!$Y$1285</definedName>
    <definedName name="UAcct343">'[6]Func Study'!$AB$1617</definedName>
    <definedName name="UAcct343Dgu">#REF!</definedName>
    <definedName name="UAcct343S">#REF!</definedName>
    <definedName name="UAcct343Sgu">#REF!</definedName>
    <definedName name="UAcct343Sgw" localSheetId="2">[5]FuncStudy!$Y$1283</definedName>
    <definedName name="UAcct343Sgw" localSheetId="3">[5]FuncStudy!$Y$1283</definedName>
    <definedName name="UAcct343Sgw">[8]FuncStudy!$Y$1282</definedName>
    <definedName name="uacct343sscct" localSheetId="2">[5]FuncStudy!$Y$1284</definedName>
    <definedName name="uacct343sscct" localSheetId="3">[5]FuncStudy!$Y$1284</definedName>
    <definedName name="uacct343sscct">'[6]Func Study'!$AB$1616</definedName>
    <definedName name="UAcct344" localSheetId="2">[5]FuncStudy!$Y$1292</definedName>
    <definedName name="UAcct344" localSheetId="3">[5]FuncStudy!$Y$1292</definedName>
    <definedName name="UAcct344">'[6]Func Study'!$AB$1623</definedName>
    <definedName name="UAcct344S">#REF!</definedName>
    <definedName name="UAcct344Sgp">#REF!</definedName>
    <definedName name="UAcct344Sgu">#REF!</definedName>
    <definedName name="UACCT344SGW" localSheetId="2">[5]FuncStudy!$Y$1290</definedName>
    <definedName name="UACCT344SGW" localSheetId="3">[5]FuncStudy!$Y$1290</definedName>
    <definedName name="UACCT344SGW">[8]FuncStudy!$Y$1289</definedName>
    <definedName name="uacct344ssgct" localSheetId="2">[5]FuncStudy!$Y$1291</definedName>
    <definedName name="uacct344ssgct" localSheetId="3">[5]FuncStudy!$Y$1291</definedName>
    <definedName name="uacct344ssgct">'[6]Func Study'!$AB$1622</definedName>
    <definedName name="UAcct345" localSheetId="2">[5]FuncStudy!$Y$1298</definedName>
    <definedName name="UAcct345" localSheetId="3">[5]FuncStudy!$Y$1298</definedName>
    <definedName name="UAcct345">'[6]Func Study'!$AB$1628</definedName>
    <definedName name="UAcct345Dgu">#REF!</definedName>
    <definedName name="UAcct345Sgu">#REF!</definedName>
    <definedName name="UACCT345SGW" localSheetId="2">[5]FuncStudy!$Y$1296</definedName>
    <definedName name="UACCT345SGW" localSheetId="3">[5]FuncStudy!$Y$1296</definedName>
    <definedName name="UACCT345SGW">[8]FuncStudy!$Y$1295</definedName>
    <definedName name="uacct345ssgct" localSheetId="2">[5]FuncStudy!$Y$1297</definedName>
    <definedName name="uacct345ssgct" localSheetId="3">[5]FuncStudy!$Y$1297</definedName>
    <definedName name="uacct345ssgct">'[6]Func Study'!$AB$1627</definedName>
    <definedName name="UAcct346" localSheetId="2">[5]FuncStudy!$Y$1304</definedName>
    <definedName name="UAcct346" localSheetId="3">[5]FuncStudy!$Y$1304</definedName>
    <definedName name="UAcct346">'[6]Func Study'!$AB$1633</definedName>
    <definedName name="UAcct346Dgu">#REF!</definedName>
    <definedName name="UAcct346Sgu">#REF!</definedName>
    <definedName name="UAcct346SGW" localSheetId="2">[5]FuncStudy!$Y$1302</definedName>
    <definedName name="UAcct346SGW" localSheetId="3">[5]FuncStudy!$Y$1302</definedName>
    <definedName name="UAcct346SGW">[8]FuncStudy!$Y$1301</definedName>
    <definedName name="UAcct350" localSheetId="2">[5]FuncStudy!$Y$1324</definedName>
    <definedName name="UAcct350" localSheetId="3">[5]FuncStudy!$Y$1324</definedName>
    <definedName name="UAcct350">'[6]Func Study'!$AB$1660</definedName>
    <definedName name="UAcct350Sgp">#REF!</definedName>
    <definedName name="UAcct350Sgu">#REF!</definedName>
    <definedName name="UAcct352" localSheetId="2">[5]FuncStudy!$Y$1331</definedName>
    <definedName name="UAcct352" localSheetId="3">[5]FuncStudy!$Y$1331</definedName>
    <definedName name="UAcct352">'[6]Func Study'!$AB$1667</definedName>
    <definedName name="UAcct352S">#REF!</definedName>
    <definedName name="UAcct352Sgp">#REF!</definedName>
    <definedName name="UAcct352Sgu">#REF!</definedName>
    <definedName name="UAcct353" localSheetId="2">[5]FuncStudy!$Y$1337</definedName>
    <definedName name="UAcct353" localSheetId="3">[5]FuncStudy!$Y$1337</definedName>
    <definedName name="UAcct353">'[6]Func Study'!$AB$1673</definedName>
    <definedName name="UAcct353Sgp">#REF!</definedName>
    <definedName name="UAcct353Sgu">#REF!</definedName>
    <definedName name="UAcct354" localSheetId="2">[5]FuncStudy!$Y$1343</definedName>
    <definedName name="UAcct354" localSheetId="3">[5]FuncStudy!$Y$1343</definedName>
    <definedName name="UAcct354">'[6]Func Study'!$AB$1679</definedName>
    <definedName name="UAcct354Sgp">#REF!</definedName>
    <definedName name="UAcct354Sgu">#REF!</definedName>
    <definedName name="UAcct355" localSheetId="2">[5]FuncStudy!$Y$1349</definedName>
    <definedName name="UAcct355" localSheetId="3">[5]FuncStudy!$Y$1349</definedName>
    <definedName name="UAcct355">'[6]Func Study'!$AB$1685</definedName>
    <definedName name="UAcct355Sgp">#REF!</definedName>
    <definedName name="UAcct355Sgu">#REF!</definedName>
    <definedName name="UAcct356" localSheetId="2">[5]FuncStudy!$Y$1355</definedName>
    <definedName name="UAcct356" localSheetId="3">[5]FuncStudy!$Y$1355</definedName>
    <definedName name="UAcct356">'[6]Func Study'!$AB$1691</definedName>
    <definedName name="UAcct356Sgp">#REF!</definedName>
    <definedName name="UAcct356Sgu">#REF!</definedName>
    <definedName name="UAcct357" localSheetId="2">[5]FuncStudy!$Y$1361</definedName>
    <definedName name="UAcct357" localSheetId="3">[5]FuncStudy!$Y$1361</definedName>
    <definedName name="UAcct357">'[6]Func Study'!$AB$1697</definedName>
    <definedName name="UAcct357Sgp">#REF!</definedName>
    <definedName name="UAcct357Sgu">#REF!</definedName>
    <definedName name="UAcct358" localSheetId="2">[5]FuncStudy!$Y$1367</definedName>
    <definedName name="UAcct358" localSheetId="3">[5]FuncStudy!$Y$1367</definedName>
    <definedName name="UAcct358">'[6]Func Study'!$AB$1703</definedName>
    <definedName name="UAcct358Sgp">#REF!</definedName>
    <definedName name="UAcct358Sgu">#REF!</definedName>
    <definedName name="UAcct359" localSheetId="2">[5]FuncStudy!$Y$1373</definedName>
    <definedName name="UAcct359" localSheetId="3">[5]FuncStudy!$Y$1373</definedName>
    <definedName name="UAcct359">'[6]Func Study'!$AB$1709</definedName>
    <definedName name="UAcct359Sgp">#REF!</definedName>
    <definedName name="UAcct359Sgu">#REF!</definedName>
    <definedName name="UAcct360" localSheetId="2">[5]FuncStudy!$Y$1389</definedName>
    <definedName name="UAcct360" localSheetId="3">[5]FuncStudy!$Y$1389</definedName>
    <definedName name="UAcct360">'[6]Func Study'!$AB$1729</definedName>
    <definedName name="UAcct360A">#REF!</definedName>
    <definedName name="UAcct360Dp">#REF!</definedName>
    <definedName name="UAcct361" localSheetId="2">[5]FuncStudy!$Y$1395</definedName>
    <definedName name="UAcct361" localSheetId="3">[5]FuncStudy!$Y$1395</definedName>
    <definedName name="UAcct361">'[6]Func Study'!$AB$1735</definedName>
    <definedName name="UAcct361A">#REF!</definedName>
    <definedName name="UAcct361Dp">#REF!</definedName>
    <definedName name="UAcct362" localSheetId="2">[5]FuncStudy!$Y$1401</definedName>
    <definedName name="UAcct362" localSheetId="3">[5]FuncStudy!$Y$1401</definedName>
    <definedName name="UAcct362">'[6]Func Study'!$AB$1741</definedName>
    <definedName name="UAcct362A">#REF!</definedName>
    <definedName name="UAcct362Dp">#REF!</definedName>
    <definedName name="UAcct364">#REF!</definedName>
    <definedName name="UAcct364A">#REF!</definedName>
    <definedName name="UAcct364Dp">#REF!</definedName>
    <definedName name="UAcct364Ds">#REF!</definedName>
    <definedName name="UAcct365">#REF!</definedName>
    <definedName name="UAcct365A">#REF!</definedName>
    <definedName name="UAcct365Dp">#REF!</definedName>
    <definedName name="UAcct365Ds">#REF!</definedName>
    <definedName name="UAcct366">#REF!</definedName>
    <definedName name="UAcct366A">#REF!</definedName>
    <definedName name="UAcct366Dp">#REF!</definedName>
    <definedName name="UAcct366Ds">#REF!</definedName>
    <definedName name="UAcct367">#REF!</definedName>
    <definedName name="UAcct367A">#REF!</definedName>
    <definedName name="UAcct367Dp">#REF!</definedName>
    <definedName name="UAcct367Ds">#REF!</definedName>
    <definedName name="UAcct368" localSheetId="2">[5]FuncStudy!$Y$1435</definedName>
    <definedName name="UAcct368" localSheetId="3">[5]FuncStudy!$Y$1435</definedName>
    <definedName name="UAcct368">'[6]Func Study'!$AB$1775</definedName>
    <definedName name="UAcct368A">#REF!</definedName>
    <definedName name="UAcct368Ds">#REF!</definedName>
    <definedName name="UAcct369" localSheetId="2">[5]FuncStudy!$Y$1442</definedName>
    <definedName name="UAcct369" localSheetId="3">[5]FuncStudy!$Y$1442</definedName>
    <definedName name="UAcct369">'[6]Func Study'!$AB$1782</definedName>
    <definedName name="UAcct369A">#REF!</definedName>
    <definedName name="UAcct369Coh">#REF!</definedName>
    <definedName name="UAcct369Cug">#REF!</definedName>
    <definedName name="UAcct370" localSheetId="2">[5]FuncStudy!$Y$1448</definedName>
    <definedName name="UAcct370" localSheetId="3">[5]FuncStudy!$Y$1448</definedName>
    <definedName name="UAcct370">'[6]Func Study'!$AB$1793</definedName>
    <definedName name="UAcct370A">#REF!</definedName>
    <definedName name="UAcct370C">#REF!</definedName>
    <definedName name="UAcct371">#REF!</definedName>
    <definedName name="UAcct371A">#REF!</definedName>
    <definedName name="UAcct371Dp">#REF!</definedName>
    <definedName name="UAcct371Ds">#REF!</definedName>
    <definedName name="UAcct372">#REF!</definedName>
    <definedName name="UAcct372A" localSheetId="2">[5]FuncStudy!$Y$1461</definedName>
    <definedName name="UAcct372A" localSheetId="3">[5]FuncStudy!$Y$1461</definedName>
    <definedName name="UAcct372A">'[6]Func Study'!$AB$1806</definedName>
    <definedName name="UAcct372Dp" localSheetId="2">[5]FuncStudy!$Y$1459</definedName>
    <definedName name="UAcct372Dp" localSheetId="3">[5]FuncStudy!$Y$1459</definedName>
    <definedName name="UAcct372Dp">'[6]Func Study'!$AB$1804</definedName>
    <definedName name="UAcct372Ds" localSheetId="2">[5]FuncStudy!$Y$1460</definedName>
    <definedName name="UAcct372Ds" localSheetId="3">[5]FuncStudy!$Y$1460</definedName>
    <definedName name="UAcct372Ds">'[6]Func Study'!$AB$1805</definedName>
    <definedName name="UAcct373" localSheetId="2">[5]FuncStudy!$Y$1468</definedName>
    <definedName name="UAcct373" localSheetId="3">[5]FuncStudy!$Y$1468</definedName>
    <definedName name="UAcct373">'[6]Func Study'!$AB$1813</definedName>
    <definedName name="UAcct373C">#REF!</definedName>
    <definedName name="UAcct373Pa">#REF!</definedName>
    <definedName name="UAcct389">#REF!</definedName>
    <definedName name="UAcct389Cn" localSheetId="2">[5]FuncStudy!$Y$1483</definedName>
    <definedName name="UAcct389Cn" localSheetId="3">[5]FuncStudy!$Y$1483</definedName>
    <definedName name="UAcct389Cn">'[6]Func Study'!$AB$1831</definedName>
    <definedName name="UAcct389S" localSheetId="2">[5]FuncStudy!$Y$1482</definedName>
    <definedName name="UAcct389S" localSheetId="3">[5]FuncStudy!$Y$1482</definedName>
    <definedName name="UAcct389S">'[6]Func Study'!$AB$1830</definedName>
    <definedName name="UAcct389Sg" localSheetId="2">[5]FuncStudy!$Y$1485</definedName>
    <definedName name="UAcct389Sg" localSheetId="3">[5]FuncStudy!$Y$1485</definedName>
    <definedName name="UAcct389Sg">'[6]Func Study'!$AB$1833</definedName>
    <definedName name="UAcct389Sgp">#REF!</definedName>
    <definedName name="UAcct389Sgu" localSheetId="2">[5]FuncStudy!$Y$1484</definedName>
    <definedName name="UAcct389Sgu" localSheetId="3">[5]FuncStudy!$Y$1484</definedName>
    <definedName name="UAcct389Sgu">'[6]Func Study'!$AB$1832</definedName>
    <definedName name="UAcct389So" localSheetId="2">[5]FuncStudy!$Y$1486</definedName>
    <definedName name="UAcct389So" localSheetId="3">[5]FuncStudy!$Y$1486</definedName>
    <definedName name="UAcct389So">'[6]Func Study'!$AB$1834</definedName>
    <definedName name="UAcct389Sop">#REF!</definedName>
    <definedName name="UAcct390">#REF!</definedName>
    <definedName name="UAcct390Cn" localSheetId="2">[5]FuncStudy!$Y$1493</definedName>
    <definedName name="UAcct390Cn" localSheetId="3">[5]FuncStudy!$Y$1493</definedName>
    <definedName name="UAcct390Cn">'[6]Func Study'!$AB$1841</definedName>
    <definedName name="UAcct390L">#REF!</definedName>
    <definedName name="UAcct390LRCL">#REF!</definedName>
    <definedName name="UACCT390LS" localSheetId="2">[5]FuncStudy!$Y$1602</definedName>
    <definedName name="UACCT390LS" localSheetId="3">[5]FuncStudy!$Y$1602</definedName>
    <definedName name="UACCT390LS">'[6]Func Study'!$AB$1954</definedName>
    <definedName name="UAcct390LSG" localSheetId="2">[5]FuncStudy!$Y$1603</definedName>
    <definedName name="UAcct390LSG" localSheetId="3">[5]FuncStudy!$Y$1603</definedName>
    <definedName name="UAcct390LSG">'[6]Func Study'!$AB$1955</definedName>
    <definedName name="UAcct390LSO" localSheetId="2">[5]FuncStudy!$Y$1604</definedName>
    <definedName name="UAcct390LSO" localSheetId="3">[5]FuncStudy!$Y$1604</definedName>
    <definedName name="UAcct390LSO">'[6]Func Study'!$AB$1956</definedName>
    <definedName name="UAcct390S" localSheetId="2">[5]FuncStudy!$Y$1490</definedName>
    <definedName name="UAcct390S" localSheetId="3">[5]FuncStudy!$Y$1490</definedName>
    <definedName name="UAcct390S">'[6]Func Study'!$AB$1838</definedName>
    <definedName name="UAcct390Sgp" localSheetId="2">[5]FuncStudy!$Y$1491</definedName>
    <definedName name="UAcct390Sgp" localSheetId="3">[5]FuncStudy!$Y$1491</definedName>
    <definedName name="UAcct390Sgp">'[6]Func Study'!$AB$1839</definedName>
    <definedName name="UAcct390Sgu" localSheetId="2">[5]FuncStudy!$Y$1492</definedName>
    <definedName name="UAcct390Sgu" localSheetId="3">[5]FuncStudy!$Y$1492</definedName>
    <definedName name="UAcct390Sgu">'[6]Func Study'!$AB$1840</definedName>
    <definedName name="UAcct390Sop" localSheetId="2">[5]FuncStudy!$Y$1494</definedName>
    <definedName name="UAcct390Sop" localSheetId="3">[5]FuncStudy!$Y$1494</definedName>
    <definedName name="UAcct390Sop">'[6]Func Study'!$AB$1842</definedName>
    <definedName name="UAcct390Sou" localSheetId="2">[5]FuncStudy!$Y$1495</definedName>
    <definedName name="UAcct390Sou" localSheetId="3">[5]FuncStudy!$Y$1495</definedName>
    <definedName name="UAcct390Sou">'[6]Func Study'!$AB$1843</definedName>
    <definedName name="UAcct391">#REF!</definedName>
    <definedName name="UAcct391Cn" localSheetId="2">[5]FuncStudy!$Y$1502</definedName>
    <definedName name="UAcct391Cn" localSheetId="3">[5]FuncStudy!$Y$1502</definedName>
    <definedName name="UAcct391Cn">'[6]Func Study'!$AB$1851</definedName>
    <definedName name="UAcct391S" localSheetId="2">[5]FuncStudy!$Y$1499</definedName>
    <definedName name="UAcct391S" localSheetId="3">[5]FuncStudy!$Y$1499</definedName>
    <definedName name="UAcct391S">'[6]Func Study'!$AB$1848</definedName>
    <definedName name="UAcct391Se" localSheetId="2">[5]FuncStudy!$Y$1504</definedName>
    <definedName name="UAcct391Se" localSheetId="3">[5]FuncStudy!$Y$1504</definedName>
    <definedName name="UAcct391Se">'[6]Func Study'!$AB$1853</definedName>
    <definedName name="UAcct391Sg" localSheetId="2">[5]FuncStudy!$Y$1503</definedName>
    <definedName name="UAcct391Sg" localSheetId="3">[5]FuncStudy!$Y$1503</definedName>
    <definedName name="UAcct391Sg">'[6]Func Study'!$AB$1852</definedName>
    <definedName name="UAcct391Sgp" localSheetId="2">[5]FuncStudy!$Y$1500</definedName>
    <definedName name="UAcct391Sgp" localSheetId="3">[5]FuncStudy!$Y$1500</definedName>
    <definedName name="UAcct391Sgp">'[6]Func Study'!$AB$1849</definedName>
    <definedName name="UAcct391Sgu" localSheetId="2">[5]FuncStudy!$Y$1501</definedName>
    <definedName name="UAcct391Sgu" localSheetId="3">[5]FuncStudy!$Y$1501</definedName>
    <definedName name="UAcct391Sgu">'[6]Func Study'!$AB$1850</definedName>
    <definedName name="UAcct391So" localSheetId="2">[5]FuncStudy!$Y$1505</definedName>
    <definedName name="UAcct391So" localSheetId="3">[5]FuncStudy!$Y$1505</definedName>
    <definedName name="UAcct391So">'[6]Func Study'!$AB$1854</definedName>
    <definedName name="UAcct391Sou">#REF!</definedName>
    <definedName name="uacct391ssgch" localSheetId="2">[5]FuncStudy!$Y$1506</definedName>
    <definedName name="uacct391ssgch" localSheetId="3">[5]FuncStudy!$Y$1506</definedName>
    <definedName name="uacct391ssgch">'[6]Func Study'!$AB$1855</definedName>
    <definedName name="UACCT391SSGCT" localSheetId="2">[5]FuncStudy!$Y$1507</definedName>
    <definedName name="UACCT391SSGCT" localSheetId="3">[5]FuncStudy!$Y$1507</definedName>
    <definedName name="UACCT391SSGCT">'[6]Func Study'!$AB$1856</definedName>
    <definedName name="UAcct392">#REF!</definedName>
    <definedName name="UAcct392Cn" localSheetId="2">[5]FuncStudy!$Y$1514</definedName>
    <definedName name="UAcct392Cn" localSheetId="3">[5]FuncStudy!$Y$1514</definedName>
    <definedName name="UAcct392Cn">'[6]Func Study'!$AB$1863</definedName>
    <definedName name="UAcct392L" localSheetId="2">[5]FuncStudy!$Y$1612</definedName>
    <definedName name="UAcct392L" localSheetId="3">[5]FuncStudy!$Y$1612</definedName>
    <definedName name="UAcct392L">'[6]Func Study'!$AB$1964</definedName>
    <definedName name="UACCT392LRCL" localSheetId="2">[5]FuncStudy!$F$1615</definedName>
    <definedName name="UACCT392LRCL" localSheetId="3">[5]FuncStudy!$F$1615</definedName>
    <definedName name="UACCT392LRCL">'[6]Func Study'!$H$1967</definedName>
    <definedName name="UAcct392Lsop">#REF!</definedName>
    <definedName name="UAcct392S" localSheetId="2">[5]FuncStudy!$Y$1511</definedName>
    <definedName name="UAcct392S" localSheetId="3">[5]FuncStudy!$Y$1511</definedName>
    <definedName name="UAcct392S">'[6]Func Study'!$AB$1860</definedName>
    <definedName name="UAcct392Se" localSheetId="2">[5]FuncStudy!$Y$1516</definedName>
    <definedName name="UAcct392Se" localSheetId="3">[5]FuncStudy!$Y$1516</definedName>
    <definedName name="UAcct392Se">'[6]Func Study'!$AB$1865</definedName>
    <definedName name="UAcct392Sg" localSheetId="2">[5]FuncStudy!$Y$1513</definedName>
    <definedName name="UAcct392Sg" localSheetId="3">[5]FuncStudy!$Y$1513</definedName>
    <definedName name="UAcct392Sg">'[6]Func Study'!$AB$1862</definedName>
    <definedName name="UAcct392Sgp" localSheetId="2">[5]FuncStudy!$Y$1517</definedName>
    <definedName name="UAcct392Sgp" localSheetId="3">[5]FuncStudy!$Y$1517</definedName>
    <definedName name="UAcct392Sgp">'[6]Func Study'!$AB$1866</definedName>
    <definedName name="UAcct392Sgu" localSheetId="2">[5]FuncStudy!$Y$1515</definedName>
    <definedName name="UAcct392Sgu" localSheetId="3">[5]FuncStudy!$Y$1515</definedName>
    <definedName name="UAcct392Sgu">'[6]Func Study'!$AB$1864</definedName>
    <definedName name="UAcct392So" localSheetId="2">[5]FuncStudy!$Y$1512</definedName>
    <definedName name="UAcct392So" localSheetId="3">[5]FuncStudy!$Y$1512</definedName>
    <definedName name="UAcct392So">'[6]Func Study'!$AB$1861</definedName>
    <definedName name="uacct392ssgch" localSheetId="2">[5]FuncStudy!$Y$1518</definedName>
    <definedName name="uacct392ssgch" localSheetId="3">[5]FuncStudy!$Y$1518</definedName>
    <definedName name="uacct392ssgch">'[6]Func Study'!$AB$1867</definedName>
    <definedName name="uacct392ssgct" localSheetId="2">[5]FuncStudy!$Y$1519</definedName>
    <definedName name="uacct392ssgct" localSheetId="3">[5]FuncStudy!$Y$1519</definedName>
    <definedName name="uacct392ssgct">'[6]Func Study'!$AB$1868</definedName>
    <definedName name="UAcct393">#REF!</definedName>
    <definedName name="UAcct393S" localSheetId="2">[5]FuncStudy!$Y$1523</definedName>
    <definedName name="UAcct393S" localSheetId="3">[5]FuncStudy!$Y$1523</definedName>
    <definedName name="UAcct393S">'[6]Func Study'!$AB$1872</definedName>
    <definedName name="UAcct393Sg" localSheetId="2">[5]FuncStudy!$Y$1527</definedName>
    <definedName name="UAcct393Sg" localSheetId="3">[5]FuncStudy!$Y$1527</definedName>
    <definedName name="UAcct393Sg">'[6]Func Study'!$AB$1876</definedName>
    <definedName name="UAcct393Sgp" localSheetId="2">[5]FuncStudy!$Y$1524</definedName>
    <definedName name="UAcct393Sgp" localSheetId="3">[5]FuncStudy!$Y$1524</definedName>
    <definedName name="UAcct393Sgp">'[6]Func Study'!$AB$1873</definedName>
    <definedName name="UAcct393Sgu" localSheetId="2">[5]FuncStudy!$Y$1525</definedName>
    <definedName name="UAcct393Sgu" localSheetId="3">[5]FuncStudy!$Y$1525</definedName>
    <definedName name="UAcct393Sgu">'[6]Func Study'!$AB$1874</definedName>
    <definedName name="UAcct393So" localSheetId="2">[5]FuncStudy!$Y$1526</definedName>
    <definedName name="UAcct393So" localSheetId="3">[5]FuncStudy!$Y$1526</definedName>
    <definedName name="UAcct393So">'[6]Func Study'!$AB$1875</definedName>
    <definedName name="uacct393ssgct" localSheetId="2">[5]FuncStudy!$Y$1528</definedName>
    <definedName name="uacct393ssgct" localSheetId="3">[5]FuncStudy!$Y$1528</definedName>
    <definedName name="uacct393ssgct">'[6]Func Study'!$AB$1877</definedName>
    <definedName name="UAcct394">#REF!</definedName>
    <definedName name="UAcct394S" localSheetId="2">[5]FuncStudy!$Y$1532</definedName>
    <definedName name="UAcct394S" localSheetId="3">[5]FuncStudy!$Y$1532</definedName>
    <definedName name="UAcct394S">'[6]Func Study'!$AB$1881</definedName>
    <definedName name="UAcct394Se" localSheetId="2">[5]FuncStudy!$Y$1536</definedName>
    <definedName name="UAcct394Se" localSheetId="3">[5]FuncStudy!$Y$1536</definedName>
    <definedName name="UAcct394Se">'[6]Func Study'!$AB$1885</definedName>
    <definedName name="UAcct394Sg" localSheetId="2">[5]FuncStudy!$Y$1537</definedName>
    <definedName name="UAcct394Sg" localSheetId="3">[5]FuncStudy!$Y$1537</definedName>
    <definedName name="UAcct394Sg">'[6]Func Study'!$AB$1886</definedName>
    <definedName name="UAcct394Sgp" localSheetId="2">[5]FuncStudy!$Y$1533</definedName>
    <definedName name="UAcct394Sgp" localSheetId="3">[5]FuncStudy!$Y$1533</definedName>
    <definedName name="UAcct394Sgp">'[6]Func Study'!$AB$1882</definedName>
    <definedName name="UAcct394Sgu" localSheetId="2">[5]FuncStudy!$Y$1534</definedName>
    <definedName name="UAcct394Sgu" localSheetId="3">[5]FuncStudy!$Y$1534</definedName>
    <definedName name="UAcct394Sgu">'[6]Func Study'!$AB$1883</definedName>
    <definedName name="UAcct394So" localSheetId="2">[5]FuncStudy!$Y$1535</definedName>
    <definedName name="UAcct394So" localSheetId="3">[5]FuncStudy!$Y$1535</definedName>
    <definedName name="UAcct394So">'[6]Func Study'!$AB$1884</definedName>
    <definedName name="UACCT394SSGCH" localSheetId="2">[5]FuncStudy!$Y$1538</definedName>
    <definedName name="UACCT394SSGCH" localSheetId="3">[5]FuncStudy!$Y$1538</definedName>
    <definedName name="UACCT394SSGCH">'[6]Func Study'!$AB$1887</definedName>
    <definedName name="UACCT394SSGCT" localSheetId="2">[5]FuncStudy!$Y$1539</definedName>
    <definedName name="UACCT394SSGCT" localSheetId="3">[5]FuncStudy!$Y$1539</definedName>
    <definedName name="UACCT394SSGCT">'[6]Func Study'!$AB$1888</definedName>
    <definedName name="UAcct395">#REF!</definedName>
    <definedName name="UAcct395S" localSheetId="2">[5]FuncStudy!$Y$1543</definedName>
    <definedName name="UAcct395S" localSheetId="3">[5]FuncStudy!$Y$1543</definedName>
    <definedName name="UAcct395S">'[6]Func Study'!$AB$1892</definedName>
    <definedName name="UAcct395Se" localSheetId="2">[5]FuncStudy!$Y$1547</definedName>
    <definedName name="UAcct395Se" localSheetId="3">[5]FuncStudy!$Y$1547</definedName>
    <definedName name="UAcct395Se">'[6]Func Study'!$AB$1896</definedName>
    <definedName name="UAcct395Sg" localSheetId="2">[5]FuncStudy!$Y$1548</definedName>
    <definedName name="UAcct395Sg" localSheetId="3">[5]FuncStudy!$Y$1548</definedName>
    <definedName name="UAcct395Sg">'[6]Func Study'!$AB$1897</definedName>
    <definedName name="UAcct395Sgp" localSheetId="2">[5]FuncStudy!$Y$1544</definedName>
    <definedName name="UAcct395Sgp" localSheetId="3">[5]FuncStudy!$Y$1544</definedName>
    <definedName name="UAcct395Sgp">'[6]Func Study'!$AB$1893</definedName>
    <definedName name="UAcct395Sgu" localSheetId="2">[5]FuncStudy!$Y$1545</definedName>
    <definedName name="UAcct395Sgu" localSheetId="3">[5]FuncStudy!$Y$1545</definedName>
    <definedName name="UAcct395Sgu">'[6]Func Study'!$AB$1894</definedName>
    <definedName name="UAcct395So" localSheetId="2">[5]FuncStudy!$Y$1546</definedName>
    <definedName name="UAcct395So" localSheetId="3">[5]FuncStudy!$Y$1546</definedName>
    <definedName name="UAcct395So">'[6]Func Study'!$AB$1895</definedName>
    <definedName name="UACCT395SSGCH" localSheetId="2">[5]FuncStudy!$Y$1549</definedName>
    <definedName name="UACCT395SSGCH" localSheetId="3">[5]FuncStudy!$Y$1549</definedName>
    <definedName name="UACCT395SSGCH">'[6]Func Study'!$AB$1898</definedName>
    <definedName name="UACCT395SSGCT" localSheetId="2">[5]FuncStudy!$Y$1550</definedName>
    <definedName name="UACCT395SSGCT" localSheetId="3">[5]FuncStudy!$Y$1550</definedName>
    <definedName name="UACCT395SSGCT">'[6]Func Study'!$AB$1899</definedName>
    <definedName name="UAcct396">#REF!</definedName>
    <definedName name="UAcct396S" localSheetId="2">[5]FuncStudy!$Y$1554</definedName>
    <definedName name="UAcct396S" localSheetId="3">[5]FuncStudy!$Y$1554</definedName>
    <definedName name="UAcct396S">'[6]Func Study'!$AB$1903</definedName>
    <definedName name="UAcct396Se" localSheetId="2">[5]FuncStudy!$Y$1559</definedName>
    <definedName name="UAcct396Se" localSheetId="3">[5]FuncStudy!$Y$1559</definedName>
    <definedName name="UAcct396Se">'[6]Func Study'!$AB$1908</definedName>
    <definedName name="UAcct396Sg" localSheetId="2">[5]FuncStudy!$Y$1556</definedName>
    <definedName name="UAcct396Sg" localSheetId="3">[5]FuncStudy!$Y$1556</definedName>
    <definedName name="UAcct396Sg">'[6]Func Study'!$AB$1905</definedName>
    <definedName name="UAcct396Sgp" localSheetId="2">[5]FuncStudy!$Y$1555</definedName>
    <definedName name="UAcct396Sgp" localSheetId="3">[5]FuncStudy!$Y$1555</definedName>
    <definedName name="UAcct396Sgp">'[6]Func Study'!$AB$1904</definedName>
    <definedName name="UAcct396Sgu" localSheetId="2">[5]FuncStudy!$Y$1558</definedName>
    <definedName name="UAcct396Sgu" localSheetId="3">[5]FuncStudy!$Y$1558</definedName>
    <definedName name="UAcct396Sgu">'[6]Func Study'!$AB$1907</definedName>
    <definedName name="UAcct396So" localSheetId="2">[5]FuncStudy!$Y$1557</definedName>
    <definedName name="UAcct396So" localSheetId="3">[5]FuncStudy!$Y$1557</definedName>
    <definedName name="UAcct396So">'[6]Func Study'!$AB$1906</definedName>
    <definedName name="UACCT396SSGCH" localSheetId="2">[5]FuncStudy!$Y$1561</definedName>
    <definedName name="UACCT396SSGCH" localSheetId="3">[5]FuncStudy!$Y$1561</definedName>
    <definedName name="UACCT396SSGCH">'[6]Func Study'!$AB$1910</definedName>
    <definedName name="UACCT396SSGCT" localSheetId="2">[5]FuncStudy!$Y$1560</definedName>
    <definedName name="UACCT396SSGCT" localSheetId="3">[5]FuncStudy!$Y$1560</definedName>
    <definedName name="UACCT396SSGCT">'[6]Func Study'!$AB$1909</definedName>
    <definedName name="UAcct397">#REF!</definedName>
    <definedName name="UAcct397Cn" localSheetId="2">[5]FuncStudy!$Y$1569</definedName>
    <definedName name="UAcct397Cn" localSheetId="3">[5]FuncStudy!$Y$1569</definedName>
    <definedName name="UAcct397Cn">'[6]Func Study'!$AB$1921</definedName>
    <definedName name="UAcct397S" localSheetId="2">[5]FuncStudy!$Y$1565</definedName>
    <definedName name="UAcct397S" localSheetId="3">[5]FuncStudy!$Y$1565</definedName>
    <definedName name="UAcct397S">'[6]Func Study'!$AB$1917</definedName>
    <definedName name="UAcct397Se" localSheetId="2">[5]FuncStudy!$Y$1571</definedName>
    <definedName name="UAcct397Se" localSheetId="3">[5]FuncStudy!$Y$1571</definedName>
    <definedName name="UAcct397Se">'[6]Func Study'!$AB$1923</definedName>
    <definedName name="UAcct397Sg" localSheetId="2">[5]FuncStudy!$Y$1570</definedName>
    <definedName name="UAcct397Sg" localSheetId="3">[5]FuncStudy!$Y$1570</definedName>
    <definedName name="UAcct397Sg">'[6]Func Study'!$AB$1922</definedName>
    <definedName name="UAcct397Sgp" localSheetId="2">[5]FuncStudy!$Y$1566</definedName>
    <definedName name="UAcct397Sgp" localSheetId="3">[5]FuncStudy!$Y$1566</definedName>
    <definedName name="UAcct397Sgp">'[6]Func Study'!$AB$1918</definedName>
    <definedName name="UAcct397Sgu" localSheetId="2">[5]FuncStudy!$Y$1567</definedName>
    <definedName name="UAcct397Sgu" localSheetId="3">[5]FuncStudy!$Y$1567</definedName>
    <definedName name="UAcct397Sgu">'[6]Func Study'!$AB$1919</definedName>
    <definedName name="UAcct397So" localSheetId="2">[5]FuncStudy!$Y$1568</definedName>
    <definedName name="UAcct397So" localSheetId="3">[5]FuncStudy!$Y$1568</definedName>
    <definedName name="UAcct397So">'[6]Func Study'!$AB$1920</definedName>
    <definedName name="UACCT397SSGCH" localSheetId="2">[5]FuncStudy!$Y$1572</definedName>
    <definedName name="UACCT397SSGCH" localSheetId="3">[5]FuncStudy!$Y$1572</definedName>
    <definedName name="UACCT397SSGCH">'[6]Func Study'!$AB$1924</definedName>
    <definedName name="UACCT397SSGCT" localSheetId="2">[5]FuncStudy!$Y$1573</definedName>
    <definedName name="UACCT397SSGCT" localSheetId="3">[5]FuncStudy!$Y$1573</definedName>
    <definedName name="UACCT397SSGCT">'[6]Func Study'!$AB$1925</definedName>
    <definedName name="UAcct398">#REF!</definedName>
    <definedName name="UAcct398Cn" localSheetId="2">[5]FuncStudy!$Y$1580</definedName>
    <definedName name="UAcct398Cn" localSheetId="3">[5]FuncStudy!$Y$1580</definedName>
    <definedName name="UAcct398Cn">'[6]Func Study'!$AB$1932</definedName>
    <definedName name="UAcct398S" localSheetId="2">[5]FuncStudy!$Y$1577</definedName>
    <definedName name="UAcct398S" localSheetId="3">[5]FuncStudy!$Y$1577</definedName>
    <definedName name="UAcct398S">'[6]Func Study'!$AB$1929</definedName>
    <definedName name="UAcct398Se" localSheetId="2">[5]FuncStudy!$Y$1582</definedName>
    <definedName name="UAcct398Se" localSheetId="3">[5]FuncStudy!$Y$1582</definedName>
    <definedName name="UAcct398Se">'[6]Func Study'!$AB$1934</definedName>
    <definedName name="UAcct398Sg" localSheetId="2">[5]FuncStudy!$Y$1583</definedName>
    <definedName name="UAcct398Sg" localSheetId="3">[5]FuncStudy!$Y$1583</definedName>
    <definedName name="UAcct398Sg">'[6]Func Study'!$AB$1935</definedName>
    <definedName name="UAcct398Sgp" localSheetId="2">[5]FuncStudy!$Y$1578</definedName>
    <definedName name="UAcct398Sgp" localSheetId="3">[5]FuncStudy!$Y$1578</definedName>
    <definedName name="UAcct398Sgp">'[6]Func Study'!$AB$1930</definedName>
    <definedName name="UAcct398Sgu" localSheetId="2">[5]FuncStudy!$Y$1579</definedName>
    <definedName name="UAcct398Sgu" localSheetId="3">[5]FuncStudy!$Y$1579</definedName>
    <definedName name="UAcct398Sgu">'[6]Func Study'!$AB$1931</definedName>
    <definedName name="UAcct398So" localSheetId="2">[5]FuncStudy!$Y$1581</definedName>
    <definedName name="UAcct398So" localSheetId="3">[5]FuncStudy!$Y$1581</definedName>
    <definedName name="UAcct398So">'[6]Func Study'!$AB$1933</definedName>
    <definedName name="UACCT398SSGCT" localSheetId="2">[5]FuncStudy!$Y$1584</definedName>
    <definedName name="UACCT398SSGCT" localSheetId="3">[5]FuncStudy!$Y$1584</definedName>
    <definedName name="UACCT398SSGCT">'[6]Func Study'!$AB$1936</definedName>
    <definedName name="UAcct399" localSheetId="2">[5]FuncStudy!$Y$1591</definedName>
    <definedName name="UAcct399" localSheetId="3">[5]FuncStudy!$Y$1591</definedName>
    <definedName name="UAcct399">'[6]Func Study'!$AB$1943</definedName>
    <definedName name="UAcct399Doth">#REF!</definedName>
    <definedName name="UAcct399G" localSheetId="2">[5]FuncStudy!$Y$1632</definedName>
    <definedName name="UAcct399G" localSheetId="3">[5]FuncStudy!$Y$1632</definedName>
    <definedName name="UAcct399G">'[6]Func Study'!$AB$1984</definedName>
    <definedName name="UAcct399Gs">#REF!</definedName>
    <definedName name="UAcct399Gsg">#REF!</definedName>
    <definedName name="UAcct399Gsgp">#REF!</definedName>
    <definedName name="UAcct399Gsgu">#REF!</definedName>
    <definedName name="UAcct399Gso">#REF!</definedName>
    <definedName name="UAcct399L" localSheetId="2">[5]FuncStudy!$Y$1595</definedName>
    <definedName name="UAcct399L" localSheetId="3">[5]FuncStudy!$Y$1595</definedName>
    <definedName name="UAcct399L">'[6]Func Study'!$AB$1947</definedName>
    <definedName name="UAcct399Lrcl" localSheetId="2">[5]FuncStudy!$Y$1597</definedName>
    <definedName name="UAcct399Lrcl" localSheetId="3">[5]FuncStudy!$Y$1597</definedName>
    <definedName name="UAcct399Lrcl">'[6]Func Study'!$AB$1949</definedName>
    <definedName name="UAcct399Sep">#REF!</definedName>
    <definedName name="UAcct399Seu">#REF!</definedName>
    <definedName name="UAcct403360" localSheetId="2">[5]FuncStudy!$Y$809</definedName>
    <definedName name="UAcct403360" localSheetId="3">[5]FuncStudy!$Y$809</definedName>
    <definedName name="UAcct403360">'[6]Func Study'!$AB$1045</definedName>
    <definedName name="UAcct403361" localSheetId="2">[5]FuncStudy!$Y$810</definedName>
    <definedName name="UAcct403361" localSheetId="3">[5]FuncStudy!$Y$810</definedName>
    <definedName name="UAcct403361">'[6]Func Study'!$AB$1046</definedName>
    <definedName name="UAcct403362" localSheetId="2">[5]FuncStudy!$Y$811</definedName>
    <definedName name="UAcct403362" localSheetId="3">[5]FuncStudy!$Y$811</definedName>
    <definedName name="UAcct403362">'[6]Func Study'!$AB$1047</definedName>
    <definedName name="UAcct403364" localSheetId="2">[5]FuncStudy!$Y$812</definedName>
    <definedName name="UAcct403364" localSheetId="3">[5]FuncStudy!$Y$812</definedName>
    <definedName name="UAcct403364">'[6]Func Study'!$AB$1048</definedName>
    <definedName name="UAcct403365" localSheetId="2">[5]FuncStudy!$Y$813</definedName>
    <definedName name="UAcct403365" localSheetId="3">[5]FuncStudy!$Y$813</definedName>
    <definedName name="UAcct403365">'[6]Func Study'!$AB$1049</definedName>
    <definedName name="UAcct403366" localSheetId="2">[5]FuncStudy!$Y$814</definedName>
    <definedName name="UAcct403366" localSheetId="3">[5]FuncStudy!$Y$814</definedName>
    <definedName name="UAcct403366">'[6]Func Study'!$AB$1050</definedName>
    <definedName name="UAcct403367" localSheetId="2">[5]FuncStudy!$Y$815</definedName>
    <definedName name="UAcct403367" localSheetId="3">[5]FuncStudy!$Y$815</definedName>
    <definedName name="UAcct403367">'[6]Func Study'!$AB$1051</definedName>
    <definedName name="UAcct403368" localSheetId="2">[5]FuncStudy!$Y$816</definedName>
    <definedName name="UAcct403368" localSheetId="3">[5]FuncStudy!$Y$816</definedName>
    <definedName name="UAcct403368">'[6]Func Study'!$AB$1052</definedName>
    <definedName name="UAcct403369" localSheetId="2">[5]FuncStudy!$Y$817</definedName>
    <definedName name="UAcct403369" localSheetId="3">[5]FuncStudy!$Y$817</definedName>
    <definedName name="UAcct403369">'[6]Func Study'!$AB$1053</definedName>
    <definedName name="UAcct403370" localSheetId="2">[5]FuncStudy!$Y$818</definedName>
    <definedName name="UAcct403370" localSheetId="3">[5]FuncStudy!$Y$818</definedName>
    <definedName name="UAcct403370">'[6]Func Study'!$AB$1054</definedName>
    <definedName name="UAcct403371" localSheetId="2">[5]FuncStudy!$Y$819</definedName>
    <definedName name="UAcct403371" localSheetId="3">[5]FuncStudy!$Y$819</definedName>
    <definedName name="UAcct403371">'[6]Func Study'!$AB$1055</definedName>
    <definedName name="UAcct403372" localSheetId="2">[5]FuncStudy!$Y$820</definedName>
    <definedName name="UAcct403372" localSheetId="3">[5]FuncStudy!$Y$820</definedName>
    <definedName name="UAcct403372">'[6]Func Study'!$AB$1056</definedName>
    <definedName name="UAcct403373" localSheetId="2">[5]FuncStudy!$Y$821</definedName>
    <definedName name="UAcct403373" localSheetId="3">[5]FuncStudy!$Y$821</definedName>
    <definedName name="UAcct403373">'[6]Func Study'!$AB$1057</definedName>
    <definedName name="uacct403dgp">#REF!</definedName>
    <definedName name="uacct403dgu">'[6]Func Study'!$AB$1068</definedName>
    <definedName name="UAcct403Dp">#REF!</definedName>
    <definedName name="UAcct403Ep" localSheetId="2">[5]FuncStudy!$Y$847</definedName>
    <definedName name="UAcct403Ep" localSheetId="3">[5]FuncStudy!$Y$847</definedName>
    <definedName name="UAcct403Ep">'[6]Func Study'!$AB$1084</definedName>
    <definedName name="UAcct403Epsg">#REF!</definedName>
    <definedName name="UAcct403Epsgp">#REF!</definedName>
    <definedName name="UAcct403Gp">#REF!</definedName>
    <definedName name="UAcct403Gpcn" localSheetId="2">[5]FuncStudy!$Y$829</definedName>
    <definedName name="UAcct403Gpcn" localSheetId="3">[5]FuncStudy!$Y$829</definedName>
    <definedName name="UAcct403Gpcn">'[6]Func Study'!$AB$1065</definedName>
    <definedName name="UAcct403Gps" localSheetId="2">[5]FuncStudy!$Y$825</definedName>
    <definedName name="UAcct403Gps" localSheetId="3">[5]FuncStudy!$Y$825</definedName>
    <definedName name="UAcct403Gps">'[6]Func Study'!$AB$1061</definedName>
    <definedName name="UAcct403Gpse">#REF!</definedName>
    <definedName name="UAcct403Gpseu" localSheetId="2">[5]FuncStudy!$Y$828</definedName>
    <definedName name="UAcct403Gpseu" localSheetId="3">[5]FuncStudy!$Y$828</definedName>
    <definedName name="UAcct403Gpseu">'[6]Func Study'!$AB$1064</definedName>
    <definedName name="UAcct403Gpsg" localSheetId="2">[5]FuncStudy!$Y$830</definedName>
    <definedName name="UAcct403Gpsg" localSheetId="3">[5]FuncStudy!$Y$830</definedName>
    <definedName name="UAcct403Gpsg">'[6]Func Study'!$AB$1066</definedName>
    <definedName name="UAcct403Gpsgp" localSheetId="2">[5]FuncStudy!$Y$826</definedName>
    <definedName name="UAcct403Gpsgp" localSheetId="3">[5]FuncStudy!$Y$826</definedName>
    <definedName name="UAcct403Gpsgp">'[6]Func Study'!$AB$1062</definedName>
    <definedName name="UAcct403Gpsgu" localSheetId="2">[5]FuncStudy!$Y$827</definedName>
    <definedName name="UAcct403Gpsgu" localSheetId="3">[5]FuncStudy!$Y$827</definedName>
    <definedName name="UAcct403Gpsgu">'[6]Func Study'!$AB$1063</definedName>
    <definedName name="UAcct403Gpso" localSheetId="2">[5]FuncStudy!$Y$831</definedName>
    <definedName name="UAcct403Gpso" localSheetId="3">[5]FuncStudy!$Y$831</definedName>
    <definedName name="UAcct403Gpso">'[6]Func Study'!$AB$1067</definedName>
    <definedName name="UAcct403Gpsop">#REF!</definedName>
    <definedName name="uacct403gpssgch" localSheetId="2">[5]FuncStudy!$Y$833</definedName>
    <definedName name="uacct403gpssgch" localSheetId="3">[5]FuncStudy!$Y$833</definedName>
    <definedName name="uacct403gpssgch">'[6]Func Study'!$AB$1070</definedName>
    <definedName name="UACCT403GPSSGCT" localSheetId="2">[5]FuncStudy!$Y$832</definedName>
    <definedName name="UACCT403GPSSGCT" localSheetId="3">[5]FuncStudy!$Y$832</definedName>
    <definedName name="UACCT403GPSSGCT">'[6]Func Study'!$AB$1069</definedName>
    <definedName name="UAcct403Gv0" localSheetId="2">[5]FuncStudy!$Y$838</definedName>
    <definedName name="UAcct403Gv0" localSheetId="3">[5]FuncStudy!$Y$838</definedName>
    <definedName name="UAcct403Gv0">'[6]Func Study'!$AB$1075</definedName>
    <definedName name="UAcct403Gv0Sgp">#REF!</definedName>
    <definedName name="UAcct403Hp" localSheetId="2">[5]FuncStudy!$Y$793</definedName>
    <definedName name="UAcct403Hp" localSheetId="3">[5]FuncStudy!$Y$793</definedName>
    <definedName name="UAcct403Hp">'[6]Func Study'!$AB$1029</definedName>
    <definedName name="UAcct403Hpdgp">#REF!</definedName>
    <definedName name="UAcct403Hpdgu">#REF!</definedName>
    <definedName name="UAcct403Mp" localSheetId="2">[5]FuncStudy!$Y$842</definedName>
    <definedName name="UAcct403Mp" localSheetId="3">[5]FuncStudy!$Y$842</definedName>
    <definedName name="UAcct403Mp">'[6]Func Study'!$AB$1079</definedName>
    <definedName name="UAcct403Mpseu">#REF!</definedName>
    <definedName name="UAcct403Np" localSheetId="2">[5]FuncStudy!$Y$788</definedName>
    <definedName name="UAcct403Np" localSheetId="3">[5]FuncStudy!$Y$788</definedName>
    <definedName name="UAcct403Np">'[6]Func Study'!$AB$1024</definedName>
    <definedName name="UAcct403Npdgp">#REF!</definedName>
    <definedName name="UAcct403Op" localSheetId="2">[5]FuncStudy!$Y$800</definedName>
    <definedName name="UAcct403Op" localSheetId="3">[5]FuncStudy!$Y$800</definedName>
    <definedName name="UAcct403Op">'[6]Func Study'!$AB$1036</definedName>
    <definedName name="uacct403opdgp">#REF!</definedName>
    <definedName name="uacct403opdgu">#REF!</definedName>
    <definedName name="uacct403opsg">#REF!</definedName>
    <definedName name="UAcct403Opsgp">#REF!</definedName>
    <definedName name="UAcct403Opsgu" localSheetId="2">[5]FuncStudy!$Y$797</definedName>
    <definedName name="UAcct403Opsgu" localSheetId="3">[5]FuncStudy!$Y$797</definedName>
    <definedName name="UAcct403Opsgu">[8]FuncStudy!$Y$796</definedName>
    <definedName name="uacct403opsscct">#REF!</definedName>
    <definedName name="uacct403opssg">'[6]Func Study'!$AB$1035</definedName>
    <definedName name="uacct403opssgch">#REF!</definedName>
    <definedName name="uacct403opssgct" localSheetId="2">[5]FuncStudy!$Y$798</definedName>
    <definedName name="uacct403opssgct" localSheetId="3">[5]FuncStudy!$Y$798</definedName>
    <definedName name="uacct403opssgct">'[6]Func Study'!$AB$1034</definedName>
    <definedName name="uacct403sg">#REF!</definedName>
    <definedName name="uacct403sgw" localSheetId="2">[5]FuncStudy!$Y$799</definedName>
    <definedName name="uacct403sgw" localSheetId="3">[5]FuncStudy!$Y$799</definedName>
    <definedName name="uacct403sgw">[8]FuncStudy!$Y$798</definedName>
    <definedName name="UAcct403Sp">#REF!</definedName>
    <definedName name="uacct403spdgp" localSheetId="2">[5]FuncStudy!$Y$780</definedName>
    <definedName name="uacct403spdgp" localSheetId="3">[5]FuncStudy!$Y$780</definedName>
    <definedName name="uacct403spdgp">'[6]Func Study'!$AB$1016</definedName>
    <definedName name="uacct403spdgu" localSheetId="2">[5]FuncStudy!$Y$781</definedName>
    <definedName name="uacct403spdgu" localSheetId="3">[5]FuncStudy!$Y$781</definedName>
    <definedName name="uacct403spdgu">'[6]Func Study'!$AB$1017</definedName>
    <definedName name="uacct403spsg" localSheetId="2">[5]FuncStudy!$Y$782</definedName>
    <definedName name="uacct403spsg" localSheetId="3">[5]FuncStudy!$Y$782</definedName>
    <definedName name="uacct403spsg">'[6]Func Study'!$AB$1018</definedName>
    <definedName name="UAcct403Spsgp">#REF!</definedName>
    <definedName name="UAcct403Spsgu">#REF!</definedName>
    <definedName name="uacct403ssgch" localSheetId="2">[5]FuncStudy!$Y$783</definedName>
    <definedName name="uacct403ssgch" localSheetId="3">[5]FuncStudy!$Y$783</definedName>
    <definedName name="uacct403ssgch">'[6]Func Study'!$AB$1019</definedName>
    <definedName name="UAcct403Tp" localSheetId="2">[5]FuncStudy!$Y$806</definedName>
    <definedName name="UAcct403Tp" localSheetId="3">[5]FuncStudy!$Y$806</definedName>
    <definedName name="UAcct403Tp">'[6]Func Study'!$AB$1042</definedName>
    <definedName name="UAcct403Tpsgp">#REF!</definedName>
    <definedName name="UAcct403Tpsgu">#REF!</definedName>
    <definedName name="UAcct404330" localSheetId="2">[5]FuncStudy!$Y$881</definedName>
    <definedName name="UAcct404330" localSheetId="3">[5]FuncStudy!$Y$881</definedName>
    <definedName name="UAcct404330">'[6]Func Study'!$AB$1126</definedName>
    <definedName name="UAcct404330Dgp">#REF!</definedName>
    <definedName name="UAcct404330Dgu">#REF!</definedName>
    <definedName name="UAcct404Clg" localSheetId="2">[5]FuncStudy!$Y$858</definedName>
    <definedName name="UAcct404Clg" localSheetId="3">[5]FuncStudy!$Y$858</definedName>
    <definedName name="UAcct404Clg">'[6]Func Study'!$AB$1099</definedName>
    <definedName name="UAcct404Clgdgp">#REF!</definedName>
    <definedName name="UAcct404Clgdgu">#REF!</definedName>
    <definedName name="UAcct404Clgs">#REF!</definedName>
    <definedName name="UAcct404Clgsgp">#REF!</definedName>
    <definedName name="UAcct404Clgsop" localSheetId="2">[5]FuncStudy!$Y$856</definedName>
    <definedName name="UAcct404Clgsop" localSheetId="3">[5]FuncStudy!$Y$856</definedName>
    <definedName name="UAcct404Clgsop">'[6]Func Study'!$AB$1097</definedName>
    <definedName name="UAcct404Clgsou" localSheetId="2">[5]FuncStudy!$Y$854</definedName>
    <definedName name="UAcct404Clgsou" localSheetId="3">[5]FuncStudy!$Y$854</definedName>
    <definedName name="UAcct404Clgsou">'[6]Func Study'!$AB$1095</definedName>
    <definedName name="UAcct404Cls" localSheetId="2">[5]FuncStudy!$Y$862</definedName>
    <definedName name="UAcct404Cls" localSheetId="3">[5]FuncStudy!$Y$862</definedName>
    <definedName name="UAcct404Cls">'[6]Func Study'!$AB$1104</definedName>
    <definedName name="UAcct404Clsdgp">#REF!</definedName>
    <definedName name="UAcct404Ip">#REF!</definedName>
    <definedName name="UAcct404Ipcn" localSheetId="2">[5]FuncStudy!$Y$868</definedName>
    <definedName name="UAcct404Ipcn" localSheetId="3">[5]FuncStudy!$Y$868</definedName>
    <definedName name="UAcct404Ipcn">'[6]Func Study'!$AB$1111</definedName>
    <definedName name="UACCT404IPDGU" localSheetId="2">[5]FuncStudy!$Y$870</definedName>
    <definedName name="UACCT404IPDGU" localSheetId="3">[5]FuncStudy!$Y$870</definedName>
    <definedName name="UACCT404IPDGU">'[6]Func Study'!$AB$1114</definedName>
    <definedName name="UAcct404Ips" localSheetId="2">[5]FuncStudy!$Y$865</definedName>
    <definedName name="UAcct404Ips" localSheetId="3">[5]FuncStudy!$Y$865</definedName>
    <definedName name="UAcct404Ips">'[6]Func Study'!$AB$1107</definedName>
    <definedName name="UAcct404Ipse" localSheetId="2">[5]FuncStudy!$Y$866</definedName>
    <definedName name="UAcct404Ipse" localSheetId="3">[5]FuncStudy!$Y$866</definedName>
    <definedName name="UAcct404Ipse">'[6]Func Study'!$AB$1108</definedName>
    <definedName name="UACCT404IPSG">'[6]Func Study'!$AB$1109</definedName>
    <definedName name="UACCT404IPSG1">#REF!</definedName>
    <definedName name="UACCT404IPSGCT">'[6]Func Study'!$AB$1113</definedName>
    <definedName name="UACCT404IPSGP" localSheetId="2">[5]FuncStudy!$Y$869</definedName>
    <definedName name="UACCT404IPSGP" localSheetId="3">[5]FuncStudy!$Y$869</definedName>
    <definedName name="UACCT404IPSGP">'[6]Func Study'!$AB$1112</definedName>
    <definedName name="UAcct404Ipso" localSheetId="2">[5]FuncStudy!$Y$867</definedName>
    <definedName name="UAcct404Ipso" localSheetId="3">[5]FuncStudy!$Y$867</definedName>
    <definedName name="UAcct404Ipso">'[6]Func Study'!$AB$1110</definedName>
    <definedName name="UACCT404IPSSGCH" localSheetId="2">[5]FuncStudy!$Y$871</definedName>
    <definedName name="UACCT404IPSSGCH" localSheetId="3">[5]FuncStudy!$Y$871</definedName>
    <definedName name="UACCT404IPSSGCH">'[6]Func Study'!$AB$1115</definedName>
    <definedName name="UAcct404O" localSheetId="2">[5]FuncStudy!$Y$876</definedName>
    <definedName name="UAcct404O" localSheetId="3">[5]FuncStudy!$Y$876</definedName>
    <definedName name="UAcct404O">'[6]Func Study'!$AB$1120</definedName>
    <definedName name="UAcct404OPSSGCT">#REF!</definedName>
    <definedName name="UAcct405" localSheetId="2">[5]FuncStudy!$Y$889</definedName>
    <definedName name="UAcct405" localSheetId="3">[5]FuncStudy!$Y$889</definedName>
    <definedName name="UAcct405">'[6]Func Study'!$AB$1134</definedName>
    <definedName name="UAcct405S">#REF!</definedName>
    <definedName name="UAcct406" localSheetId="2">[5]FuncStudy!$Y$895</definedName>
    <definedName name="UAcct406" localSheetId="3">[5]FuncStudy!$Y$895</definedName>
    <definedName name="UAcct406">'[6]Func Study'!$AB$1142</definedName>
    <definedName name="UAcct406Dgp">#REF!</definedName>
    <definedName name="UAcct406S">#REF!</definedName>
    <definedName name="UAcct406So">#REF!</definedName>
    <definedName name="UAcct407" localSheetId="2">[5]FuncStudy!$Y$904</definedName>
    <definedName name="UAcct407" localSheetId="3">[5]FuncStudy!$Y$904</definedName>
    <definedName name="UAcct407">'[6]Func Study'!$AB$1151</definedName>
    <definedName name="UAcct407Dgp">#REF!</definedName>
    <definedName name="UAcct407S">#REF!</definedName>
    <definedName name="UAcct407Seu">#REF!</definedName>
    <definedName name="UAcct407Sgp">#REF!</definedName>
    <definedName name="UAcct407So">#REF!</definedName>
    <definedName name="UAcct407Trojp">#REF!</definedName>
    <definedName name="UAcct408" localSheetId="2">[5]FuncStudy!$Y$917</definedName>
    <definedName name="UAcct408" localSheetId="3">[5]FuncStudy!$Y$917</definedName>
    <definedName name="UAcct408">'[6]Func Study'!$AB$1170</definedName>
    <definedName name="UAcct408Dou">#REF!</definedName>
    <definedName name="UAcct408Exctax">#REF!</definedName>
    <definedName name="UAcct408Oprvid">#REF!</definedName>
    <definedName name="UAcct408Oprvwy">#REF!</definedName>
    <definedName name="UAcct408S" localSheetId="2">[5]FuncStudy!$Y$909</definedName>
    <definedName name="UAcct408S" localSheetId="3">[5]FuncStudy!$Y$909</definedName>
    <definedName name="UAcct408S">'[6]Func Study'!$AB$1162</definedName>
    <definedName name="UAcct408Se">#REF!</definedName>
    <definedName name="UAcct408Sgpp">#REF!</definedName>
    <definedName name="UAcct408So">#REF!</definedName>
    <definedName name="UAcct40910FITOther" localSheetId="2">[5]FuncStudy!$Y$1136</definedName>
    <definedName name="UAcct40910FITOther" localSheetId="3">[5]FuncStudy!$Y$1136</definedName>
    <definedName name="UAcct40910FITOther">[8]FuncStudy!$Y$1135</definedName>
    <definedName name="UAcct40910FitPMI" localSheetId="2">[5]FuncStudy!$Y$1134</definedName>
    <definedName name="UAcct40910FitPMI" localSheetId="3">[5]FuncStudy!$Y$1134</definedName>
    <definedName name="UAcct40910Fitpmi">'[6]Func Study'!$AB$1415</definedName>
    <definedName name="UAcct40910FITPTC" localSheetId="2">[5]FuncStudy!$Y$1135</definedName>
    <definedName name="UAcct40910FITPTC" localSheetId="3">[5]FuncStudy!$Y$1135</definedName>
    <definedName name="UAcct40910FITPTC">[8]FuncStudy!$Y$1134</definedName>
    <definedName name="UAcct40910FITSitus" localSheetId="2">[5]FuncStudy!$Y$1137</definedName>
    <definedName name="UAcct40910FITSitus" localSheetId="3">[5]FuncStudy!$Y$1137</definedName>
    <definedName name="UAcct40910FITSitus">[8]FuncStudy!$Y$1136</definedName>
    <definedName name="UAcct40911">#REF!</definedName>
    <definedName name="UAcct40911Dgu" localSheetId="2">[5]FuncStudy!$Y$1104</definedName>
    <definedName name="UAcct40911Dgu" localSheetId="3">[5]FuncStudy!$Y$1104</definedName>
    <definedName name="UAcct40911Dgu">'[6]Func Study'!$AB$1378</definedName>
    <definedName name="UAcct40911Idsit">#REF!</definedName>
    <definedName name="UAcct40911S">'[6]Func Study'!$AB$1376</definedName>
    <definedName name="UAcct40911So">#REF!</definedName>
    <definedName name="UAcct41010" localSheetId="2">[5]FuncStudy!$Y$978</definedName>
    <definedName name="UAcct41010" localSheetId="3">[5]FuncStudy!$Y$978</definedName>
    <definedName name="UAcct41010">'[6]Func Study'!$AB$1248</definedName>
    <definedName name="UAcct41010Baddebt">#REF!</definedName>
    <definedName name="UAcct41010Dgu">#REF!</definedName>
    <definedName name="UAcct41010Ditexp">#REF!</definedName>
    <definedName name="UAcct41010S">#REF!</definedName>
    <definedName name="UAcct41010Se">#REF!</definedName>
    <definedName name="UAcct41010Sg">#REF!</definedName>
    <definedName name="UAcct41010Sgpp">#REF!</definedName>
    <definedName name="UAcct41010Snp">#REF!</definedName>
    <definedName name="UACCT41010SNPD">#REF!</definedName>
    <definedName name="UAcct41010So">#REF!</definedName>
    <definedName name="UAcct41010Trojp">#REF!</definedName>
    <definedName name="UAcct41020" localSheetId="2">[5]FuncStudy!$Y$993</definedName>
    <definedName name="UAcct41020" localSheetId="3">[5]FuncStudy!$Y$993</definedName>
    <definedName name="UAcct41020">'[6]Func Study'!$AB$1263</definedName>
    <definedName name="UAcct41020Baddebt">#REF!</definedName>
    <definedName name="UAcct41020DGU">#REF!</definedName>
    <definedName name="UAcct41020DITEXP">#REF!</definedName>
    <definedName name="UAcct41020DNPU">#REF!</definedName>
    <definedName name="UAcct41020S">#REF!</definedName>
    <definedName name="UAcct41020SE">#REF!</definedName>
    <definedName name="UAcct41020SG">#REF!</definedName>
    <definedName name="Uacct41020SGCT">#REF!</definedName>
    <definedName name="UAcct41020SGPP">#REF!</definedName>
    <definedName name="UACCT41020SNPD">#REF!</definedName>
    <definedName name="UAcct41020SO">#REF!</definedName>
    <definedName name="UAcct41020Trojp">#REF!</definedName>
    <definedName name="UAcct41111" localSheetId="2">[5]FuncStudy!$Y$1027</definedName>
    <definedName name="UAcct41111" localSheetId="3">[5]FuncStudy!$Y$1027</definedName>
    <definedName name="UAcct41111">'[6]Func Study'!$AB$1297</definedName>
    <definedName name="UAcct41111Baddebt">#REF!</definedName>
    <definedName name="UAcct41111Dgp">#REF!</definedName>
    <definedName name="UAcct41111Dgu">#REF!</definedName>
    <definedName name="UAcct41111Ditexp">#REF!</definedName>
    <definedName name="UAcct41111Dnpp">#REF!</definedName>
    <definedName name="UAcct41111Dnptp">#REF!</definedName>
    <definedName name="UAcct41111S">#REF!</definedName>
    <definedName name="UAcct41111Se">#REF!</definedName>
    <definedName name="UAcct41111Sg">#REF!</definedName>
    <definedName name="UAcct41111Sgpp">#REF!</definedName>
    <definedName name="UAcct41111So">#REF!</definedName>
    <definedName name="UAcct41111Trojp">#REF!</definedName>
    <definedName name="UAcct41120" localSheetId="2">[5]FuncStudy!$Y$1012</definedName>
    <definedName name="UAcct41120" localSheetId="3">[5]FuncStudy!$Y$1012</definedName>
    <definedName name="UAcct41120">'[6]Func Study'!$AB$1282</definedName>
    <definedName name="UAcct41120DGP">#REF!</definedName>
    <definedName name="UAcct41120DITEXP">#REF!</definedName>
    <definedName name="UAcct41120GPS">#REF!</definedName>
    <definedName name="UACCT41120S">#REF!</definedName>
    <definedName name="UAcct41120SE">#REF!</definedName>
    <definedName name="UAcct41120SG">#REF!</definedName>
    <definedName name="uACCT41120SG1">#REF!</definedName>
    <definedName name="UACCT41120SGCT">#REF!</definedName>
    <definedName name="UAcct41120SNP">#REF!</definedName>
    <definedName name="UAcct41120SNPD">#REF!</definedName>
    <definedName name="UAcct41120SO">#REF!</definedName>
    <definedName name="UACCT41120SSGCT">#REF!</definedName>
    <definedName name="UAcct41120TROJP">#REF!</definedName>
    <definedName name="UAcct41140" localSheetId="2">[5]FuncStudy!$Y$922</definedName>
    <definedName name="UAcct41140" localSheetId="3">[5]FuncStudy!$Y$922</definedName>
    <definedName name="UAcct41140">'[6]Func Study'!$AB$1181</definedName>
    <definedName name="UAcct41140Dgu">#REF!</definedName>
    <definedName name="UAcct41141" localSheetId="2">[5]FuncStudy!$Y$927</definedName>
    <definedName name="UAcct41141" localSheetId="3">[5]FuncStudy!$Y$927</definedName>
    <definedName name="UAcct41141">'[6]Func Study'!$AB$1186</definedName>
    <definedName name="UAcct41141Dgu">#REF!</definedName>
    <definedName name="UAcct41160" localSheetId="2">[5]FuncStudy!$Y$178</definedName>
    <definedName name="UAcct41160" localSheetId="3">[5]FuncStudy!$Y$178</definedName>
    <definedName name="UAcct41160">'[6]Func Study'!$AB$355</definedName>
    <definedName name="UAcct41160Dgp">#REF!</definedName>
    <definedName name="UAcct41160Dgu">#REF!</definedName>
    <definedName name="UAcct41160S">#REF!</definedName>
    <definedName name="UAcct41160Sg">#REF!</definedName>
    <definedName name="UAcct41160So">#REF!</definedName>
    <definedName name="UAcct41170" localSheetId="2">[5]FuncStudy!$Y$183</definedName>
    <definedName name="UAcct41170" localSheetId="3">[5]FuncStudy!$Y$183</definedName>
    <definedName name="UAcct41170">'[6]Func Study'!$AB$360</definedName>
    <definedName name="UAcct41170Dgu">#REF!</definedName>
    <definedName name="UAcct41170S">#REF!</definedName>
    <definedName name="UAcct4118" localSheetId="2">[5]FuncStudy!$Y$187</definedName>
    <definedName name="UAcct4118" localSheetId="3">[5]FuncStudy!$Y$187</definedName>
    <definedName name="UAcct4118">'[6]Func Study'!$AB$364</definedName>
    <definedName name="UAcct41181" localSheetId="2">[5]FuncStudy!$Y$190</definedName>
    <definedName name="UAcct41181" localSheetId="3">[5]FuncStudy!$Y$190</definedName>
    <definedName name="UAcct41181">'[6]Func Study'!$AB$367</definedName>
    <definedName name="UAcct4118Se">#REF!</definedName>
    <definedName name="UAcct419">#REF!</definedName>
    <definedName name="UAcct4194" localSheetId="2">[5]FuncStudy!$Y$194</definedName>
    <definedName name="UAcct4194" localSheetId="3">[5]FuncStudy!$Y$194</definedName>
    <definedName name="UAcct4194">'[6]Func Study'!$AB$371</definedName>
    <definedName name="UAcct4194Dgu">#REF!</definedName>
    <definedName name="UAcct419Doth" localSheetId="2">[5]FuncStudy!$Y$958</definedName>
    <definedName name="UAcct419Doth" localSheetId="3">[5]FuncStudy!$Y$958</definedName>
    <definedName name="UAcct419Doth">'[6]Func Study'!$AB$1223</definedName>
    <definedName name="UAcct421" localSheetId="2">[5]FuncStudy!$Y$203</definedName>
    <definedName name="UAcct421" localSheetId="3">[5]FuncStudy!$Y$203</definedName>
    <definedName name="UAcct421">'[6]Func Study'!$AB$380</definedName>
    <definedName name="UAcct421Dgp">#REF!</definedName>
    <definedName name="UAcct421Dgu">#REF!</definedName>
    <definedName name="UAcct421S">#REF!</definedName>
    <definedName name="UAcct421Se">#REF!</definedName>
    <definedName name="UAcct421Sg">#REF!</definedName>
    <definedName name="UAcct421So">#REF!</definedName>
    <definedName name="UAcct427">#REF!</definedName>
    <definedName name="UAcct427Int">#REF!</definedName>
    <definedName name="UAcct427S">#REF!</definedName>
    <definedName name="UAcct428">#REF!</definedName>
    <definedName name="UAcct428Int">#REF!</definedName>
    <definedName name="UAcct429">#REF!</definedName>
    <definedName name="UAcct429Int">#REF!</definedName>
    <definedName name="UAcct431">#REF!</definedName>
    <definedName name="UAcct4311" localSheetId="2">[5]FuncStudy!$Y$210</definedName>
    <definedName name="UAcct4311" localSheetId="3">[5]FuncStudy!$Y$210</definedName>
    <definedName name="UAcct4311">'[6]Func Study'!$AB$387</definedName>
    <definedName name="UAcct4311Csu">#REF!</definedName>
    <definedName name="UAcct431Int">#REF!</definedName>
    <definedName name="UAcct432">#REF!</definedName>
    <definedName name="UAcct432Doth">#REF!</definedName>
    <definedName name="UAcct440">#REF!</definedName>
    <definedName name="UAcct440S">#REF!</definedName>
    <definedName name="UAcct442">#REF!</definedName>
    <definedName name="UAcct442S">#REF!</definedName>
    <definedName name="UAcct442Se" localSheetId="2">[5]FuncStudy!$Y$100</definedName>
    <definedName name="UAcct442Se" localSheetId="3">[5]FuncStudy!$Y$100</definedName>
    <definedName name="UAcct442Se">'[6]Func Study'!$AB$259</definedName>
    <definedName name="UAcct442Sg" localSheetId="2">[5]FuncStudy!$Y$101</definedName>
    <definedName name="UAcct442Sg" localSheetId="3">[5]FuncStudy!$Y$101</definedName>
    <definedName name="UAcct442Sg">'[6]Func Study'!$AB$260</definedName>
    <definedName name="UAcct444">#REF!</definedName>
    <definedName name="UAcct444S">#REF!</definedName>
    <definedName name="UAcct445">#REF!</definedName>
    <definedName name="UAcct445S">#REF!</definedName>
    <definedName name="UAcct447" localSheetId="2">[5]FuncStudy!$Y$125</definedName>
    <definedName name="UAcct447" localSheetId="3">[5]FuncStudy!$Y$125</definedName>
    <definedName name="UAcct447">'[6]Func Study'!$AB$284</definedName>
    <definedName name="UAcct447Dgu" localSheetId="17">'[7]Func Study'!#REF!</definedName>
    <definedName name="UAcct447Dgu" localSheetId="3">'[7]Func Study'!#REF!</definedName>
    <definedName name="UAcct447Dgu">'[7]Func Study'!#REF!</definedName>
    <definedName name="UAcct447S" localSheetId="2">[5]FuncStudy!$Y$121</definedName>
    <definedName name="UAcct447S" localSheetId="3">[5]FuncStudy!$Y$121</definedName>
    <definedName name="UAcct447S">'[6]Func Study'!$AB$280</definedName>
    <definedName name="UAcct447Se" localSheetId="2">[5]FuncStudy!$Y$124</definedName>
    <definedName name="UAcct447Se" localSheetId="3">[5]FuncStudy!$Y$124</definedName>
    <definedName name="UAcct447Se">'[6]Func Study'!$AB$283</definedName>
    <definedName name="UAcct447Sg">#REF!</definedName>
    <definedName name="UAcct448">#REF!</definedName>
    <definedName name="UAcct448S" localSheetId="2">[5]FuncStudy!$Y$114</definedName>
    <definedName name="UAcct448S" localSheetId="3">[5]FuncStudy!$Y$114</definedName>
    <definedName name="UAcct448S">'[6]Func Study'!$AB$273</definedName>
    <definedName name="UAcct448So" localSheetId="2">[5]FuncStudy!$Y$115</definedName>
    <definedName name="UAcct448So" localSheetId="3">[5]FuncStudy!$Y$115</definedName>
    <definedName name="UAcct448So">'[6]Func Study'!$AB$274</definedName>
    <definedName name="UAcct449" localSheetId="2">[5]FuncStudy!$Y$130</definedName>
    <definedName name="UAcct449" localSheetId="3">[5]FuncStudy!$Y$130</definedName>
    <definedName name="UAcct449">'[6]Func Study'!$AB$289</definedName>
    <definedName name="UAcct449Dgp">#REF!</definedName>
    <definedName name="UAcct449S">#REF!</definedName>
    <definedName name="UAcct450" localSheetId="2">[5]FuncStudy!$Y$141</definedName>
    <definedName name="UAcct450" localSheetId="3">[5]FuncStudy!$Y$141</definedName>
    <definedName name="UAcct450">'[6]Func Study'!$AB$299</definedName>
    <definedName name="UAcct450S" localSheetId="2">[5]FuncStudy!$Y$139</definedName>
    <definedName name="UAcct450S" localSheetId="3">[5]FuncStudy!$Y$139</definedName>
    <definedName name="UAcct450S">'[6]Func Study'!$AB$297</definedName>
    <definedName name="UAcct450So" localSheetId="2">[5]FuncStudy!$Y$140</definedName>
    <definedName name="UAcct450So" localSheetId="3">[5]FuncStudy!$Y$140</definedName>
    <definedName name="UAcct450So">'[6]Func Study'!$AB$298</definedName>
    <definedName name="UAcct451">#REF!</definedName>
    <definedName name="UAcct451S" localSheetId="2">[5]FuncStudy!$Y$144</definedName>
    <definedName name="UAcct451S" localSheetId="3">[5]FuncStudy!$Y$144</definedName>
    <definedName name="UAcct451S">'[6]Func Study'!$AB$302</definedName>
    <definedName name="UAcct451Sg" localSheetId="2">[5]FuncStudy!$Y$145</definedName>
    <definedName name="UAcct451Sg" localSheetId="3">[5]FuncStudy!$Y$145</definedName>
    <definedName name="UAcct451Sg">'[6]Func Study'!$AB$303</definedName>
    <definedName name="UAcct451So" localSheetId="2">[5]FuncStudy!$Y$146</definedName>
    <definedName name="UAcct451So" localSheetId="3">[5]FuncStudy!$Y$146</definedName>
    <definedName name="UAcct451So">'[6]Func Study'!$AB$304</definedName>
    <definedName name="UAcct453" localSheetId="2">[5]FuncStudy!$Y$151</definedName>
    <definedName name="UAcct453" localSheetId="3">[5]FuncStudy!$Y$151</definedName>
    <definedName name="UAcct453">'[6]Func Study'!$AB$309</definedName>
    <definedName name="UAcct453Sg">#REF!</definedName>
    <definedName name="UAcct454" localSheetId="2">[5]FuncStudy!$Y$157</definedName>
    <definedName name="UAcct454" localSheetId="3">[5]FuncStudy!$Y$157</definedName>
    <definedName name="UAcct454">'[6]Func Study'!$AB$315</definedName>
    <definedName name="UAcct454S" localSheetId="2">[5]FuncStudy!$Y$154</definedName>
    <definedName name="UAcct454S" localSheetId="3">[5]FuncStudy!$Y$154</definedName>
    <definedName name="UAcct454S">'[6]Func Study'!$AB$312</definedName>
    <definedName name="UAcct454Sg" localSheetId="2">[5]FuncStudy!$Y$155</definedName>
    <definedName name="UAcct454Sg" localSheetId="3">[5]FuncStudy!$Y$155</definedName>
    <definedName name="UAcct454Sg">'[6]Func Study'!$AB$313</definedName>
    <definedName name="UAcct454So" localSheetId="2">[5]FuncStudy!$Y$156</definedName>
    <definedName name="UAcct454So" localSheetId="3">[5]FuncStudy!$Y$156</definedName>
    <definedName name="UAcct454So">'[6]Func Study'!$AB$314</definedName>
    <definedName name="UAcct456" localSheetId="2">[5]FuncStudy!$Y$165</definedName>
    <definedName name="UAcct456" localSheetId="3">[5]FuncStudy!$Y$165</definedName>
    <definedName name="UAcct456">'[6]Func Study'!$AB$323</definedName>
    <definedName name="UAcct456Cn" localSheetId="2">[5]FuncStudy!$Y$161</definedName>
    <definedName name="UAcct456Cn" localSheetId="3">[5]FuncStudy!$Y$161</definedName>
    <definedName name="UAcct456Cn">'[6]Func Study'!$AB$319</definedName>
    <definedName name="UAcct456S" localSheetId="2">[5]FuncStudy!$Y$160</definedName>
    <definedName name="UAcct456S" localSheetId="3">[5]FuncStudy!$Y$160</definedName>
    <definedName name="UAcct456S">'[6]Func Study'!$AB$318</definedName>
    <definedName name="UAcct456Se" localSheetId="2">[5]FuncStudy!$Y$162</definedName>
    <definedName name="UAcct456Se" localSheetId="3">[5]FuncStudy!$Y$162</definedName>
    <definedName name="UAcct456Se">'[6]Func Study'!$AB$320</definedName>
    <definedName name="UAcct456Sg">#REF!</definedName>
    <definedName name="UAcct456So">#REF!</definedName>
    <definedName name="UAcct500" localSheetId="2">[5]FuncStudy!$Y$226</definedName>
    <definedName name="UAcct500" localSheetId="3">[5]FuncStudy!$Y$226</definedName>
    <definedName name="UAcct500">'[6]Func Study'!$AB$406</definedName>
    <definedName name="UAcct500Dnppsu">#REF!</definedName>
    <definedName name="UACCT500SSGCH" localSheetId="2">[5]FuncStudy!$Y$225</definedName>
    <definedName name="UACCT500SSGCH" localSheetId="3">[5]FuncStudy!$Y$225</definedName>
    <definedName name="UACCT500SSGCH">'[6]Func Study'!$AB$405</definedName>
    <definedName name="UAcct501" localSheetId="2">[5]FuncStudy!$Y$234</definedName>
    <definedName name="UAcct501" localSheetId="3">[5]FuncStudy!$Y$234</definedName>
    <definedName name="UAcct501">'[6]Func Study'!$AB$414</definedName>
    <definedName name="UAcct501Se" localSheetId="2">[5]FuncStudy!$Y$229</definedName>
    <definedName name="UAcct501Se" localSheetId="3">[5]FuncStudy!$Y$229</definedName>
    <definedName name="UAcct501Se">'[6]Func Study'!$AB$409</definedName>
    <definedName name="UACCT501SENNPC" localSheetId="2">[5]FuncStudy!$Y$230</definedName>
    <definedName name="UACCT501SENNPC" localSheetId="3">[5]FuncStudy!$Y$230</definedName>
    <definedName name="UACCT501SENNPC">'[6]Func Study'!$AB$410</definedName>
    <definedName name="uacct501ssech" localSheetId="2">[5]FuncStudy!$Y$233</definedName>
    <definedName name="uacct501ssech" localSheetId="3">[5]FuncStudy!$Y$233</definedName>
    <definedName name="uacct501ssech">'[6]Func Study'!$AB$413</definedName>
    <definedName name="UACCT501SSECHNNPC" localSheetId="2">[5]FuncStudy!$Y$232</definedName>
    <definedName name="UACCT501SSECHNNPC" localSheetId="3">[5]FuncStudy!$Y$232</definedName>
    <definedName name="UACCT501SSECHNNPC">'[6]Func Study'!$AB$412</definedName>
    <definedName name="uacct501ssect" localSheetId="2">[5]FuncStudy!$Y$231</definedName>
    <definedName name="uacct501ssect" localSheetId="3">[5]FuncStudy!$Y$231</definedName>
    <definedName name="uacct501ssect">'[6]Func Study'!$AB$411</definedName>
    <definedName name="UAcct502" localSheetId="2">[5]FuncStudy!$Y$239</definedName>
    <definedName name="UAcct502" localSheetId="3">[5]FuncStudy!$Y$239</definedName>
    <definedName name="UAcct502">'[6]Func Study'!$AB$419</definedName>
    <definedName name="UAcct502Dnppsu" localSheetId="3">'[6]Func Study'!#REF!</definedName>
    <definedName name="UAcct502Dnppsu">'[6]Func Study'!#REF!</definedName>
    <definedName name="uacct502snpps" localSheetId="2">[5]FuncStudy!$Y$237</definedName>
    <definedName name="uacct502snpps" localSheetId="3">[5]FuncStudy!$Y$237</definedName>
    <definedName name="uacct502snpps">'[6]Func Study'!$AB$417</definedName>
    <definedName name="uacct502ssgch" localSheetId="2">[5]FuncStudy!$Y$238</definedName>
    <definedName name="uacct502ssgch" localSheetId="3">[5]FuncStudy!$Y$238</definedName>
    <definedName name="uacct502ssgch">'[6]Func Study'!$AB$418</definedName>
    <definedName name="UAcct503" localSheetId="2">[5]FuncStudy!$Y$244</definedName>
    <definedName name="UAcct503" localSheetId="3">[5]FuncStudy!$Y$244</definedName>
    <definedName name="UAcct503">'[6]Func Study'!$AB$424</definedName>
    <definedName name="UAcct503Se" localSheetId="2">[5]FuncStudy!$Y$242</definedName>
    <definedName name="UAcct503Se" localSheetId="3">[5]FuncStudy!$Y$242</definedName>
    <definedName name="UAcct503Se">'[6]Func Study'!$AB$422</definedName>
    <definedName name="UACCT503SENNPC" localSheetId="2">[5]FuncStudy!$Y$243</definedName>
    <definedName name="UACCT503SENNPC" localSheetId="3">[5]FuncStudy!$Y$243</definedName>
    <definedName name="UACCT503SENNPC">'[6]Func Study'!$AB$423</definedName>
    <definedName name="UAcct505" localSheetId="2">[5]FuncStudy!$Y$249</definedName>
    <definedName name="UAcct505" localSheetId="3">[5]FuncStudy!$Y$249</definedName>
    <definedName name="UAcct505">'[6]Func Study'!$AB$429</definedName>
    <definedName name="UAcct505Dnppsu">#REF!</definedName>
    <definedName name="uacct505snpps" localSheetId="2">[5]FuncStudy!$Y$247</definedName>
    <definedName name="uacct505snpps" localSheetId="3">[5]FuncStudy!$Y$247</definedName>
    <definedName name="uacct505snpps">'[6]Func Study'!$AB$427</definedName>
    <definedName name="uacct505ssgch" localSheetId="2">[5]FuncStudy!$Y$248</definedName>
    <definedName name="uacct505ssgch" localSheetId="3">[5]FuncStudy!$Y$248</definedName>
    <definedName name="uacct505ssgch">'[6]Func Study'!$AB$428</definedName>
    <definedName name="UAcct506" localSheetId="2">[5]FuncStudy!$Y$255</definedName>
    <definedName name="UAcct506" localSheetId="3">[5]FuncStudy!$Y$255</definedName>
    <definedName name="UAcct506">'[6]Func Study'!$AB$435</definedName>
    <definedName name="UAcct506Dnppsu">#REF!</definedName>
    <definedName name="UAcct506Se" localSheetId="2">[5]FuncStudy!$Y$253</definedName>
    <definedName name="UAcct506Se" localSheetId="3">[5]FuncStudy!$Y$253</definedName>
    <definedName name="UAcct506Se">'[6]Func Study'!$AB$433</definedName>
    <definedName name="uacct506snpps" localSheetId="2">[5]FuncStudy!$Y$252</definedName>
    <definedName name="uacct506snpps" localSheetId="3">[5]FuncStudy!$Y$252</definedName>
    <definedName name="uacct506snpps">'[6]Func Study'!$AB$432</definedName>
    <definedName name="uacct506ssgch" localSheetId="2">[5]FuncStudy!$Y$254</definedName>
    <definedName name="uacct506ssgch" localSheetId="3">[5]FuncStudy!$Y$254</definedName>
    <definedName name="uacct506ssgch">'[6]Func Study'!$AB$434</definedName>
    <definedName name="UAcct507" localSheetId="2">[5]FuncStudy!$Y$260</definedName>
    <definedName name="UAcct507" localSheetId="3">[5]FuncStudy!$Y$260</definedName>
    <definedName name="UAcct507">'[6]Func Study'!$AB$444</definedName>
    <definedName name="UAcct507Dnppsu">#REF!</definedName>
    <definedName name="uacct507ssgch" localSheetId="2">[5]FuncStudy!$Y$259</definedName>
    <definedName name="uacct507ssgch" localSheetId="3">[5]FuncStudy!$Y$259</definedName>
    <definedName name="uacct507ssgch">'[6]Func Study'!$AB$443</definedName>
    <definedName name="UAcct510" localSheetId="2">[5]FuncStudy!$Y$265</definedName>
    <definedName name="UAcct510" localSheetId="3">[5]FuncStudy!$Y$265</definedName>
    <definedName name="UAcct510">'[6]Func Study'!$AB$449</definedName>
    <definedName name="UAcct510Dnppsu">#REF!</definedName>
    <definedName name="uacct510ssgch" localSheetId="2">[5]FuncStudy!$Y$264</definedName>
    <definedName name="uacct510ssgch" localSheetId="3">[5]FuncStudy!$Y$264</definedName>
    <definedName name="uacct510ssgch">'[6]Func Study'!$AB$448</definedName>
    <definedName name="UAcct511" localSheetId="2">[5]FuncStudy!$Y$270</definedName>
    <definedName name="UAcct511" localSheetId="3">[5]FuncStudy!$Y$270</definedName>
    <definedName name="UAcct511">'[6]Func Study'!$AB$454</definedName>
    <definedName name="UAcct511Dnppsu">#REF!</definedName>
    <definedName name="uacct511ssgch" localSheetId="2">[5]FuncStudy!$Y$269</definedName>
    <definedName name="uacct511ssgch" localSheetId="3">[5]FuncStudy!$Y$269</definedName>
    <definedName name="uacct511ssgch">'[6]Func Study'!$AB$453</definedName>
    <definedName name="UAcct512" localSheetId="2">[5]FuncStudy!$Y$275</definedName>
    <definedName name="UAcct512" localSheetId="3">[5]FuncStudy!$Y$275</definedName>
    <definedName name="UAcct512">'[6]Func Study'!$AB$459</definedName>
    <definedName name="UAcct512Dnppsu">#REF!</definedName>
    <definedName name="uacct512ssgch" localSheetId="2">[5]FuncStudy!$Y$274</definedName>
    <definedName name="uacct512ssgch" localSheetId="3">[5]FuncStudy!$Y$274</definedName>
    <definedName name="uacct512ssgch">'[6]Func Study'!$AB$458</definedName>
    <definedName name="UAcct513" localSheetId="2">[5]FuncStudy!$Y$280</definedName>
    <definedName name="UAcct513" localSheetId="3">[5]FuncStudy!$Y$280</definedName>
    <definedName name="UAcct513">'[6]Func Study'!$AB$464</definedName>
    <definedName name="UAcct513Dnppsu">#REF!</definedName>
    <definedName name="uacct513ssgch" localSheetId="2">[5]FuncStudy!$Y$279</definedName>
    <definedName name="uacct513ssgch" localSheetId="3">[5]FuncStudy!$Y$279</definedName>
    <definedName name="uacct513ssgch">'[6]Func Study'!$AB$463</definedName>
    <definedName name="UAcct514" localSheetId="2">[5]FuncStudy!$Y$285</definedName>
    <definedName name="UAcct514" localSheetId="3">[5]FuncStudy!$Y$285</definedName>
    <definedName name="UAcct514">'[6]Func Study'!$AB$469</definedName>
    <definedName name="UAcct514Dnppsu">#REF!</definedName>
    <definedName name="uacct514ssgch" localSheetId="2">[5]FuncStudy!$Y$284</definedName>
    <definedName name="uacct514ssgch" localSheetId="3">[5]FuncStudy!$Y$284</definedName>
    <definedName name="uacct514ssgch">'[6]Func Study'!$AB$468</definedName>
    <definedName name="UAcct517" localSheetId="2">[5]FuncStudy!$Y$291</definedName>
    <definedName name="UAcct517" localSheetId="3">[5]FuncStudy!$Y$291</definedName>
    <definedName name="UAcct517">'[6]Func Study'!$AB$478</definedName>
    <definedName name="UAcct517Dnppnp">#REF!</definedName>
    <definedName name="UAcct518" localSheetId="2">[5]FuncStudy!$Y$295</definedName>
    <definedName name="UAcct518" localSheetId="3">[5]FuncStudy!$Y$295</definedName>
    <definedName name="UAcct518">'[6]Func Study'!$AB$482</definedName>
    <definedName name="UAcct518Se">#REF!</definedName>
    <definedName name="UAcct519" localSheetId="2">[5]FuncStudy!$Y$300</definedName>
    <definedName name="UAcct519" localSheetId="3">[5]FuncStudy!$Y$300</definedName>
    <definedName name="UAcct519">'[6]Func Study'!$AB$487</definedName>
    <definedName name="UAcct519Dnppnp">#REF!</definedName>
    <definedName name="UAcct520" localSheetId="2">[5]FuncStudy!$Y$304</definedName>
    <definedName name="UAcct520" localSheetId="3">[5]FuncStudy!$Y$304</definedName>
    <definedName name="UAcct520">'[6]Func Study'!$AB$491</definedName>
    <definedName name="UAcct520Dnppnp">#REF!</definedName>
    <definedName name="UAcct523" localSheetId="2">[5]FuncStudy!$Y$308</definedName>
    <definedName name="UAcct523" localSheetId="3">[5]FuncStudy!$Y$308</definedName>
    <definedName name="UAcct523">'[6]Func Study'!$AB$495</definedName>
    <definedName name="UAcct523Dnppnp">#REF!</definedName>
    <definedName name="UAcct524" localSheetId="2">[5]FuncStudy!$Y$312</definedName>
    <definedName name="UAcct524" localSheetId="3">[5]FuncStudy!$Y$312</definedName>
    <definedName name="UAcct524">'[6]Func Study'!$AB$499</definedName>
    <definedName name="UAcct524Dnppnp">#REF!</definedName>
    <definedName name="UAcct528" localSheetId="2">[5]FuncStudy!$Y$316</definedName>
    <definedName name="UAcct528" localSheetId="3">[5]FuncStudy!$Y$316</definedName>
    <definedName name="UAcct528">'[6]Func Study'!$AB$503</definedName>
    <definedName name="UAcct528Dnppnp">#REF!</definedName>
    <definedName name="UAcct529" localSheetId="2">[5]FuncStudy!$Y$320</definedName>
    <definedName name="UAcct529" localSheetId="3">[5]FuncStudy!$Y$320</definedName>
    <definedName name="UAcct529">'[6]Func Study'!$AB$507</definedName>
    <definedName name="UAcct529Dnppnp">#REF!</definedName>
    <definedName name="UAcct530" localSheetId="2">[5]FuncStudy!$Y$324</definedName>
    <definedName name="UAcct530" localSheetId="3">[5]FuncStudy!$Y$324</definedName>
    <definedName name="UAcct530">'[6]Func Study'!$AB$511</definedName>
    <definedName name="UAcct530Dnppnp">#REF!</definedName>
    <definedName name="UAcct531" localSheetId="2">[5]FuncStudy!$Y$328</definedName>
    <definedName name="UAcct531" localSheetId="3">[5]FuncStudy!$Y$328</definedName>
    <definedName name="UAcct531">'[6]Func Study'!$AB$515</definedName>
    <definedName name="UAcct531Dnppnp">#REF!</definedName>
    <definedName name="UAcct532" localSheetId="2">[5]FuncStudy!$Y$332</definedName>
    <definedName name="UAcct532" localSheetId="3">[5]FuncStudy!$Y$332</definedName>
    <definedName name="UAcct532">'[6]Func Study'!$AB$519</definedName>
    <definedName name="UAcct532Dnppnp">#REF!</definedName>
    <definedName name="UAcct535" localSheetId="2">[5]FuncStudy!$Y$339</definedName>
    <definedName name="UAcct535" localSheetId="3">[5]FuncStudy!$Y$339</definedName>
    <definedName name="UAcct535">'[6]Func Study'!$AB$531</definedName>
    <definedName name="UAcct535Dgu">#REF!</definedName>
    <definedName name="UAcct536" localSheetId="2">[5]FuncStudy!$Y$343</definedName>
    <definedName name="UAcct536" localSheetId="3">[5]FuncStudy!$Y$343</definedName>
    <definedName name="UAcct536">'[6]Func Study'!$AB$535</definedName>
    <definedName name="UAcct536Dgu">#REF!</definedName>
    <definedName name="UAcct537" localSheetId="2">[5]FuncStudy!$Y$347</definedName>
    <definedName name="UAcct537" localSheetId="3">[5]FuncStudy!$Y$347</definedName>
    <definedName name="UAcct537">'[6]Func Study'!$AB$539</definedName>
    <definedName name="UAcct537Dgu">#REF!</definedName>
    <definedName name="UAcct538" localSheetId="2">[5]FuncStudy!$Y$351</definedName>
    <definedName name="UAcct538" localSheetId="3">[5]FuncStudy!$Y$351</definedName>
    <definedName name="UAcct538">'[6]Func Study'!$AB$543</definedName>
    <definedName name="UAcct538Dgu">#REF!</definedName>
    <definedName name="UAcct539" localSheetId="2">[5]FuncStudy!$Y$355</definedName>
    <definedName name="UAcct539" localSheetId="3">[5]FuncStudy!$Y$355</definedName>
    <definedName name="UAcct539">'[6]Func Study'!$AB$547</definedName>
    <definedName name="UAcct539Dgu">#REF!</definedName>
    <definedName name="UAcct540" localSheetId="2">[5]FuncStudy!$Y$359</definedName>
    <definedName name="UAcct540" localSheetId="3">[5]FuncStudy!$Y$359</definedName>
    <definedName name="UAcct540">'[6]Func Study'!$AB$551</definedName>
    <definedName name="UAcct540Dgu">#REF!</definedName>
    <definedName name="UAcct541" localSheetId="2">[5]FuncStudy!$Y$363</definedName>
    <definedName name="UAcct541" localSheetId="3">[5]FuncStudy!$Y$363</definedName>
    <definedName name="UAcct541">'[6]Func Study'!$AB$555</definedName>
    <definedName name="UAcct541Dgu">#REF!</definedName>
    <definedName name="UAcct542" localSheetId="2">[5]FuncStudy!$Y$367</definedName>
    <definedName name="UAcct542" localSheetId="3">[5]FuncStudy!$Y$367</definedName>
    <definedName name="UAcct542">'[6]Func Study'!$AB$559</definedName>
    <definedName name="UAcct542Dgu">#REF!</definedName>
    <definedName name="UAcct543" localSheetId="2">[5]FuncStudy!$Y$371</definedName>
    <definedName name="UAcct543" localSheetId="3">[5]FuncStudy!$Y$371</definedName>
    <definedName name="UAcct543">'[6]Func Study'!$AB$563</definedName>
    <definedName name="UAcct543Dgu">#REF!</definedName>
    <definedName name="UAcct544" localSheetId="2">[5]FuncStudy!$Y$375</definedName>
    <definedName name="UAcct544" localSheetId="3">[5]FuncStudy!$Y$375</definedName>
    <definedName name="UAcct544">'[6]Func Study'!$AB$567</definedName>
    <definedName name="UAcct544Dgu">#REF!</definedName>
    <definedName name="UAcct545" localSheetId="2">[5]FuncStudy!$Y$379</definedName>
    <definedName name="UAcct545" localSheetId="3">[5]FuncStudy!$Y$379</definedName>
    <definedName name="UAcct545">'[6]Func Study'!$AB$571</definedName>
    <definedName name="UAcct545Dgu">#REF!</definedName>
    <definedName name="UAcct546" localSheetId="2">[5]FuncStudy!$Y$386</definedName>
    <definedName name="UAcct546" localSheetId="3">[5]FuncStudy!$Y$386</definedName>
    <definedName name="UAcct546">'[6]Func Study'!$AB$584</definedName>
    <definedName name="UAcct547">#REF!</definedName>
    <definedName name="UAcct547Se" localSheetId="2">[5]FuncStudy!$Y$389</definedName>
    <definedName name="UAcct547Se" localSheetId="3">[5]FuncStudy!$Y$389</definedName>
    <definedName name="UAcct547Se">'[6]Func Study'!$AB$587</definedName>
    <definedName name="UACCT547SSECT" localSheetId="2">[5]FuncStudy!$Y$390</definedName>
    <definedName name="UACCT547SSECT" localSheetId="3">[5]FuncStudy!$Y$390</definedName>
    <definedName name="UACCT547SSECT">'[6]Func Study'!$AB$588</definedName>
    <definedName name="UAcct548" localSheetId="2">[5]FuncStudy!$Y$396</definedName>
    <definedName name="UAcct548" localSheetId="3">[5]FuncStudy!$Y$396</definedName>
    <definedName name="UAcct548">'[6]Func Study'!$AB$594</definedName>
    <definedName name="uacct548ssgct" localSheetId="2">[5]FuncStudy!$Y$395</definedName>
    <definedName name="uacct548ssgct" localSheetId="3">[5]FuncStudy!$Y$395</definedName>
    <definedName name="uacct548ssgct">'[6]Func Study'!$AB$593</definedName>
    <definedName name="UAcct549" localSheetId="2">[5]FuncStudy!$Y$401</definedName>
    <definedName name="UAcct549" localSheetId="3">[5]FuncStudy!$Y$401</definedName>
    <definedName name="UAcct549">'[6]Func Study'!$AB$599</definedName>
    <definedName name="UAcct549Dnppou">#REF!</definedName>
    <definedName name="UAcct549sg" localSheetId="2">[5]FuncStudy!$Y$399</definedName>
    <definedName name="UAcct549sg" localSheetId="3">[5]FuncStudy!$Y$399</definedName>
    <definedName name="UAcct549sg">[8]FuncStudy!$Y$398</definedName>
    <definedName name="uacct550" localSheetId="2">[5]FuncStudy!$Y$407</definedName>
    <definedName name="uacct550" localSheetId="3">[5]FuncStudy!$Y$407</definedName>
    <definedName name="uacct550">'[6]Func Study'!$AB$610</definedName>
    <definedName name="UACCT550sg" localSheetId="2">[5]FuncStudy!$Y$405</definedName>
    <definedName name="UACCT550sg" localSheetId="3">[5]FuncStudy!$Y$405</definedName>
    <definedName name="UACCT550sg">[8]FuncStudy!$Y$404</definedName>
    <definedName name="uacct550ssgct">'[6]Func Study'!$AB$609</definedName>
    <definedName name="UAcct551" localSheetId="2">[5]FuncStudy!$Y$411</definedName>
    <definedName name="UAcct551" localSheetId="3">[5]FuncStudy!$Y$411</definedName>
    <definedName name="UAcct551">'[6]Func Study'!$AB$614</definedName>
    <definedName name="UAcct552" localSheetId="2">[5]FuncStudy!$Y$416</definedName>
    <definedName name="UAcct552" localSheetId="3">[5]FuncStudy!$Y$416</definedName>
    <definedName name="UAcct552">'[6]Func Study'!$AB$619</definedName>
    <definedName name="UAcct552Dnppou">#REF!</definedName>
    <definedName name="UAcct552SSGCT">#REF!</definedName>
    <definedName name="UAcct553" localSheetId="2">[5]FuncStudy!$Y$423</definedName>
    <definedName name="UAcct553" localSheetId="3">[5]FuncStudy!$Y$423</definedName>
    <definedName name="UAcct553">'[6]Func Study'!$AB$625</definedName>
    <definedName name="UAcct553Dnppou">#REF!</definedName>
    <definedName name="UAcct553sg">#REF!</definedName>
    <definedName name="UACCT553SSGCT" localSheetId="2">[5]FuncStudy!$Y$421</definedName>
    <definedName name="UACCT553SSGCT" localSheetId="3">[5]FuncStudy!$Y$421</definedName>
    <definedName name="UACCT553SSGCT">'[6]Func Study'!$AB$624</definedName>
    <definedName name="UAcct554" localSheetId="2">[5]FuncStudy!$Y$429</definedName>
    <definedName name="UAcct554" localSheetId="3">[5]FuncStudy!$Y$429</definedName>
    <definedName name="UAcct554">'[6]Func Study'!$AB$630</definedName>
    <definedName name="UAcct554Dnppou">#REF!</definedName>
    <definedName name="UAcct554sg">#REF!</definedName>
    <definedName name="UAcct554SSCT" localSheetId="2">[5]FuncStudy!$Y$427</definedName>
    <definedName name="UAcct554SSCT" localSheetId="3">[5]FuncStudy!$Y$427</definedName>
    <definedName name="UAcct554SSCT">[8]FuncStudy!$Y$426</definedName>
    <definedName name="UACCT554SSGCT">'[6]Func Study'!$AB$629</definedName>
    <definedName name="UAcct555">#REF!</definedName>
    <definedName name="uacct555dgp" localSheetId="2">[5]FuncStudy!$Y$438</definedName>
    <definedName name="uacct555dgp" localSheetId="3">[5]FuncStudy!$Y$438</definedName>
    <definedName name="uacct555dgp">'[6]Func Study'!$AB$645</definedName>
    <definedName name="UAcct555Dgu" localSheetId="2">[5]FuncStudy!$Y$435</definedName>
    <definedName name="UAcct555Dgu" localSheetId="3">[5]FuncStudy!$Y$435</definedName>
    <definedName name="UAcct555Dgu">'[6]Func Study'!$AB$642</definedName>
    <definedName name="UAcct555S" localSheetId="2">[5]FuncStudy!$Y$434</definedName>
    <definedName name="UAcct555S" localSheetId="3">[5]FuncStudy!$Y$434</definedName>
    <definedName name="UAcct555S">'[6]Func Study'!$AB$641</definedName>
    <definedName name="UAcct555Se" localSheetId="2">[5]FuncStudy!$Y$436</definedName>
    <definedName name="UAcct555Se" localSheetId="3">[5]FuncStudy!$Y$436</definedName>
    <definedName name="UAcct555Se">'[6]Func Study'!$AB$643</definedName>
    <definedName name="UACCT555SSGCT">#REF!</definedName>
    <definedName name="uacct555ssgp" localSheetId="2">[5]FuncStudy!$Y$437</definedName>
    <definedName name="uacct555ssgp" localSheetId="3">[5]FuncStudy!$Y$437</definedName>
    <definedName name="uacct555ssgp">'[6]Func Study'!$AB$644</definedName>
    <definedName name="UAcct556" localSheetId="2">[5]FuncStudy!$Y$443</definedName>
    <definedName name="UAcct556" localSheetId="3">[5]FuncStudy!$Y$443</definedName>
    <definedName name="UAcct556">'[6]Func Study'!$AB$650</definedName>
    <definedName name="UAcct556Sg">#REF!</definedName>
    <definedName name="UAcct557" localSheetId="2">[5]FuncStudy!$Y$452</definedName>
    <definedName name="UAcct557" localSheetId="3">[5]FuncStudy!$Y$452</definedName>
    <definedName name="UAcct557">'[6]Func Study'!$AB$659</definedName>
    <definedName name="UAcct557Dnppnp">#REF!</definedName>
    <definedName name="UAcct557S">#REF!</definedName>
    <definedName name="uacct557se">#REF!</definedName>
    <definedName name="UAcct557Sg">#REF!</definedName>
    <definedName name="Uacct557SGCT">#REF!</definedName>
    <definedName name="UACCT557SSGCT" localSheetId="2">[5]FuncStudy!$Y$450</definedName>
    <definedName name="UACCT557SSGCT" localSheetId="3">[5]FuncStudy!$Y$450</definedName>
    <definedName name="UACCT557SSGCT">'[6]Func Study'!$AB$657</definedName>
    <definedName name="UAcct560" localSheetId="2">[5]FuncStudy!$Y$477</definedName>
    <definedName name="UAcct560" localSheetId="3">[5]FuncStudy!$Y$477</definedName>
    <definedName name="UAcct560">'[6]Func Study'!$AB$682</definedName>
    <definedName name="UAcct560Dnptu">#REF!</definedName>
    <definedName name="UAcct561" localSheetId="2">[5]FuncStudy!$Y$481</definedName>
    <definedName name="UAcct561" localSheetId="3">[5]FuncStudy!$Y$481</definedName>
    <definedName name="UAcct561">'[6]Func Study'!$AB$686</definedName>
    <definedName name="UAcct561Dnptu">#REF!</definedName>
    <definedName name="UAcct562" localSheetId="2">[5]FuncStudy!$Y$485</definedName>
    <definedName name="UAcct562" localSheetId="3">[5]FuncStudy!$Y$485</definedName>
    <definedName name="UAcct562">'[6]Func Study'!$AB$690</definedName>
    <definedName name="UAcct562Dnptu">#REF!</definedName>
    <definedName name="UAcct563" localSheetId="2">[5]FuncStudy!$Y$489</definedName>
    <definedName name="UAcct563" localSheetId="3">[5]FuncStudy!$Y$489</definedName>
    <definedName name="UAcct563">'[6]Func Study'!$AB$694</definedName>
    <definedName name="UAcct563Dnptu">#REF!</definedName>
    <definedName name="UAcct564" localSheetId="2">[5]FuncStudy!$Y$493</definedName>
    <definedName name="UAcct564" localSheetId="3">[5]FuncStudy!$Y$493</definedName>
    <definedName name="UAcct564">'[6]Func Study'!$AB$698</definedName>
    <definedName name="UAcct564Dnptu">#REF!</definedName>
    <definedName name="UAcct565" localSheetId="2">[5]FuncStudy!$Y$498</definedName>
    <definedName name="UAcct565" localSheetId="3">[5]FuncStudy!$Y$498</definedName>
    <definedName name="UAcct565">'[6]Func Study'!$AB$703</definedName>
    <definedName name="UAcct565Se" localSheetId="2">[5]FuncStudy!$Y$497</definedName>
    <definedName name="UAcct565Se" localSheetId="3">[5]FuncStudy!$Y$497</definedName>
    <definedName name="UAcct565Se">'[6]Func Study'!$AB$702</definedName>
    <definedName name="UAcct565Sg">#REF!</definedName>
    <definedName name="UAcct566" localSheetId="2">[5]FuncStudy!$Y$502</definedName>
    <definedName name="UAcct566" localSheetId="3">[5]FuncStudy!$Y$502</definedName>
    <definedName name="UAcct566">'[6]Func Study'!$AB$707</definedName>
    <definedName name="UAcct566Dnptu">#REF!</definedName>
    <definedName name="UAcct567" localSheetId="2">[5]FuncStudy!$Y$506</definedName>
    <definedName name="UAcct567" localSheetId="3">[5]FuncStudy!$Y$506</definedName>
    <definedName name="UAcct567">'[6]Func Study'!$AB$711</definedName>
    <definedName name="UAcct567Dnptu">#REF!</definedName>
    <definedName name="UAcct568" localSheetId="2">[5]FuncStudy!$Y$510</definedName>
    <definedName name="UAcct568" localSheetId="3">[5]FuncStudy!$Y$510</definedName>
    <definedName name="UAcct568">'[6]Func Study'!$AB$715</definedName>
    <definedName name="UAcct568Dnptu">#REF!</definedName>
    <definedName name="UAcct569" localSheetId="2">[5]FuncStudy!$Y$514</definedName>
    <definedName name="UAcct569" localSheetId="3">[5]FuncStudy!$Y$514</definedName>
    <definedName name="UAcct569">'[6]Func Study'!$AB$719</definedName>
    <definedName name="UAcct569Dnptu">#REF!</definedName>
    <definedName name="UAcct570" localSheetId="2">[5]FuncStudy!$Y$518</definedName>
    <definedName name="UAcct570" localSheetId="3">[5]FuncStudy!$Y$518</definedName>
    <definedName name="UAcct570">'[6]Func Study'!$AB$723</definedName>
    <definedName name="UAcct570Dnptu">#REF!</definedName>
    <definedName name="UAcct571" localSheetId="2">[5]FuncStudy!$Y$522</definedName>
    <definedName name="UAcct571" localSheetId="3">[5]FuncStudy!$Y$522</definedName>
    <definedName name="UAcct571">'[6]Func Study'!$AB$727</definedName>
    <definedName name="UAcct571Dnptu">#REF!</definedName>
    <definedName name="UAcct572" localSheetId="2">[5]FuncStudy!$Y$526</definedName>
    <definedName name="UAcct572" localSheetId="3">[5]FuncStudy!$Y$526</definedName>
    <definedName name="UAcct572">'[6]Func Study'!$AB$731</definedName>
    <definedName name="UAcct572Dnptu">#REF!</definedName>
    <definedName name="UAcct573" localSheetId="2">[5]FuncStudy!$Y$530</definedName>
    <definedName name="UAcct573" localSheetId="3">[5]FuncStudy!$Y$530</definedName>
    <definedName name="UAcct573">'[6]Func Study'!$AB$735</definedName>
    <definedName name="UAcct573Dnptu">#REF!</definedName>
    <definedName name="UAcct580" localSheetId="2">[5]FuncStudy!$Y$537</definedName>
    <definedName name="UAcct580" localSheetId="3">[5]FuncStudy!$Y$537</definedName>
    <definedName name="UAcct580">'[6]Func Study'!$AB$748</definedName>
    <definedName name="UAcct580Dnpd">#REF!</definedName>
    <definedName name="UAcct580S">#REF!</definedName>
    <definedName name="UAcct581" localSheetId="2">[5]FuncStudy!$Y$542</definedName>
    <definedName name="UAcct581" localSheetId="3">[5]FuncStudy!$Y$542</definedName>
    <definedName name="UAcct581">'[6]Func Study'!$AB$753</definedName>
    <definedName name="UAcct581Dnpd">#REF!</definedName>
    <definedName name="UAcct581S">#REF!</definedName>
    <definedName name="UAcct582" localSheetId="2">[5]FuncStudy!$Y$547</definedName>
    <definedName name="UAcct582" localSheetId="3">[5]FuncStudy!$Y$547</definedName>
    <definedName name="UAcct582">'[6]Func Study'!$AB$758</definedName>
    <definedName name="UAcct582Dnpd">#REF!</definedName>
    <definedName name="UAcct582S">#REF!</definedName>
    <definedName name="UAcct583" localSheetId="2">[5]FuncStudy!$Y$552</definedName>
    <definedName name="UAcct583" localSheetId="3">[5]FuncStudy!$Y$552</definedName>
    <definedName name="UAcct583">'[6]Func Study'!$AB$763</definedName>
    <definedName name="UAcct583Dnpd">#REF!</definedName>
    <definedName name="UAcct583S">#REF!</definedName>
    <definedName name="UAcct584" localSheetId="2">[5]FuncStudy!$Y$557</definedName>
    <definedName name="UAcct584" localSheetId="3">[5]FuncStudy!$Y$557</definedName>
    <definedName name="UAcct584">'[6]Func Study'!$AB$768</definedName>
    <definedName name="UAcct584Dnpd">#REF!</definedName>
    <definedName name="UAcct584S">#REF!</definedName>
    <definedName name="UAcct585" localSheetId="2">[5]FuncStudy!$Y$562</definedName>
    <definedName name="UAcct585" localSheetId="3">[5]FuncStudy!$Y$562</definedName>
    <definedName name="UAcct585">'[6]Func Study'!$AB$773</definedName>
    <definedName name="UAcct585S">#REF!</definedName>
    <definedName name="UAcct586" localSheetId="2">[5]FuncStudy!$Y$567</definedName>
    <definedName name="UAcct586" localSheetId="3">[5]FuncStudy!$Y$567</definedName>
    <definedName name="UAcct586">'[6]Func Study'!$AB$778</definedName>
    <definedName name="UAcct586Dnpd">#REF!</definedName>
    <definedName name="UAcct586S">#REF!</definedName>
    <definedName name="UAcct587" localSheetId="2">[5]FuncStudy!$Y$572</definedName>
    <definedName name="UAcct587" localSheetId="3">[5]FuncStudy!$Y$572</definedName>
    <definedName name="UAcct587">'[6]Func Study'!$AB$783</definedName>
    <definedName name="UAcct587Dnpd">#REF!</definedName>
    <definedName name="UAcct587S">#REF!</definedName>
    <definedName name="UAcct588" localSheetId="2">[5]FuncStudy!$Y$577</definedName>
    <definedName name="UAcct588" localSheetId="3">[5]FuncStudy!$Y$577</definedName>
    <definedName name="UAcct588">'[6]Func Study'!$AB$788</definedName>
    <definedName name="UAcct588Dnpd">#REF!</definedName>
    <definedName name="UAcct588S">#REF!</definedName>
    <definedName name="UAcct589" localSheetId="2">[5]FuncStudy!$Y$582</definedName>
    <definedName name="UAcct589" localSheetId="3">[5]FuncStudy!$Y$582</definedName>
    <definedName name="UAcct589">'[6]Func Study'!$AB$793</definedName>
    <definedName name="UAcct589Dnpd">#REF!</definedName>
    <definedName name="UAcct589S">#REF!</definedName>
    <definedName name="UAcct590" localSheetId="2">[5]FuncStudy!$Y$587</definedName>
    <definedName name="UAcct590" localSheetId="3">[5]FuncStudy!$Y$587</definedName>
    <definedName name="UAcct590">'[6]Func Study'!$AB$798</definedName>
    <definedName name="UAcct590Dnpd">#REF!</definedName>
    <definedName name="UAcct590S">#REF!</definedName>
    <definedName name="UAcct591" localSheetId="2">[5]FuncStudy!$Y$592</definedName>
    <definedName name="UAcct591" localSheetId="3">[5]FuncStudy!$Y$592</definedName>
    <definedName name="UAcct591">'[6]Func Study'!$AB$803</definedName>
    <definedName name="UAcct591Dnpd">#REF!</definedName>
    <definedName name="UAcct591S">#REF!</definedName>
    <definedName name="UAcct592" localSheetId="2">[5]FuncStudy!$Y$597</definedName>
    <definedName name="UAcct592" localSheetId="3">[5]FuncStudy!$Y$597</definedName>
    <definedName name="UAcct592">'[6]Func Study'!$AB$808</definedName>
    <definedName name="UAcct592Dnpd">#REF!</definedName>
    <definedName name="UAcct592S">#REF!</definedName>
    <definedName name="UAcct593" localSheetId="2">[5]FuncStudy!$Y$602</definedName>
    <definedName name="UAcct593" localSheetId="3">[5]FuncStudy!$Y$602</definedName>
    <definedName name="UAcct593">'[6]Func Study'!$AB$813</definedName>
    <definedName name="UAcct593Dnpd">#REF!</definedName>
    <definedName name="UAcct593S">#REF!</definedName>
    <definedName name="UAcct594" localSheetId="2">[5]FuncStudy!$Y$607</definedName>
    <definedName name="UAcct594" localSheetId="3">[5]FuncStudy!$Y$607</definedName>
    <definedName name="UAcct594">'[6]Func Study'!$AB$818</definedName>
    <definedName name="UAcct594Dnpd">#REF!</definedName>
    <definedName name="UAcct594S">#REF!</definedName>
    <definedName name="UAcct595" localSheetId="2">[5]FuncStudy!$Y$612</definedName>
    <definedName name="UAcct595" localSheetId="3">[5]FuncStudy!$Y$612</definedName>
    <definedName name="UAcct595">'[6]Func Study'!$AB$823</definedName>
    <definedName name="UAcct595Dnpd">#REF!</definedName>
    <definedName name="UAcct595S">#REF!</definedName>
    <definedName name="UAcct596" localSheetId="2">[5]FuncStudy!$Y$617</definedName>
    <definedName name="UAcct596" localSheetId="3">[5]FuncStudy!$Y$617</definedName>
    <definedName name="UAcct596">'[6]Func Study'!$AB$833</definedName>
    <definedName name="UAcct596Dnpd">#REF!</definedName>
    <definedName name="UAcct596S">#REF!</definedName>
    <definedName name="UAcct597" localSheetId="2">[5]FuncStudy!$Y$622</definedName>
    <definedName name="UAcct597" localSheetId="3">[5]FuncStudy!$Y$622</definedName>
    <definedName name="UAcct597">'[6]Func Study'!$AB$838</definedName>
    <definedName name="UAcct597Dnpd">#REF!</definedName>
    <definedName name="UAcct597S">#REF!</definedName>
    <definedName name="UAcct598" localSheetId="2">[5]FuncStudy!$Y$627</definedName>
    <definedName name="UAcct598" localSheetId="3">[5]FuncStudy!$Y$627</definedName>
    <definedName name="UAcct598">'[6]Func Study'!$AB$843</definedName>
    <definedName name="UAcct598Dnpd">#REF!</definedName>
    <definedName name="UAcct598S">#REF!</definedName>
    <definedName name="UAcct901" localSheetId="2">[5]FuncStudy!$Y$634</definedName>
    <definedName name="UAcct901" localSheetId="3">[5]FuncStudy!$Y$634</definedName>
    <definedName name="UAcct901">'[6]Func Study'!$AB$855</definedName>
    <definedName name="UAcct901Cs">#REF!</definedName>
    <definedName name="UAcct901S">#REF!</definedName>
    <definedName name="UAcct902" localSheetId="2">[5]FuncStudy!$Y$639</definedName>
    <definedName name="UAcct902" localSheetId="3">[5]FuncStudy!$Y$639</definedName>
    <definedName name="UAcct902">'[6]Func Study'!$AB$860</definedName>
    <definedName name="UAcct902Cs">#REF!</definedName>
    <definedName name="UAcct902S">#REF!</definedName>
    <definedName name="UAcct903" localSheetId="2">[5]FuncStudy!$Y$644</definedName>
    <definedName name="UAcct903" localSheetId="3">[5]FuncStudy!$Y$644</definedName>
    <definedName name="UAcct903">'[6]Func Study'!$AB$865</definedName>
    <definedName name="UAcct903Cs">#REF!</definedName>
    <definedName name="UAcct903S">#REF!</definedName>
    <definedName name="UAcct904" localSheetId="2">[5]FuncStudy!$Y$650</definedName>
    <definedName name="UAcct904" localSheetId="3">[5]FuncStudy!$Y$650</definedName>
    <definedName name="UAcct904">'[6]Func Study'!$AB$871</definedName>
    <definedName name="UACCT904CN">#REF!</definedName>
    <definedName name="UAcct904S">#REF!</definedName>
    <definedName name="UACCT904SG">#REF!</definedName>
    <definedName name="UAcct905" localSheetId="2">[5]FuncStudy!$Y$655</definedName>
    <definedName name="UAcct905" localSheetId="3">[5]FuncStudy!$Y$655</definedName>
    <definedName name="UAcct905">'[6]Func Study'!$AB$876</definedName>
    <definedName name="UAcct905Cs">#REF!</definedName>
    <definedName name="UAcct905S">#REF!</definedName>
    <definedName name="UAcct907" localSheetId="2">[5]FuncStudy!$Y$662</definedName>
    <definedName name="UAcct907" localSheetId="3">[5]FuncStudy!$Y$662</definedName>
    <definedName name="UAcct907">'[6]Func Study'!$AB$890</definedName>
    <definedName name="UAcct907Cs">#REF!</definedName>
    <definedName name="UAcct907S">#REF!</definedName>
    <definedName name="UAcct908" localSheetId="2">[5]FuncStudy!$Y$667</definedName>
    <definedName name="UAcct908" localSheetId="3">[5]FuncStudy!$Y$667</definedName>
    <definedName name="UAcct908">'[6]Func Study'!$AB$895</definedName>
    <definedName name="UAcct908Cs">#REF!</definedName>
    <definedName name="UAcct908S">#REF!</definedName>
    <definedName name="UAcct909" localSheetId="2">[5]FuncStudy!$Y$672</definedName>
    <definedName name="UAcct909" localSheetId="3">[5]FuncStudy!$Y$672</definedName>
    <definedName name="UAcct909">'[6]Func Study'!$AB$900</definedName>
    <definedName name="UAcct909Cs">#REF!</definedName>
    <definedName name="UAcct909S">#REF!</definedName>
    <definedName name="UAcct910" localSheetId="2">[5]FuncStudy!$Y$677</definedName>
    <definedName name="UAcct910" localSheetId="3">[5]FuncStudy!$Y$677</definedName>
    <definedName name="UAcct910">'[6]Func Study'!$AB$905</definedName>
    <definedName name="UAcct910Cs">#REF!</definedName>
    <definedName name="UAcct910S">#REF!</definedName>
    <definedName name="UAcct911" localSheetId="2">[5]FuncStudy!$Y$684</definedName>
    <definedName name="UAcct911" localSheetId="3">[5]FuncStudy!$Y$684</definedName>
    <definedName name="UAcct911">'[6]Func Study'!$AB$916</definedName>
    <definedName name="UAcct911Cs">#REF!</definedName>
    <definedName name="UAcct911S">#REF!</definedName>
    <definedName name="UAcct912" localSheetId="2">[5]FuncStudy!$Y$689</definedName>
    <definedName name="UAcct912" localSheetId="3">[5]FuncStudy!$Y$689</definedName>
    <definedName name="UAcct912">'[6]Func Study'!$AB$921</definedName>
    <definedName name="UAcct912Cs">#REF!</definedName>
    <definedName name="UAcct912S">#REF!</definedName>
    <definedName name="UAcct913" localSheetId="2">[5]FuncStudy!$Y$694</definedName>
    <definedName name="UAcct913" localSheetId="3">[5]FuncStudy!$Y$694</definedName>
    <definedName name="UAcct913">'[6]Func Study'!$AB$926</definedName>
    <definedName name="UAcct913Cs">#REF!</definedName>
    <definedName name="UAcct913S">#REF!</definedName>
    <definedName name="UAcct916" localSheetId="2">[5]FuncStudy!$Y$699</definedName>
    <definedName name="UAcct916" localSheetId="3">[5]FuncStudy!$Y$699</definedName>
    <definedName name="UAcct916">'[6]Func Study'!$AB$931</definedName>
    <definedName name="UAcct916Cs">#REF!</definedName>
    <definedName name="UAcct916S">#REF!</definedName>
    <definedName name="UAcct920" localSheetId="2">[5]FuncStudy!$Y$708</definedName>
    <definedName name="UAcct920" localSheetId="3">[5]FuncStudy!$Y$708</definedName>
    <definedName name="UAcct920">'[6]Func Study'!$AB$942</definedName>
    <definedName name="UAcct920Cn" localSheetId="2">[5]FuncStudy!$Y$706</definedName>
    <definedName name="UAcct920Cn" localSheetId="3">[5]FuncStudy!$Y$706</definedName>
    <definedName name="UAcct920Cn">'[6]Func Study'!$AB$940</definedName>
    <definedName name="UAcct920Nc">#REF!</definedName>
    <definedName name="UAcct920S">#REF!</definedName>
    <definedName name="UAcct920So">#REF!</definedName>
    <definedName name="UAcct921" localSheetId="2">[5]FuncStudy!$Y$714</definedName>
    <definedName name="UAcct921" localSheetId="3">[5]FuncStudy!$Y$714</definedName>
    <definedName name="UAcct921">'[6]Func Study'!$AB$948</definedName>
    <definedName name="UAcct921Cn" localSheetId="2">[5]FuncStudy!$Y$712</definedName>
    <definedName name="UAcct921Cn" localSheetId="3">[5]FuncStudy!$Y$712</definedName>
    <definedName name="UAcct921Cn">'[6]Func Study'!$AB$946</definedName>
    <definedName name="UAcct921S">#REF!</definedName>
    <definedName name="UAcct921So">#REF!</definedName>
    <definedName name="UAcct923" localSheetId="2">[5]FuncStudy!$Y$720</definedName>
    <definedName name="UAcct923" localSheetId="3">[5]FuncStudy!$Y$720</definedName>
    <definedName name="UAcct923">'[6]Func Study'!$AB$954</definedName>
    <definedName name="UAcct923Cn" localSheetId="2">[5]FuncStudy!$Y$718</definedName>
    <definedName name="UAcct923Cn" localSheetId="3">[5]FuncStudy!$Y$718</definedName>
    <definedName name="UAcct923Cn">'[6]Func Study'!$AB$952</definedName>
    <definedName name="UAcct923S">#REF!</definedName>
    <definedName name="UAcct923So">#REF!</definedName>
    <definedName name="UAcct924">'[6]Func Study'!$AB$959</definedName>
    <definedName name="UAcct924S" localSheetId="2">[5]FuncStudy!$Y$723</definedName>
    <definedName name="UAcct924S" localSheetId="3">[5]FuncStudy!$Y$723</definedName>
    <definedName name="UAcct924S">[8]FuncStudy!$Y$722</definedName>
    <definedName name="UACCT924SG" localSheetId="2">[5]FuncStudy!$Y$724</definedName>
    <definedName name="UACCT924SG" localSheetId="3">[5]FuncStudy!$Y$724</definedName>
    <definedName name="UACCT924SG">'[6]Func Study'!$AB$958</definedName>
    <definedName name="UAcct924SO" localSheetId="2">[5]FuncStudy!$Y$725</definedName>
    <definedName name="UAcct924SO" localSheetId="3">[5]FuncStudy!$Y$725</definedName>
    <definedName name="UAcct924SO">[8]FuncStudy!$Y$724</definedName>
    <definedName name="UAcct925" localSheetId="2">[5]FuncStudy!$Y$730</definedName>
    <definedName name="UAcct925" localSheetId="3">[5]FuncStudy!$Y$730</definedName>
    <definedName name="UAcct925">'[6]Func Study'!$AB$963</definedName>
    <definedName name="UAcct925So">#REF!</definedName>
    <definedName name="UAcct926" localSheetId="2">[5]FuncStudy!$Y$736</definedName>
    <definedName name="UAcct926" localSheetId="3">[5]FuncStudy!$Y$736</definedName>
    <definedName name="UAcct926">'[6]Func Study'!$AB$969</definedName>
    <definedName name="UAcct926Cn">#REF!</definedName>
    <definedName name="UAcct926S">#REF!</definedName>
    <definedName name="UAcct926So">#REF!</definedName>
    <definedName name="UAcct927" localSheetId="2">[5]FuncStudy!$Y$741</definedName>
    <definedName name="UAcct927" localSheetId="3">[5]FuncStudy!$Y$741</definedName>
    <definedName name="UAcct927">'[6]Func Study'!$AB$974</definedName>
    <definedName name="UAcct927S">#REF!</definedName>
    <definedName name="UAcct927So">#REF!</definedName>
    <definedName name="UAcct928" localSheetId="2">[5]FuncStudy!$Y$748</definedName>
    <definedName name="UAcct928" localSheetId="3">[5]FuncStudy!$Y$748</definedName>
    <definedName name="UAcct928">'[6]Func Study'!$AB$981</definedName>
    <definedName name="UAcct928RE" localSheetId="2">[5]FuncStudy!$Y$750</definedName>
    <definedName name="UAcct928RE" localSheetId="3">[5]FuncStudy!$Y$750</definedName>
    <definedName name="UAcct928RE">'[6]Func Study'!$AB$983</definedName>
    <definedName name="UAcct928S">#REF!</definedName>
    <definedName name="UAcct928Sg">#REF!</definedName>
    <definedName name="UAcct928So">#REF!</definedName>
    <definedName name="UAcct929" localSheetId="2">[5]FuncStudy!$Y$755</definedName>
    <definedName name="UAcct929" localSheetId="3">[5]FuncStudy!$Y$755</definedName>
    <definedName name="UAcct929">'[6]Func Study'!$AB$988</definedName>
    <definedName name="UAcct929S">#REF!</definedName>
    <definedName name="UAcct929So">#REF!</definedName>
    <definedName name="UAcct930">#REF!</definedName>
    <definedName name="UACCT930cn" localSheetId="2">[5]FuncStudy!$Y$759</definedName>
    <definedName name="UACCT930cn" localSheetId="3">[5]FuncStudy!$Y$759</definedName>
    <definedName name="UACCT930cn">'[6]Func Study'!$AB$992</definedName>
    <definedName name="UAcct930S" localSheetId="2">[5]FuncStudy!$Y$758</definedName>
    <definedName name="UAcct930S" localSheetId="3">[5]FuncStudy!$Y$758</definedName>
    <definedName name="UAcct930S">'[6]Func Study'!$AB$991</definedName>
    <definedName name="UAcct930So" localSheetId="2">[5]FuncStudy!$Y$760</definedName>
    <definedName name="UAcct930So" localSheetId="3">[5]FuncStudy!$Y$760</definedName>
    <definedName name="UAcct930So">'[6]Func Study'!$AB$993</definedName>
    <definedName name="UAcct931" localSheetId="2">[5]FuncStudy!$Y$766</definedName>
    <definedName name="UAcct931" localSheetId="3">[5]FuncStudy!$Y$766</definedName>
    <definedName name="UAcct931">'[6]Func Study'!$AB$999</definedName>
    <definedName name="UAcct931S">#REF!</definedName>
    <definedName name="UAcct931So">#REF!</definedName>
    <definedName name="UAcct935" localSheetId="2">[5]FuncStudy!$Y$772</definedName>
    <definedName name="UAcct935" localSheetId="3">[5]FuncStudy!$Y$772</definedName>
    <definedName name="UAcct935">'[6]Func Study'!$AB$1005</definedName>
    <definedName name="uacct935cn">#REF!</definedName>
    <definedName name="UAcct935S">#REF!</definedName>
    <definedName name="UAcct935So">#REF!</definedName>
    <definedName name="UAcct99Lsep">#REF!</definedName>
    <definedName name="UAcctAGA" localSheetId="2">[5]FuncStudy!$Y$133</definedName>
    <definedName name="UAcctAGA" localSheetId="3">[5]FuncStudy!$Y$133</definedName>
    <definedName name="UAcctAGA">'[6]Func Study'!$AB$291</definedName>
    <definedName name="UAcctcwc">'[6]Func Study'!$AB$2163</definedName>
    <definedName name="UAcctcwcs">#REF!</definedName>
    <definedName name="UAcctcwcse">#REF!</definedName>
    <definedName name="UAcctcwcso">#REF!</definedName>
    <definedName name="UAcctd00" localSheetId="2">[5]FuncStudy!$Y$1472</definedName>
    <definedName name="UAcctd00" localSheetId="3">[5]FuncStudy!$Y$1472</definedName>
    <definedName name="UAcctd00">'[6]Func Study'!$AB$1817</definedName>
    <definedName name="UAcctd00S">#REF!</definedName>
    <definedName name="UAcctdfa">#REF!</definedName>
    <definedName name="UAcctdfad" localSheetId="2">[5]FuncStudy!$Y$215</definedName>
    <definedName name="UAcctdfad" localSheetId="3">[5]FuncStudy!$Y$215</definedName>
    <definedName name="UAcctdfad">'[6]Func Study'!$AB$392</definedName>
    <definedName name="UAcctdfap" localSheetId="2">[5]FuncStudy!$Y$213</definedName>
    <definedName name="UAcctdfap" localSheetId="3">[5]FuncStudy!$Y$213</definedName>
    <definedName name="UAcctdfap">'[6]Func Study'!$AB$390</definedName>
    <definedName name="UAcctdfat" localSheetId="2">[5]FuncStudy!$Y$214</definedName>
    <definedName name="UAcctdfat" localSheetId="3">[5]FuncStudy!$Y$214</definedName>
    <definedName name="UAcctdfat">'[6]Func Study'!$AB$391</definedName>
    <definedName name="UAcctds0" localSheetId="2">[5]FuncStudy!$Y$1476</definedName>
    <definedName name="UAcctds0" localSheetId="3">[5]FuncStudy!$Y$1476</definedName>
    <definedName name="UAcctds0">'[6]Func Study'!$AB$1821</definedName>
    <definedName name="UAcctds0S">#REF!</definedName>
    <definedName name="uacctecd">#REF!</definedName>
    <definedName name="uacctecdcoh">'[6]Func Study'!$AB$663</definedName>
    <definedName name="uacctecddgp">'[6]Func Study'!$AB$662</definedName>
    <definedName name="uacctecdmc">'[6]Func Study'!$AB$664</definedName>
    <definedName name="uacctecdqfsg">'[6]Func Study'!$AB$667</definedName>
    <definedName name="uacctecds">'[6]Func Study'!$AB$666</definedName>
    <definedName name="uacctecdsg">'[6]Func Study'!$AB$665</definedName>
    <definedName name="UACCTEDCCOH">#REF!</definedName>
    <definedName name="UAcctfit" localSheetId="2">[5]FuncStudy!$Y$1143</definedName>
    <definedName name="UAcctfit" localSheetId="3">[5]FuncStudy!$Y$1143</definedName>
    <definedName name="UAcctfit">'[6]Func Study'!$AB$1422</definedName>
    <definedName name="UAcctg00" localSheetId="2">[5]FuncStudy!$Y$1624</definedName>
    <definedName name="UAcctg00" localSheetId="3">[5]FuncStudy!$Y$1624</definedName>
    <definedName name="UAcctg00">'[6]Func Study'!$AB$1976</definedName>
    <definedName name="UAcctg00Cn">#REF!</definedName>
    <definedName name="UAcctg00S">#REF!</definedName>
    <definedName name="UAcctg00Sg">#REF!</definedName>
    <definedName name="UAcctg00Sgp">#REF!</definedName>
    <definedName name="UAcctg00Sgu">#REF!</definedName>
    <definedName name="UAcctg00So">#REF!</definedName>
    <definedName name="UAccth00" localSheetId="2">[5]FuncStudy!$Y$1258</definedName>
    <definedName name="UAccth00" localSheetId="3">[5]FuncStudy!$Y$1258</definedName>
    <definedName name="UAccth00">'[6]Func Study'!$AB$1578</definedName>
    <definedName name="UAccth00Dgp">#REF!</definedName>
    <definedName name="UAccti00" localSheetId="2">[5]FuncStudy!$Y$1666</definedName>
    <definedName name="UAccti00" localSheetId="3">[5]FuncStudy!$Y$1666</definedName>
    <definedName name="UAccti00">'[6]Func Study'!$AB$2021</definedName>
    <definedName name="UAccti00S">#REF!</definedName>
    <definedName name="UAccti00Sgp">#REF!</definedName>
    <definedName name="UAccti00Sgu">#REF!</definedName>
    <definedName name="UAccti00So">#REF!</definedName>
    <definedName name="UAcctitcitc90">#REF!</definedName>
    <definedName name="UAcctn00" localSheetId="2">[5]FuncStudy!$Y$1214</definedName>
    <definedName name="UAcctn00" localSheetId="3">[5]FuncStudy!$Y$1214</definedName>
    <definedName name="UAcctn00">'[6]Func Study'!$AB$1522</definedName>
    <definedName name="UAcctn00Sgp">#REF!</definedName>
    <definedName name="UAccto00" localSheetId="2">[5]FuncStudy!$Y$1309</definedName>
    <definedName name="UAccto00" localSheetId="3">[5]FuncStudy!$Y$1309</definedName>
    <definedName name="UAccto00">'[6]Func Study'!$AB$1638</definedName>
    <definedName name="UAccto00S">#REF!</definedName>
    <definedName name="UAccto00Sgu">#REF!</definedName>
    <definedName name="UAcctowc" localSheetId="2">[5]FuncStudy!$Y$1811</definedName>
    <definedName name="UAcctowc" localSheetId="3">[5]FuncStudy!$Y$1811</definedName>
    <definedName name="UAcctowc">'[6]Func Study'!$AB$2175</definedName>
    <definedName name="UAcctowcdgp">#REF!</definedName>
    <definedName name="UAcctowcse">#REF!</definedName>
    <definedName name="UAcctowcsg">#REF!</definedName>
    <definedName name="UAcctowcsnp">#REF!</definedName>
    <definedName name="UAcctowcso">#REF!</definedName>
    <definedName name="uacctowcssech" localSheetId="2">[5]FuncStudy!$Y$1810</definedName>
    <definedName name="uacctowcssech" localSheetId="3">[5]FuncStudy!$Y$1810</definedName>
    <definedName name="uacctowcssech">'[6]Func Study'!$AB$2174</definedName>
    <definedName name="UAccts00" localSheetId="2">[5]FuncStudy!$Y$1182</definedName>
    <definedName name="UAccts00" localSheetId="3">[5]FuncStudy!$Y$1182</definedName>
    <definedName name="UAccts00">'[6]Func Study'!$AB$1481</definedName>
    <definedName name="UAccts00Sgu">#REF!</definedName>
    <definedName name="UAcctSchM" localSheetId="2">[5]FuncStudy!$Y$1121</definedName>
    <definedName name="UAcctSchM" localSheetId="3">[5]FuncStudy!$Y$1121</definedName>
    <definedName name="UAcctSchM">'[6]Func Study'!$AB$1401</definedName>
    <definedName name="UAcctsgu">#REF!</definedName>
    <definedName name="UAcctsttax">'[6]Func Study'!$AB$1405</definedName>
    <definedName name="UAcctt00" localSheetId="2">[5]FuncStudy!$Y$1377</definedName>
    <definedName name="UAcctt00" localSheetId="3">[5]FuncStudy!$Y$1377</definedName>
    <definedName name="UAcctt00">'[6]Func Study'!$AB$1713</definedName>
    <definedName name="UAcctt00Sgu">#REF!</definedName>
    <definedName name="UAcctts0">#REF!</definedName>
    <definedName name="UAcctts0Sgu">#REF!</definedName>
    <definedName name="UACT553SGW" localSheetId="2">[5]FuncStudy!$Y$422</definedName>
    <definedName name="UACT553SGW" localSheetId="3">[5]FuncStudy!$Y$422</definedName>
    <definedName name="UACT553SGW">[8]FuncStudy!$Y$421</definedName>
    <definedName name="uactt154sg">#REF!</definedName>
    <definedName name="UNBILREV" localSheetId="17">#REF!</definedName>
    <definedName name="UNBILREV" localSheetId="3">#REF!</definedName>
    <definedName name="UNBILREV">#REF!</definedName>
    <definedName name="UncollectibleAccounts">[14]Variables!$D$25</definedName>
    <definedName name="USBR" localSheetId="17">#REF!</definedName>
    <definedName name="USBR" localSheetId="3">#REF!</definedName>
    <definedName name="USBR">#REF!</definedName>
    <definedName name="USCHMA">#REF!</definedName>
    <definedName name="USCHMAFS" localSheetId="2">[5]FuncStudy!$Y$1032</definedName>
    <definedName name="USCHMAFS" localSheetId="3">[5]FuncStudy!$Y$1032</definedName>
    <definedName name="USCHMAFS">'[6]Func Study'!$AB$1302</definedName>
    <definedName name="USCHMAFSE" localSheetId="2">[5]FuncStudy!$Y$1035</definedName>
    <definedName name="USCHMAFSE" localSheetId="3">[5]FuncStudy!$Y$1035</definedName>
    <definedName name="USCHMAFSE">'[6]Func Study'!$AB$1305</definedName>
    <definedName name="USCHMAFSG" localSheetId="2">[5]FuncStudy!$Y$1037</definedName>
    <definedName name="USCHMAFSG" localSheetId="3">[5]FuncStudy!$Y$1037</definedName>
    <definedName name="USCHMAFSG">'[6]Func Study'!$AB$1307</definedName>
    <definedName name="USCHMAFSNP" localSheetId="2">[5]FuncStudy!$Y$1033</definedName>
    <definedName name="USCHMAFSNP" localSheetId="3">[5]FuncStudy!$Y$1033</definedName>
    <definedName name="USCHMAFSNP">'[6]Func Study'!$AB$1303</definedName>
    <definedName name="USCHMAFSO" localSheetId="2">[5]FuncStudy!$Y$1034</definedName>
    <definedName name="USCHMAFSO" localSheetId="3">[5]FuncStudy!$Y$1034</definedName>
    <definedName name="USCHMAFSO">'[6]Func Study'!$AB$1304</definedName>
    <definedName name="USCHMAFTROJP" localSheetId="2">[5]FuncStudy!$Y$1036</definedName>
    <definedName name="USCHMAFTROJP" localSheetId="3">[5]FuncStudy!$Y$1036</definedName>
    <definedName name="USCHMAFTROJP">'[6]Func Study'!$AB$1306</definedName>
    <definedName name="USCHMAPBADDEBT" localSheetId="2">[5]FuncStudy!$Y$1046</definedName>
    <definedName name="USCHMAPBADDEBT" localSheetId="3">[5]FuncStudy!$Y$1046</definedName>
    <definedName name="USCHMAPBADDEBT">'[6]Func Study'!$AB$1316</definedName>
    <definedName name="USCHMAPS" localSheetId="2">[5]FuncStudy!$Y$1041</definedName>
    <definedName name="USCHMAPS" localSheetId="3">[5]FuncStudy!$Y$1041</definedName>
    <definedName name="USCHMAPS">'[6]Func Study'!$AB$1311</definedName>
    <definedName name="USCHMAPSCHMDEXP">#REF!</definedName>
    <definedName name="USCHMAPSE" localSheetId="2">[5]FuncStudy!$Y$1042</definedName>
    <definedName name="USCHMAPSE" localSheetId="3">[5]FuncStudy!$Y$1042</definedName>
    <definedName name="USCHMAPSE">'[6]Func Study'!$AB$1312</definedName>
    <definedName name="USCHMAPSG" localSheetId="2">[5]FuncStudy!$Y$1045</definedName>
    <definedName name="USCHMAPSG" localSheetId="3">[5]FuncStudy!$Y$1045</definedName>
    <definedName name="USCHMAPSG">'[6]Func Study'!$AB$1315</definedName>
    <definedName name="USCHMAPSNP" localSheetId="2">[5]FuncStudy!$Y$1043</definedName>
    <definedName name="USCHMAPSNP" localSheetId="3">[5]FuncStudy!$Y$1043</definedName>
    <definedName name="USCHMAPSNP">'[6]Func Study'!$AB$1313</definedName>
    <definedName name="USCHMAPSO" localSheetId="2">[5]FuncStudy!$Y$1044</definedName>
    <definedName name="USCHMAPSO" localSheetId="3">[5]FuncStudy!$Y$1044</definedName>
    <definedName name="USCHMAPSO">'[6]Func Study'!$AB$1314</definedName>
    <definedName name="USCHMATBADDEBT" localSheetId="2">[5]FuncStudy!$Y$1061</definedName>
    <definedName name="USCHMATBADDEBT" localSheetId="3">[5]FuncStudy!$Y$1061</definedName>
    <definedName name="USCHMATBADDEBT">'[6]Func Study'!$AB$1331</definedName>
    <definedName name="USCHMATCIAC" localSheetId="2">[5]FuncStudy!$Y$1052</definedName>
    <definedName name="USCHMATCIAC" localSheetId="3">[5]FuncStudy!$Y$1052</definedName>
    <definedName name="USCHMATCIAC">'[6]Func Study'!$AB$1322</definedName>
    <definedName name="USCHMATGPS" localSheetId="2">[5]FuncStudy!$Y$1058</definedName>
    <definedName name="USCHMATGPS" localSheetId="3">[5]FuncStudy!$Y$1058</definedName>
    <definedName name="USCHMATGPS">'[6]Func Study'!$AB$1328</definedName>
    <definedName name="USCHMATS" localSheetId="2">[5]FuncStudy!$Y$1050</definedName>
    <definedName name="USCHMATS" localSheetId="3">[5]FuncStudy!$Y$1050</definedName>
    <definedName name="USCHMATS">'[6]Func Study'!$AB$1320</definedName>
    <definedName name="USCHMATSCHMDEXP" localSheetId="2">[5]FuncStudy!$Y$1063</definedName>
    <definedName name="USCHMATSCHMDEXP" localSheetId="3">[5]FuncStudy!$Y$1063</definedName>
    <definedName name="USCHMATSCHMDEXP">'[6]Func Study'!$AB$1333</definedName>
    <definedName name="USCHMATSE" localSheetId="2">[5]FuncStudy!$Y$1056</definedName>
    <definedName name="USCHMATSE" localSheetId="3">[5]FuncStudy!$Y$1056</definedName>
    <definedName name="USCHMATSE">'[6]Func Study'!$AB$1326</definedName>
    <definedName name="USCHMATSG" localSheetId="2">[5]FuncStudy!$Y$1055</definedName>
    <definedName name="USCHMATSG" localSheetId="3">[5]FuncStudy!$Y$1055</definedName>
    <definedName name="USCHMATSG">'[6]Func Study'!$AB$1325</definedName>
    <definedName name="USCHMATSG2" localSheetId="2">[5]FuncStudy!$Y$1057</definedName>
    <definedName name="USCHMATSG2" localSheetId="3">[5]FuncStudy!$Y$1057</definedName>
    <definedName name="USCHMATSG2">'[6]Func Study'!$AB$1327</definedName>
    <definedName name="USCHMATSGCT" localSheetId="2">[5]FuncStudy!$Y$1051</definedName>
    <definedName name="USCHMATSGCT" localSheetId="3">[5]FuncStudy!$Y$1051</definedName>
    <definedName name="USCHMATSGCT">'[6]Func Study'!$AB$1321</definedName>
    <definedName name="USCHMATSNP" localSheetId="2">[5]FuncStudy!$Y$1053</definedName>
    <definedName name="USCHMATSNP" localSheetId="3">[5]FuncStudy!$Y$1053</definedName>
    <definedName name="USCHMATSNP">'[6]Func Study'!$AB$1323</definedName>
    <definedName name="USCHMATSNPD" localSheetId="2">[5]FuncStudy!$Y$1060</definedName>
    <definedName name="USCHMATSNPD" localSheetId="3">[5]FuncStudy!$Y$1060</definedName>
    <definedName name="USCHMATSNPD">'[6]Func Study'!$AB$1330</definedName>
    <definedName name="USCHMATSO" localSheetId="2">[5]FuncStudy!$Y$1059</definedName>
    <definedName name="USCHMATSO" localSheetId="3">[5]FuncStudy!$Y$1059</definedName>
    <definedName name="USCHMATSO">'[6]Func Study'!$AB$1329</definedName>
    <definedName name="USCHMATTAXDEPR" localSheetId="2">[5]FuncStudy!$Y$1062</definedName>
    <definedName name="USCHMATTAXDEPR" localSheetId="3">[5]FuncStudy!$Y$1062</definedName>
    <definedName name="USCHMATTAXDEPR">'[6]Func Study'!$AB$1332</definedName>
    <definedName name="USCHMATTROJD" localSheetId="2">[5]FuncStudy!$Y$1054</definedName>
    <definedName name="USCHMATTROJD" localSheetId="3">[5]FuncStudy!$Y$1054</definedName>
    <definedName name="USCHMATTROJD">'[6]Func Study'!$AB$1324</definedName>
    <definedName name="USCHMDFDGP" localSheetId="2">[5]FuncStudy!$Y$1070</definedName>
    <definedName name="USCHMDFDGP" localSheetId="3">[5]FuncStudy!$Y$1070</definedName>
    <definedName name="USCHMDFDGP">'[6]Func Study'!$AB$1340</definedName>
    <definedName name="USCHMDFDGU" localSheetId="2">[5]FuncStudy!$Y$1071</definedName>
    <definedName name="USCHMDFDGU" localSheetId="3">[5]FuncStudy!$Y$1071</definedName>
    <definedName name="USCHMDFDGU">'[6]Func Study'!$AB$1341</definedName>
    <definedName name="USCHMDFS" localSheetId="2">[5]FuncStudy!$Y$1069</definedName>
    <definedName name="USCHMDFS" localSheetId="3">[5]FuncStudy!$Y$1069</definedName>
    <definedName name="USCHMDFS">'[6]Func Study'!$AB$1339</definedName>
    <definedName name="USCHMDPIBT" localSheetId="2">[5]FuncStudy!$Y$1077</definedName>
    <definedName name="USCHMDPIBT" localSheetId="3">[5]FuncStudy!$Y$1077</definedName>
    <definedName name="USCHMDPIBT">'[6]Func Study'!$AB$1347</definedName>
    <definedName name="USCHMDPS" localSheetId="2">[5]FuncStudy!$Y$1074</definedName>
    <definedName name="USCHMDPS" localSheetId="3">[5]FuncStudy!$Y$1074</definedName>
    <definedName name="USCHMDPS">'[6]Func Study'!$AB$1344</definedName>
    <definedName name="USCHMDPSE" localSheetId="2">[5]FuncStudy!$Y$1075</definedName>
    <definedName name="USCHMDPSE" localSheetId="3">[5]FuncStudy!$Y$1075</definedName>
    <definedName name="USCHMDPSE">'[6]Func Study'!$AB$1345</definedName>
    <definedName name="USCHMDPSG" localSheetId="2">[5]FuncStudy!$Y$1078</definedName>
    <definedName name="USCHMDPSG" localSheetId="3">[5]FuncStudy!$Y$1078</definedName>
    <definedName name="USCHMDPSG">'[6]Func Study'!$AB$1348</definedName>
    <definedName name="USCHMDPSNP" localSheetId="2">[5]FuncStudy!$Y$1076</definedName>
    <definedName name="USCHMDPSNP" localSheetId="3">[5]FuncStudy!$Y$1076</definedName>
    <definedName name="USCHMDPSNP">'[6]Func Study'!$AB$1346</definedName>
    <definedName name="USCHMDPSO" localSheetId="2">[5]FuncStudy!$Y$1079</definedName>
    <definedName name="USCHMDPSO" localSheetId="3">[5]FuncStudy!$Y$1079</definedName>
    <definedName name="USCHMDPSO">'[6]Func Study'!$AB$1349</definedName>
    <definedName name="USCHMDTBADDEBT" localSheetId="2">[5]FuncStudy!$Y$1084</definedName>
    <definedName name="USCHMDTBADDEBT" localSheetId="3">[5]FuncStudy!$Y$1084</definedName>
    <definedName name="USCHMDTBADDEBT">'[6]Func Study'!$AB$1354</definedName>
    <definedName name="USCHMDTCN" localSheetId="2">[5]FuncStudy!$Y$1086</definedName>
    <definedName name="USCHMDTCN" localSheetId="3">[5]FuncStudy!$Y$1086</definedName>
    <definedName name="USCHMDTCN">'[6]Func Study'!$AB$1356</definedName>
    <definedName name="USCHMDTDGP" localSheetId="2">[5]FuncStudy!$Y$1088</definedName>
    <definedName name="USCHMDTDGP" localSheetId="3">[5]FuncStudy!$Y$1088</definedName>
    <definedName name="USCHMDTDGP">'[6]Func Study'!$AB$1358</definedName>
    <definedName name="USCHMDTGPS" localSheetId="2">[5]FuncStudy!$Y$1091</definedName>
    <definedName name="USCHMDTGPS" localSheetId="3">[5]FuncStudy!$Y$1091</definedName>
    <definedName name="USCHMDTGPS">'[6]Func Study'!$AB$1361</definedName>
    <definedName name="USCHMDTS" localSheetId="2">[5]FuncStudy!$Y$1083</definedName>
    <definedName name="USCHMDTS" localSheetId="3">[5]FuncStudy!$Y$1083</definedName>
    <definedName name="USCHMDTS">'[6]Func Study'!$AB$1353</definedName>
    <definedName name="USCHMDTSE" localSheetId="2">[5]FuncStudy!$Y$1089</definedName>
    <definedName name="USCHMDTSE" localSheetId="3">[5]FuncStudy!$Y$1089</definedName>
    <definedName name="USCHMDTSE">'[6]Func Study'!$AB$1359</definedName>
    <definedName name="USCHMDTSG" localSheetId="2">[5]FuncStudy!$Y$1090</definedName>
    <definedName name="USCHMDTSG" localSheetId="3">[5]FuncStudy!$Y$1090</definedName>
    <definedName name="USCHMDTSG">'[6]Func Study'!$AB$1360</definedName>
    <definedName name="USCHMDTSNP" localSheetId="2">[5]FuncStudy!$Y$1085</definedName>
    <definedName name="USCHMDTSNP" localSheetId="3">[5]FuncStudy!$Y$1085</definedName>
    <definedName name="USCHMDTSNP">'[6]Func Study'!$AB$1355</definedName>
    <definedName name="USCHMDTSNPD" localSheetId="2">[5]FuncStudy!$Y$1094</definedName>
    <definedName name="USCHMDTSNPD" localSheetId="3">[5]FuncStudy!$Y$1094</definedName>
    <definedName name="USCHMDTSNPD">'[6]Func Study'!$AB$1364</definedName>
    <definedName name="USCHMDTSO" localSheetId="2">[5]FuncStudy!$Y$1092</definedName>
    <definedName name="USCHMDTSO" localSheetId="3">[5]FuncStudy!$Y$1092</definedName>
    <definedName name="USCHMDTSO">'[6]Func Study'!$AB$1362</definedName>
    <definedName name="USCHMDTTAXDEPR" localSheetId="2">[5]FuncStudy!$Y$1093</definedName>
    <definedName name="USCHMDTTAXDEPR" localSheetId="3">[5]FuncStudy!$Y$1093</definedName>
    <definedName name="USCHMDTTAXDEPR">'[6]Func Study'!$AB$1363</definedName>
    <definedName name="USCHMDTTROJD" localSheetId="2">[5]FuncStudy!$Y$1087</definedName>
    <definedName name="USCHMDTTROJD" localSheetId="3">[5]FuncStudy!$Y$1087</definedName>
    <definedName name="USCHMDTTROJD">'[6]Func Study'!$AB$1357</definedName>
    <definedName name="UT_305A_FY_2002" localSheetId="17">#REF!</definedName>
    <definedName name="UT_305A_FY_2002" localSheetId="3">#REF!</definedName>
    <definedName name="UT_305A_FY_2002">#REF!</definedName>
    <definedName name="UT_RVN_0302" localSheetId="17">#REF!</definedName>
    <definedName name="UT_RVN_0302">#REF!</definedName>
    <definedName name="UtGrossReceipts">[14]Variables!$D$29</definedName>
    <definedName name="ValidAccount">[9]Variables!$AK$43:$AK$369</definedName>
    <definedName name="VAR" localSheetId="17">[23]Backup!#REF!</definedName>
    <definedName name="VAR" localSheetId="3">[23]Backup!#REF!</definedName>
    <definedName name="VAR">[23]Backup!#REF!</definedName>
    <definedName name="VARIABLE" localSheetId="17">[21]Summary!#REF!</definedName>
    <definedName name="VARIABLE" localSheetId="3">[21]Summary!#REF!</definedName>
    <definedName name="VARIABLE">[21]Summary!#REF!</definedName>
    <definedName name="VOUCHER" localSheetId="17">#REF!</definedName>
    <definedName name="VOUCHER" localSheetId="3">#REF!</definedName>
    <definedName name="VOUCHER">#REF!</definedName>
    <definedName name="WaRevenueTax">[14]Variables!$D$27</definedName>
    <definedName name="WEATHER" localSheetId="17">#REF!</definedName>
    <definedName name="WEATHER" localSheetId="3">#REF!</definedName>
    <definedName name="WEATHER">#REF!</definedName>
    <definedName name="WEATHRNORM" localSheetId="17">#REF!</definedName>
    <definedName name="WEATHRNORM">#REF!</definedName>
    <definedName name="WIDTH" localSheetId="17">#REF!</definedName>
    <definedName name="WIDTH">#REF!</definedName>
    <definedName name="WinterPeak">'[32]Load Data'!$D$9:$H$12,'[32]Load Data'!$D$20:$H$22</definedName>
    <definedName name="WN" localSheetId="2">#REF!</definedName>
    <definedName name="WN" localSheetId="17">#REF!</definedName>
    <definedName name="WN" localSheetId="3">#REF!</definedName>
    <definedName name="WN">#REF!</definedName>
    <definedName name="WORK1" localSheetId="17">#REF!</definedName>
    <definedName name="WORK1">#REF!</definedName>
    <definedName name="WORK2" localSheetId="17">#REF!</definedName>
    <definedName name="WORK2">#REF!</definedName>
    <definedName name="WORK3" localSheetId="17">#REF!</definedName>
    <definedName name="WORK3">#REF!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7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localSheetId="15" hidden="1">{#N/A,#N/A,FALSE,"Loans";#N/A,#N/A,FALSE,"Program Costs";#N/A,#N/A,FALSE,"Measures";#N/A,#N/A,FALSE,"Net Lost Rev";#N/A,#N/A,FALSE,"Incentive"}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localSheetId="12" hidden="1">{#N/A,#N/A,FALSE,"Loans";#N/A,#N/A,FALSE,"Program Costs";#N/A,#N/A,FALSE,"Measures";#N/A,#N/A,FALSE,"Net Lost Rev";#N/A,#N/A,FALSE,"Incentive"}</definedName>
    <definedName name="wrn.OR._.Carrying._.Charge._.JV." localSheetId="13" hidden="1">{#N/A,#N/A,FALSE,"Loans";#N/A,#N/A,FALSE,"Program Costs";#N/A,#N/A,FALSE,"Measures";#N/A,#N/A,FALSE,"Net Lost Rev";#N/A,#N/A,FALSE,"Incentive"}</definedName>
    <definedName name="wrn.OR._.Carrying._.Charge._.JV." localSheetId="14" hidden="1">{#N/A,#N/A,FALSE,"Loans";#N/A,#N/A,FALSE,"Program Costs";#N/A,#N/A,FALSE,"Measures";#N/A,#N/A,FALSE,"Net Lost Rev";#N/A,#N/A,FALSE,"Incentive"}</definedName>
    <definedName name="wrn.OR._.Carrying._.Charge._.JV." localSheetId="17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localSheetId="15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localSheetId="12" hidden="1">{#N/A,#N/A,FALSE,"Loans";#N/A,#N/A,FALSE,"Program Costs";#N/A,#N/A,FALSE,"Measures";#N/A,#N/A,FALSE,"Net Lost Rev";#N/A,#N/A,FALSE,"Incentive"}</definedName>
    <definedName name="wrn.OR._.Carrying._.Charge._.JV.1" localSheetId="13" hidden="1">{#N/A,#N/A,FALSE,"Loans";#N/A,#N/A,FALSE,"Program Costs";#N/A,#N/A,FALSE,"Measures";#N/A,#N/A,FALSE,"Net Lost Rev";#N/A,#N/A,FALSE,"Incentive"}</definedName>
    <definedName name="wrn.OR._.Carrying._.Charge._.JV.1" localSheetId="14" hidden="1">{#N/A,#N/A,FALSE,"Loans";#N/A,#N/A,FALSE,"Program Costs";#N/A,#N/A,FALSE,"Measures";#N/A,#N/A,FALSE,"Net Lost Rev";#N/A,#N/A,FALSE,"Incentive"}</definedName>
    <definedName name="wrn.OR._.Carrying._.Charge._.JV.1" localSheetId="17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7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'[33]Weather Present'!$K$7</definedName>
    <definedName name="Xfmr_Year1">[13]Variables!$C$20</definedName>
    <definedName name="Xfmr_Year2">[13]Variables!$D$20</definedName>
    <definedName name="XFMR_YR1">[16]Variables!$C$20</definedName>
    <definedName name="XFMR_YR2">[16]Variables!$D$20</definedName>
    <definedName name="y" hidden="1">'[3]DSM Output'!$B$21:$B$23</definedName>
    <definedName name="Year" localSheetId="17">#REF!</definedName>
    <definedName name="Year" localSheetId="3">#REF!</definedName>
    <definedName name="Year">#REF!</definedName>
    <definedName name="YearEndFactors">[15]UTCR!$G$22:$U$108</definedName>
    <definedName name="YearEndInput">[15]Inputs!$A$3:$D$1747</definedName>
    <definedName name="YEFactors">[9]Factors!$S$3:$AG$99</definedName>
    <definedName name="z" hidden="1">'[3]DSM Output'!$G$21:$G$23</definedName>
    <definedName name="ZA" localSheetId="17">'[34] annual balance '!#REF!</definedName>
    <definedName name="ZA" localSheetId="3">'[34] annual balance '!#REF!</definedName>
    <definedName name="ZA">'[34] annual balance '!#REF!</definedName>
  </definedNames>
  <calcPr calcId="152511"/>
</workbook>
</file>

<file path=xl/calcChain.xml><?xml version="1.0" encoding="utf-8"?>
<calcChain xmlns="http://schemas.openxmlformats.org/spreadsheetml/2006/main">
  <c r="D22" i="14" l="1"/>
  <c r="B22" i="14"/>
  <c r="D12" i="25"/>
  <c r="D13" i="25"/>
  <c r="D5" i="25"/>
  <c r="B5" i="25"/>
  <c r="F5" i="25"/>
  <c r="F27" i="14"/>
  <c r="B11" i="25" s="1"/>
  <c r="F26" i="14"/>
  <c r="B10" i="25" s="1"/>
  <c r="F25" i="14"/>
  <c r="B8" i="25" s="1"/>
  <c r="F24" i="14"/>
  <c r="B7" i="25" s="1"/>
  <c r="F23" i="14"/>
  <c r="B6" i="25" s="1"/>
  <c r="J23" i="14" l="1"/>
  <c r="K48" i="24"/>
  <c r="M48" i="24" s="1"/>
  <c r="K47" i="24"/>
  <c r="M47" i="24" s="1"/>
  <c r="I47" i="24"/>
  <c r="G47" i="24"/>
  <c r="K45" i="24"/>
  <c r="I45" i="24"/>
  <c r="G45" i="24"/>
  <c r="K44" i="24"/>
  <c r="I44" i="24"/>
  <c r="G44" i="24"/>
  <c r="K43" i="24"/>
  <c r="I43" i="24"/>
  <c r="G43" i="24"/>
  <c r="K42" i="24"/>
  <c r="I42" i="24"/>
  <c r="G42" i="24"/>
  <c r="K41" i="24"/>
  <c r="I41" i="24"/>
  <c r="G41" i="24"/>
  <c r="N38" i="24"/>
  <c r="N39" i="24" s="1"/>
  <c r="L38" i="24"/>
  <c r="L39" i="24" s="1"/>
  <c r="M37" i="24"/>
  <c r="K37" i="24"/>
  <c r="K36" i="24"/>
  <c r="I36" i="24"/>
  <c r="G36" i="24"/>
  <c r="Q35" i="24"/>
  <c r="K35" i="24"/>
  <c r="I35" i="24"/>
  <c r="G35" i="24"/>
  <c r="K34" i="24"/>
  <c r="I34" i="24"/>
  <c r="G34" i="24"/>
  <c r="K33" i="24"/>
  <c r="I33" i="24"/>
  <c r="G33" i="24"/>
  <c r="K32" i="24"/>
  <c r="I32" i="24"/>
  <c r="G32" i="24"/>
  <c r="K31" i="24"/>
  <c r="I31" i="24"/>
  <c r="G31" i="24"/>
  <c r="K29" i="24"/>
  <c r="I29" i="24"/>
  <c r="G29" i="24"/>
  <c r="K28" i="24"/>
  <c r="K30" i="24" s="1"/>
  <c r="I28" i="24"/>
  <c r="G28" i="24"/>
  <c r="K26" i="24"/>
  <c r="I26" i="24"/>
  <c r="G26" i="24"/>
  <c r="K25" i="24"/>
  <c r="I25" i="24"/>
  <c r="G25" i="24"/>
  <c r="G27" i="24" s="1"/>
  <c r="K24" i="24"/>
  <c r="I24" i="24"/>
  <c r="G24" i="24"/>
  <c r="K22" i="24"/>
  <c r="I22" i="24"/>
  <c r="G22" i="24"/>
  <c r="K21" i="24"/>
  <c r="I21" i="24"/>
  <c r="G21" i="24"/>
  <c r="K20" i="24"/>
  <c r="I20" i="24"/>
  <c r="G20" i="24"/>
  <c r="K17" i="24"/>
  <c r="M17" i="24" s="1"/>
  <c r="K16" i="24"/>
  <c r="I16" i="24"/>
  <c r="G16" i="24"/>
  <c r="A16" i="24"/>
  <c r="K15" i="24"/>
  <c r="I15" i="24"/>
  <c r="G15" i="24"/>
  <c r="E12" i="24"/>
  <c r="Z23" i="13"/>
  <c r="Z22" i="13"/>
  <c r="Z16" i="13"/>
  <c r="Z15" i="13"/>
  <c r="Z14" i="13"/>
  <c r="O35" i="24" l="1"/>
  <c r="M35" i="24" s="1"/>
  <c r="S35" i="24" s="1"/>
  <c r="S47" i="24"/>
  <c r="K18" i="24"/>
  <c r="G30" i="24"/>
  <c r="G23" i="24"/>
  <c r="I46" i="24"/>
  <c r="I38" i="24"/>
  <c r="I39" i="24" s="1"/>
  <c r="I18" i="24"/>
  <c r="G18" i="24"/>
  <c r="G46" i="24"/>
  <c r="K27" i="24"/>
  <c r="K23" i="24"/>
  <c r="I27" i="24"/>
  <c r="I30" i="24"/>
  <c r="G49" i="24"/>
  <c r="G12" i="24"/>
  <c r="I12" i="24" s="1"/>
  <c r="I23" i="24"/>
  <c r="G38" i="24"/>
  <c r="G39" i="24" s="1"/>
  <c r="G51" i="24" s="1"/>
  <c r="K38" i="24"/>
  <c r="K39" i="24" s="1"/>
  <c r="K46" i="24"/>
  <c r="A17" i="24"/>
  <c r="A18" i="24" s="1"/>
  <c r="I51" i="24" l="1"/>
  <c r="I49" i="24"/>
  <c r="I50" i="24" s="1"/>
  <c r="G50" i="24"/>
  <c r="A20" i="24"/>
  <c r="K51" i="24"/>
  <c r="K49" i="24"/>
  <c r="K50" i="24" s="1"/>
  <c r="O54" i="24" s="1"/>
  <c r="K12" i="24"/>
  <c r="M12" i="24" s="1"/>
  <c r="S13" i="24" l="1"/>
  <c r="O13" i="24"/>
  <c r="O55" i="24"/>
  <c r="O56" i="24"/>
  <c r="O59" i="24" s="1"/>
  <c r="O66" i="24" s="1"/>
  <c r="O64" i="24"/>
  <c r="Q34" i="24"/>
  <c r="O34" i="24" s="1"/>
  <c r="M34" i="24" s="1"/>
  <c r="S34" i="24" s="1"/>
  <c r="O12" i="24"/>
  <c r="Q13" i="24" s="1"/>
  <c r="A21" i="24"/>
  <c r="Q45" i="24" l="1"/>
  <c r="O45" i="24" s="1"/>
  <c r="M45" i="24" s="1"/>
  <c r="S45" i="24" s="1"/>
  <c r="Q43" i="24"/>
  <c r="O43" i="24" s="1"/>
  <c r="M43" i="24" s="1"/>
  <c r="S43" i="24" s="1"/>
  <c r="Q41" i="24"/>
  <c r="O41" i="24" s="1"/>
  <c r="M41" i="24" s="1"/>
  <c r="S41" i="24" s="1"/>
  <c r="Q42" i="24"/>
  <c r="O42" i="24" s="1"/>
  <c r="M42" i="24" s="1"/>
  <c r="S42" i="24" s="1"/>
  <c r="Q12" i="24"/>
  <c r="O63" i="24"/>
  <c r="Q32" i="24" s="1"/>
  <c r="O32" i="24" s="1"/>
  <c r="M32" i="24" s="1"/>
  <c r="S32" i="24" s="1"/>
  <c r="O61" i="24"/>
  <c r="O57" i="24"/>
  <c r="O62" i="24"/>
  <c r="Q44" i="24" s="1"/>
  <c r="O44" i="24" s="1"/>
  <c r="O60" i="24"/>
  <c r="O58" i="24"/>
  <c r="Q24" i="24"/>
  <c r="O24" i="24" s="1"/>
  <c r="M24" i="24" s="1"/>
  <c r="S24" i="24" s="1"/>
  <c r="A22" i="24"/>
  <c r="S12" i="24"/>
  <c r="Q22" i="24" l="1"/>
  <c r="O22" i="24" s="1"/>
  <c r="M22" i="24" s="1"/>
  <c r="S22" i="24" s="1"/>
  <c r="Q21" i="24"/>
  <c r="O21" i="24" s="1"/>
  <c r="M21" i="24" s="1"/>
  <c r="S21" i="24" s="1"/>
  <c r="Q20" i="24"/>
  <c r="O20" i="24" s="1"/>
  <c r="M44" i="24"/>
  <c r="O46" i="24"/>
  <c r="Q29" i="24"/>
  <c r="O29" i="24" s="1"/>
  <c r="M29" i="24" s="1"/>
  <c r="S29" i="24" s="1"/>
  <c r="Q28" i="24"/>
  <c r="O28" i="24" s="1"/>
  <c r="A23" i="24"/>
  <c r="Q36" i="24"/>
  <c r="O36" i="24" s="1"/>
  <c r="M36" i="24" s="1"/>
  <c r="S36" i="24" s="1"/>
  <c r="Q33" i="24"/>
  <c r="O33" i="24" s="1"/>
  <c r="M33" i="24" s="1"/>
  <c r="S33" i="24" s="1"/>
  <c r="Q31" i="24"/>
  <c r="O31" i="24" s="1"/>
  <c r="M31" i="24" s="1"/>
  <c r="S31" i="24" s="1"/>
  <c r="Q26" i="24"/>
  <c r="O26" i="24" s="1"/>
  <c r="M26" i="24" s="1"/>
  <c r="S26" i="24" s="1"/>
  <c r="Q25" i="24"/>
  <c r="O25" i="24" s="1"/>
  <c r="Q16" i="24"/>
  <c r="O16" i="24" s="1"/>
  <c r="M16" i="24" s="1"/>
  <c r="S16" i="24" s="1"/>
  <c r="Q15" i="24"/>
  <c r="O15" i="24" l="1"/>
  <c r="M15" i="24" s="1"/>
  <c r="B4" i="14" s="1"/>
  <c r="AA33" i="13"/>
  <c r="O27" i="24"/>
  <c r="Q27" i="24" s="1"/>
  <c r="M25" i="24"/>
  <c r="S44" i="24"/>
  <c r="M46" i="24"/>
  <c r="O30" i="24"/>
  <c r="Q30" i="24" s="1"/>
  <c r="M28" i="24"/>
  <c r="O49" i="24"/>
  <c r="Q46" i="24"/>
  <c r="O23" i="24"/>
  <c r="Q23" i="24" s="1"/>
  <c r="O38" i="24"/>
  <c r="M20" i="24"/>
  <c r="A24" i="24"/>
  <c r="A25" i="24" s="1"/>
  <c r="A26" i="24" s="1"/>
  <c r="A27" i="24" s="1"/>
  <c r="O18" i="24" l="1"/>
  <c r="Q18" i="24" s="1"/>
  <c r="S20" i="24"/>
  <c r="M38" i="24"/>
  <c r="M23" i="24"/>
  <c r="S23" i="24" s="1"/>
  <c r="Q49" i="24"/>
  <c r="Q38" i="24"/>
  <c r="O39" i="24"/>
  <c r="M49" i="24"/>
  <c r="S46" i="24"/>
  <c r="S25" i="24"/>
  <c r="M27" i="24"/>
  <c r="S27" i="24" s="1"/>
  <c r="M18" i="24"/>
  <c r="S18" i="24" s="1"/>
  <c r="S15" i="24"/>
  <c r="A28" i="24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S28" i="24"/>
  <c r="M30" i="24"/>
  <c r="S30" i="24" s="1"/>
  <c r="O50" i="24" l="1"/>
  <c r="Q50" i="24" s="1"/>
  <c r="M39" i="24"/>
  <c r="S38" i="24"/>
  <c r="S49" i="24"/>
  <c r="M50" i="24"/>
  <c r="S50" i="24" s="1"/>
  <c r="Q39" i="24"/>
  <c r="O51" i="24"/>
  <c r="Q51" i="24" s="1"/>
  <c r="S39" i="24" l="1"/>
  <c r="M51" i="24"/>
  <c r="S51" i="24" s="1"/>
  <c r="K22" i="20" l="1"/>
  <c r="K23" i="20"/>
  <c r="K21" i="20"/>
  <c r="K19" i="20"/>
  <c r="K20" i="20"/>
  <c r="K16" i="20"/>
  <c r="K17" i="20"/>
  <c r="K15" i="20"/>
  <c r="K13" i="20"/>
  <c r="K12" i="20"/>
  <c r="K28" i="20" s="1"/>
  <c r="I19" i="20"/>
  <c r="I20" i="20"/>
  <c r="I16" i="20"/>
  <c r="I17" i="20"/>
  <c r="I15" i="20"/>
  <c r="I14" i="20"/>
  <c r="I21" i="20"/>
  <c r="I22" i="20"/>
  <c r="I23" i="20"/>
  <c r="I13" i="20"/>
  <c r="I28" i="20" s="1"/>
  <c r="I12" i="20"/>
  <c r="F28" i="14"/>
  <c r="Z17" i="13" s="1"/>
  <c r="F29" i="14"/>
  <c r="F30" i="14"/>
  <c r="F21" i="14"/>
  <c r="B4" i="25" s="1"/>
  <c r="F20" i="14"/>
  <c r="B3" i="25" s="1"/>
  <c r="D27" i="14"/>
  <c r="D28" i="14"/>
  <c r="D29" i="14"/>
  <c r="D30" i="14"/>
  <c r="D31" i="14"/>
  <c r="D32" i="14"/>
  <c r="D33" i="14"/>
  <c r="D34" i="14"/>
  <c r="D26" i="14"/>
  <c r="D20" i="14"/>
  <c r="D21" i="14"/>
  <c r="D23" i="14"/>
  <c r="D24" i="14"/>
  <c r="D25" i="14"/>
  <c r="D19" i="14"/>
  <c r="B34" i="14"/>
  <c r="B24" i="14"/>
  <c r="B25" i="14"/>
  <c r="B26" i="14"/>
  <c r="B27" i="14"/>
  <c r="B28" i="14"/>
  <c r="B29" i="14"/>
  <c r="B30" i="14"/>
  <c r="B31" i="14"/>
  <c r="B32" i="14"/>
  <c r="B33" i="14"/>
  <c r="B23" i="14"/>
  <c r="B21" i="14"/>
  <c r="B20" i="14"/>
  <c r="B19" i="14"/>
  <c r="B35" i="14" l="1"/>
  <c r="Z13" i="13"/>
  <c r="Z21" i="13"/>
  <c r="A14" i="15"/>
  <c r="A13" i="15"/>
  <c r="X41" i="17"/>
  <c r="X40" i="17"/>
  <c r="X39" i="17"/>
  <c r="T28" i="17" l="1"/>
  <c r="U28" i="17"/>
  <c r="T29" i="17"/>
  <c r="T30" i="17"/>
  <c r="J21" i="14"/>
  <c r="D4" i="25" s="1"/>
  <c r="J20" i="14"/>
  <c r="D3" i="25" s="1"/>
  <c r="K22" i="14" l="1"/>
  <c r="T22" i="17"/>
  <c r="T23" i="17"/>
  <c r="T14" i="17"/>
  <c r="T15" i="17"/>
  <c r="T16" i="17"/>
  <c r="T17" i="17"/>
  <c r="T18" i="17"/>
  <c r="T13" i="17"/>
  <c r="Z19" i="13" l="1"/>
  <c r="J27" i="14"/>
  <c r="D11" i="25" s="1"/>
  <c r="J26" i="14"/>
  <c r="AA22" i="13" l="1"/>
  <c r="D10" i="25"/>
  <c r="AA23" i="13"/>
  <c r="U23" i="17" s="1"/>
  <c r="T19" i="17"/>
  <c r="AA19" i="13"/>
  <c r="U19" i="17" s="1"/>
  <c r="D35" i="14"/>
  <c r="K27" i="14"/>
  <c r="H27" i="14"/>
  <c r="L27" i="14" l="1"/>
  <c r="F11" i="25" s="1"/>
  <c r="T31" i="17"/>
  <c r="H21" i="14" l="1"/>
  <c r="H20" i="14"/>
  <c r="AA13" i="13" l="1"/>
  <c r="U13" i="17" s="1"/>
  <c r="L21" i="14"/>
  <c r="F4" i="25" s="1"/>
  <c r="Z26" i="13"/>
  <c r="Z24" i="13"/>
  <c r="T24" i="17" s="1"/>
  <c r="C31" i="13"/>
  <c r="N24" i="15" s="1"/>
  <c r="Q6" i="15"/>
  <c r="P6" i="15"/>
  <c r="O6" i="15"/>
  <c r="N6" i="15"/>
  <c r="I6" i="15"/>
  <c r="F6" i="15"/>
  <c r="G6" i="15"/>
  <c r="H6" i="15"/>
  <c r="A6" i="15"/>
  <c r="A7" i="15"/>
  <c r="A8" i="15"/>
  <c r="A9" i="15"/>
  <c r="A10" i="15"/>
  <c r="A11" i="15"/>
  <c r="A12" i="15"/>
  <c r="A15" i="15"/>
  <c r="A16" i="15"/>
  <c r="A17" i="15"/>
  <c r="A18" i="15"/>
  <c r="A19" i="15"/>
  <c r="A20" i="15"/>
  <c r="A21" i="15"/>
  <c r="A22" i="15"/>
  <c r="A23" i="15"/>
  <c r="A24" i="15"/>
  <c r="A25" i="15"/>
  <c r="AA29" i="13"/>
  <c r="U29" i="17" s="1"/>
  <c r="AA30" i="13"/>
  <c r="AA26" i="13"/>
  <c r="U26" i="17" s="1"/>
  <c r="AA18" i="13"/>
  <c r="U18" i="17" s="1"/>
  <c r="Z25" i="13"/>
  <c r="Z31" i="13"/>
  <c r="C29" i="13"/>
  <c r="N22" i="15" s="1"/>
  <c r="C25" i="13"/>
  <c r="N18" i="15" s="1"/>
  <c r="C22" i="13"/>
  <c r="N15" i="15" s="1"/>
  <c r="C19" i="13"/>
  <c r="C15" i="13"/>
  <c r="N11" i="15" s="1"/>
  <c r="C11" i="13"/>
  <c r="N7" i="15" s="1"/>
  <c r="J24" i="14"/>
  <c r="K24" i="14" s="1"/>
  <c r="J30" i="14"/>
  <c r="L30" i="14" s="1"/>
  <c r="K29" i="14"/>
  <c r="AA17" i="13"/>
  <c r="H28" i="14"/>
  <c r="H29" i="14"/>
  <c r="F37" i="14"/>
  <c r="H30" i="14"/>
  <c r="B45" i="12"/>
  <c r="C45" i="12" s="1"/>
  <c r="D37" i="12"/>
  <c r="E36" i="12"/>
  <c r="E35" i="12"/>
  <c r="E34" i="12"/>
  <c r="E37" i="12" s="1"/>
  <c r="D22" i="12" s="1"/>
  <c r="D25" i="12"/>
  <c r="D27" i="12" s="1"/>
  <c r="C21" i="12"/>
  <c r="D20" i="12"/>
  <c r="D19" i="12"/>
  <c r="D18" i="12"/>
  <c r="D17" i="12"/>
  <c r="D16" i="12"/>
  <c r="D15" i="12"/>
  <c r="D14" i="12"/>
  <c r="D13" i="12"/>
  <c r="B19" i="11"/>
  <c r="B25" i="11" s="1"/>
  <c r="D12" i="12"/>
  <c r="A33" i="9"/>
  <c r="D33" i="9" s="1"/>
  <c r="A32" i="9"/>
  <c r="D32" i="9" s="1"/>
  <c r="D31" i="9"/>
  <c r="W30" i="9"/>
  <c r="R30" i="9"/>
  <c r="T30" i="9" s="1"/>
  <c r="X29" i="9"/>
  <c r="A29" i="9"/>
  <c r="D29" i="9" s="1"/>
  <c r="X28" i="9"/>
  <c r="A28" i="9"/>
  <c r="D28" i="9" s="1"/>
  <c r="D27" i="9"/>
  <c r="R26" i="9"/>
  <c r="T26" i="9" s="1"/>
  <c r="A25" i="9"/>
  <c r="D25" i="9"/>
  <c r="W24" i="9"/>
  <c r="A24" i="9"/>
  <c r="D24" i="9" s="1"/>
  <c r="W23" i="9"/>
  <c r="D23" i="9"/>
  <c r="R22" i="9"/>
  <c r="T22" i="9" s="1"/>
  <c r="W21" i="9"/>
  <c r="W22" i="9" s="1"/>
  <c r="A21" i="9"/>
  <c r="D21" i="9" s="1"/>
  <c r="A20" i="9"/>
  <c r="D20" i="9" s="1"/>
  <c r="D19" i="9"/>
  <c r="R18" i="9"/>
  <c r="T18" i="9" s="1"/>
  <c r="A17" i="9"/>
  <c r="D17" i="9" s="1"/>
  <c r="X16" i="9"/>
  <c r="X24" i="9" s="1"/>
  <c r="A16" i="9"/>
  <c r="D16" i="9" s="1"/>
  <c r="X15" i="9"/>
  <c r="X23" i="9"/>
  <c r="D15" i="9"/>
  <c r="W14" i="9"/>
  <c r="R14" i="9"/>
  <c r="T14" i="9"/>
  <c r="W13" i="9"/>
  <c r="A13" i="9"/>
  <c r="D13" i="9" s="1"/>
  <c r="W12" i="9"/>
  <c r="A12" i="9"/>
  <c r="D12" i="9" s="1"/>
  <c r="W11" i="9"/>
  <c r="D11" i="9"/>
  <c r="W10" i="9"/>
  <c r="W18" i="9" s="1"/>
  <c r="C57" i="8"/>
  <c r="C58" i="8" s="1"/>
  <c r="C59" i="8" s="1"/>
  <c r="E56" i="8"/>
  <c r="E59" i="8" s="1"/>
  <c r="E55" i="8"/>
  <c r="E58" i="8" s="1"/>
  <c r="E54" i="8"/>
  <c r="E57" i="8" s="1"/>
  <c r="C54" i="8"/>
  <c r="C55" i="8" s="1"/>
  <c r="C56" i="8" s="1"/>
  <c r="A52" i="8"/>
  <c r="A53" i="8" s="1"/>
  <c r="A54" i="8" s="1"/>
  <c r="A57" i="8" s="1"/>
  <c r="C51" i="8"/>
  <c r="C52" i="8"/>
  <c r="S50" i="8"/>
  <c r="U50" i="8"/>
  <c r="K50" i="8"/>
  <c r="M50" i="8" s="1"/>
  <c r="C47" i="8"/>
  <c r="C48" i="8"/>
  <c r="C49" i="8" s="1"/>
  <c r="E46" i="8"/>
  <c r="E49" i="8" s="1"/>
  <c r="E45" i="8"/>
  <c r="E48" i="8" s="1"/>
  <c r="E44" i="8"/>
  <c r="E47" i="8" s="1"/>
  <c r="C44" i="8"/>
  <c r="C45" i="8" s="1"/>
  <c r="C46" i="8" s="1"/>
  <c r="A42" i="8"/>
  <c r="A43" i="8" s="1"/>
  <c r="A44" i="8" s="1"/>
  <c r="A47" i="8" s="1"/>
  <c r="C41" i="8"/>
  <c r="C42" i="8" s="1"/>
  <c r="S40" i="8"/>
  <c r="U40" i="8" s="1"/>
  <c r="K40" i="8"/>
  <c r="M40" i="8" s="1"/>
  <c r="C37" i="8"/>
  <c r="C38" i="8" s="1"/>
  <c r="C39" i="8" s="1"/>
  <c r="E36" i="8"/>
  <c r="E39" i="8"/>
  <c r="E35" i="8"/>
  <c r="E38" i="8" s="1"/>
  <c r="E34" i="8"/>
  <c r="E37" i="8" s="1"/>
  <c r="C34" i="8"/>
  <c r="C35" i="8" s="1"/>
  <c r="C36" i="8" s="1"/>
  <c r="A32" i="8"/>
  <c r="A33" i="8" s="1"/>
  <c r="A34" i="8" s="1"/>
  <c r="C31" i="8"/>
  <c r="C32" i="8" s="1"/>
  <c r="C33" i="8" s="1"/>
  <c r="X30" i="8"/>
  <c r="S30" i="8"/>
  <c r="U30" i="8"/>
  <c r="K30" i="8"/>
  <c r="M30" i="8" s="1"/>
  <c r="Y29" i="8"/>
  <c r="Y28" i="8"/>
  <c r="C27" i="8"/>
  <c r="C28" i="8" s="1"/>
  <c r="C29" i="8" s="1"/>
  <c r="E26" i="8"/>
  <c r="E29" i="8" s="1"/>
  <c r="E25" i="8"/>
  <c r="E28" i="8" s="1"/>
  <c r="E24" i="8"/>
  <c r="E27" i="8" s="1"/>
  <c r="C24" i="8"/>
  <c r="C25" i="8" s="1"/>
  <c r="C26" i="8" s="1"/>
  <c r="X23" i="8"/>
  <c r="X22" i="8"/>
  <c r="A22" i="8"/>
  <c r="A23" i="8" s="1"/>
  <c r="A24" i="8" s="1"/>
  <c r="X21" i="8"/>
  <c r="C21" i="8"/>
  <c r="C22" i="8" s="1"/>
  <c r="C23" i="8" s="1"/>
  <c r="X20" i="8"/>
  <c r="S20" i="8"/>
  <c r="U20" i="8" s="1"/>
  <c r="K20" i="8"/>
  <c r="M20" i="8" s="1"/>
  <c r="C17" i="8"/>
  <c r="C18" i="8" s="1"/>
  <c r="C19" i="8" s="1"/>
  <c r="E16" i="8"/>
  <c r="E19" i="8" s="1"/>
  <c r="Y15" i="8"/>
  <c r="Y23" i="8" s="1"/>
  <c r="E15" i="8"/>
  <c r="E18" i="8" s="1"/>
  <c r="X14" i="8"/>
  <c r="E14" i="8"/>
  <c r="E17" i="8" s="1"/>
  <c r="C14" i="8"/>
  <c r="C15" i="8" s="1"/>
  <c r="C16" i="8" s="1"/>
  <c r="X13" i="8"/>
  <c r="X12" i="8"/>
  <c r="A12" i="8"/>
  <c r="A13" i="8" s="1"/>
  <c r="X11" i="8"/>
  <c r="X19" i="8" s="1"/>
  <c r="C11" i="8"/>
  <c r="C12" i="8" s="1"/>
  <c r="C13" i="8" s="1"/>
  <c r="X10" i="8"/>
  <c r="X18" i="8" s="1"/>
  <c r="C57" i="7"/>
  <c r="C58" i="7"/>
  <c r="C59" i="7" s="1"/>
  <c r="E56" i="7"/>
  <c r="E59" i="7" s="1"/>
  <c r="E55" i="7"/>
  <c r="E58" i="7" s="1"/>
  <c r="E54" i="7"/>
  <c r="E57" i="7" s="1"/>
  <c r="C54" i="7"/>
  <c r="C55" i="7" s="1"/>
  <c r="C56" i="7" s="1"/>
  <c r="A52" i="7"/>
  <c r="A53" i="7" s="1"/>
  <c r="A54" i="7" s="1"/>
  <c r="A57" i="7" s="1"/>
  <c r="C51" i="7"/>
  <c r="C52" i="7" s="1"/>
  <c r="S50" i="7"/>
  <c r="U50" i="7" s="1"/>
  <c r="K50" i="7"/>
  <c r="M50" i="7" s="1"/>
  <c r="C47" i="7"/>
  <c r="C48" i="7" s="1"/>
  <c r="C49" i="7" s="1"/>
  <c r="E46" i="7"/>
  <c r="E49" i="7" s="1"/>
  <c r="E45" i="7"/>
  <c r="E48" i="7" s="1"/>
  <c r="E44" i="7"/>
  <c r="E47" i="7" s="1"/>
  <c r="C44" i="7"/>
  <c r="C45" i="7" s="1"/>
  <c r="C46" i="7" s="1"/>
  <c r="A42" i="7"/>
  <c r="A43" i="7" s="1"/>
  <c r="A44" i="7" s="1"/>
  <c r="C41" i="7"/>
  <c r="C42" i="7" s="1"/>
  <c r="C43" i="7" s="1"/>
  <c r="S40" i="7"/>
  <c r="U40" i="7" s="1"/>
  <c r="K40" i="7"/>
  <c r="M40" i="7" s="1"/>
  <c r="C37" i="7"/>
  <c r="C38" i="7" s="1"/>
  <c r="C39" i="7" s="1"/>
  <c r="E36" i="7"/>
  <c r="E39" i="7" s="1"/>
  <c r="E35" i="7"/>
  <c r="E38" i="7"/>
  <c r="E34" i="7"/>
  <c r="E37" i="7" s="1"/>
  <c r="C34" i="7"/>
  <c r="C35" i="7"/>
  <c r="C36" i="7" s="1"/>
  <c r="X32" i="7"/>
  <c r="A32" i="7"/>
  <c r="A33" i="7" s="1"/>
  <c r="A34" i="7" s="1"/>
  <c r="A37" i="7" s="1"/>
  <c r="Y31" i="7"/>
  <c r="C31" i="7"/>
  <c r="C32" i="7" s="1"/>
  <c r="C33" i="7" s="1"/>
  <c r="Y30" i="7"/>
  <c r="Y32" i="7" s="1"/>
  <c r="S30" i="7"/>
  <c r="U30" i="7" s="1"/>
  <c r="K30" i="7"/>
  <c r="M30" i="7"/>
  <c r="C27" i="7"/>
  <c r="C28" i="7" s="1"/>
  <c r="C29" i="7" s="1"/>
  <c r="E26" i="7"/>
  <c r="E29" i="7" s="1"/>
  <c r="X25" i="7"/>
  <c r="E25" i="7"/>
  <c r="E28" i="7" s="1"/>
  <c r="X24" i="7"/>
  <c r="E24" i="7"/>
  <c r="E27" i="7" s="1"/>
  <c r="C24" i="7"/>
  <c r="C25" i="7" s="1"/>
  <c r="C26" i="7" s="1"/>
  <c r="X23" i="7"/>
  <c r="A22" i="7"/>
  <c r="A23" i="7" s="1"/>
  <c r="X21" i="7"/>
  <c r="C21" i="7"/>
  <c r="C22" i="7" s="1"/>
  <c r="C23" i="7" s="1"/>
  <c r="S20" i="7"/>
  <c r="U20" i="7" s="1"/>
  <c r="K20" i="7"/>
  <c r="M20" i="7" s="1"/>
  <c r="C17" i="7"/>
  <c r="C18" i="7" s="1"/>
  <c r="C19" i="7" s="1"/>
  <c r="Y16" i="7"/>
  <c r="Y25" i="7" s="1"/>
  <c r="E16" i="7"/>
  <c r="E19" i="7" s="1"/>
  <c r="X15" i="7"/>
  <c r="E15" i="7"/>
  <c r="E18" i="7" s="1"/>
  <c r="X14" i="7"/>
  <c r="E14" i="7"/>
  <c r="E17" i="7" s="1"/>
  <c r="C14" i="7"/>
  <c r="C15" i="7" s="1"/>
  <c r="C16" i="7" s="1"/>
  <c r="X13" i="7"/>
  <c r="X22" i="7" s="1"/>
  <c r="X12" i="7"/>
  <c r="A12" i="7"/>
  <c r="A13" i="7" s="1"/>
  <c r="A14" i="7" s="1"/>
  <c r="X11" i="7"/>
  <c r="X20" i="7" s="1"/>
  <c r="C11" i="7"/>
  <c r="C12" i="7"/>
  <c r="C13" i="7" s="1"/>
  <c r="X10" i="7"/>
  <c r="X19" i="7" s="1"/>
  <c r="V28" i="6"/>
  <c r="A28" i="6"/>
  <c r="A29" i="6" s="1"/>
  <c r="W27" i="6"/>
  <c r="W26" i="6"/>
  <c r="W28" i="6" s="1"/>
  <c r="Q26" i="6"/>
  <c r="S26" i="6"/>
  <c r="A24" i="6"/>
  <c r="A25" i="6" s="1"/>
  <c r="Q22" i="6"/>
  <c r="S22" i="6" s="1"/>
  <c r="V21" i="6"/>
  <c r="V20" i="6"/>
  <c r="A20" i="6"/>
  <c r="A21" i="6" s="1"/>
  <c r="V18" i="6"/>
  <c r="Q18" i="6"/>
  <c r="S18" i="6" s="1"/>
  <c r="A16" i="6"/>
  <c r="A17" i="6" s="1"/>
  <c r="W14" i="6"/>
  <c r="W21" i="6" s="1"/>
  <c r="Q14" i="6"/>
  <c r="S14" i="6" s="1"/>
  <c r="V13" i="6"/>
  <c r="V12" i="6"/>
  <c r="V19" i="6" s="1"/>
  <c r="A12" i="6"/>
  <c r="A13" i="6" s="1"/>
  <c r="V11" i="6"/>
  <c r="V10" i="6"/>
  <c r="V17" i="6" s="1"/>
  <c r="V33" i="5"/>
  <c r="W32" i="5"/>
  <c r="W31" i="5"/>
  <c r="V26" i="5"/>
  <c r="L26" i="5"/>
  <c r="V25" i="5"/>
  <c r="L25" i="5"/>
  <c r="V24" i="5"/>
  <c r="L24" i="5"/>
  <c r="V22" i="5"/>
  <c r="L22" i="5"/>
  <c r="L21" i="5"/>
  <c r="L20" i="5"/>
  <c r="W19" i="5"/>
  <c r="W27" i="5" s="1"/>
  <c r="W18" i="5"/>
  <c r="W26" i="5" s="1"/>
  <c r="V17" i="5"/>
  <c r="V16" i="5"/>
  <c r="V15" i="5"/>
  <c r="V23" i="5" s="1"/>
  <c r="Q15" i="5"/>
  <c r="V14" i="5"/>
  <c r="W13" i="5"/>
  <c r="W21" i="5" s="1"/>
  <c r="V13" i="5"/>
  <c r="Z31" i="4"/>
  <c r="AA30" i="4"/>
  <c r="AA29" i="4"/>
  <c r="Z24" i="4"/>
  <c r="AA24" i="4" s="1"/>
  <c r="Z22" i="4"/>
  <c r="AA19" i="4"/>
  <c r="AA18" i="4"/>
  <c r="Z17" i="4"/>
  <c r="Z23" i="4" s="1"/>
  <c r="Z16" i="4"/>
  <c r="Z15" i="4"/>
  <c r="Z14" i="4"/>
  <c r="AA13" i="4"/>
  <c r="E32" i="4" s="1"/>
  <c r="Z13" i="4"/>
  <c r="C31" i="4" s="1"/>
  <c r="O855" i="3"/>
  <c r="K851" i="3"/>
  <c r="O851" i="3" s="1"/>
  <c r="K850" i="3"/>
  <c r="O850" i="3" s="1"/>
  <c r="K849" i="3"/>
  <c r="O849" i="3" s="1"/>
  <c r="K848" i="3"/>
  <c r="K847" i="3"/>
  <c r="O847" i="3" s="1"/>
  <c r="K846" i="3"/>
  <c r="O846" i="3" s="1"/>
  <c r="K845" i="3"/>
  <c r="C842" i="3"/>
  <c r="E842" i="3"/>
  <c r="T837" i="3"/>
  <c r="E837" i="3"/>
  <c r="T836" i="3"/>
  <c r="E836" i="3"/>
  <c r="T835" i="3"/>
  <c r="E835" i="3"/>
  <c r="C832" i="3"/>
  <c r="T830" i="3"/>
  <c r="E830" i="3"/>
  <c r="O830" i="3" s="1"/>
  <c r="I830" i="3"/>
  <c r="T829" i="3"/>
  <c r="I829" i="3"/>
  <c r="T828" i="3"/>
  <c r="E828" i="3"/>
  <c r="T827" i="3"/>
  <c r="O827" i="3"/>
  <c r="K827" i="3"/>
  <c r="I827" i="3"/>
  <c r="I824" i="3"/>
  <c r="K824" i="3" s="1"/>
  <c r="C823" i="3"/>
  <c r="E821" i="3" s="1"/>
  <c r="K821" i="3" s="1"/>
  <c r="I822" i="3"/>
  <c r="I821" i="3"/>
  <c r="I820" i="3"/>
  <c r="I819" i="3"/>
  <c r="E819" i="3"/>
  <c r="K819" i="3" s="1"/>
  <c r="I818" i="3"/>
  <c r="I817" i="3"/>
  <c r="E817" i="3"/>
  <c r="K817" i="3" s="1"/>
  <c r="I816" i="3"/>
  <c r="I823" i="3" s="1"/>
  <c r="K816" i="3"/>
  <c r="I813" i="3"/>
  <c r="K813" i="3" s="1"/>
  <c r="C812" i="3"/>
  <c r="E803" i="3" s="1"/>
  <c r="K803" i="3" s="1"/>
  <c r="E810" i="3"/>
  <c r="K810" i="3" s="1"/>
  <c r="I811" i="3"/>
  <c r="I810" i="3"/>
  <c r="I809" i="3"/>
  <c r="I807" i="3"/>
  <c r="I806" i="3"/>
  <c r="I804" i="3"/>
  <c r="E804" i="3"/>
  <c r="K804" i="3" s="1"/>
  <c r="I803" i="3"/>
  <c r="I802" i="3"/>
  <c r="I800" i="3"/>
  <c r="I799" i="3"/>
  <c r="K799" i="3"/>
  <c r="I796" i="3"/>
  <c r="E796" i="3"/>
  <c r="K35" i="2" s="1"/>
  <c r="C796" i="3"/>
  <c r="I791" i="3"/>
  <c r="C791" i="3"/>
  <c r="K789" i="3" s="1"/>
  <c r="K786" i="3"/>
  <c r="O786" i="3" s="1"/>
  <c r="K782" i="3"/>
  <c r="I780" i="3"/>
  <c r="I778" i="3"/>
  <c r="I777" i="3"/>
  <c r="I776" i="3"/>
  <c r="I775" i="3"/>
  <c r="K773" i="3"/>
  <c r="I773" i="3"/>
  <c r="K772" i="3"/>
  <c r="I772" i="3"/>
  <c r="K771" i="3"/>
  <c r="I771" i="3"/>
  <c r="K770" i="3"/>
  <c r="I770" i="3"/>
  <c r="K769" i="3"/>
  <c r="I769" i="3"/>
  <c r="K768" i="3"/>
  <c r="I768" i="3"/>
  <c r="K767" i="3"/>
  <c r="I767" i="3"/>
  <c r="K765" i="3"/>
  <c r="I765" i="3"/>
  <c r="K764" i="3"/>
  <c r="I764" i="3"/>
  <c r="K762" i="3"/>
  <c r="I762" i="3"/>
  <c r="K761" i="3"/>
  <c r="I761" i="3"/>
  <c r="K760" i="3"/>
  <c r="I760" i="3"/>
  <c r="M757" i="3"/>
  <c r="G757" i="3" s="1"/>
  <c r="E755" i="3"/>
  <c r="C755" i="3"/>
  <c r="C781" i="3" s="1"/>
  <c r="I753" i="3"/>
  <c r="I752" i="3"/>
  <c r="I751" i="3"/>
  <c r="I749" i="3"/>
  <c r="K748" i="3"/>
  <c r="I748" i="3"/>
  <c r="K746" i="3"/>
  <c r="I746" i="3"/>
  <c r="K745" i="3"/>
  <c r="I745" i="3"/>
  <c r="K744" i="3"/>
  <c r="I744" i="3"/>
  <c r="K742" i="3"/>
  <c r="I742" i="3"/>
  <c r="K741" i="3"/>
  <c r="I741" i="3"/>
  <c r="K739" i="3"/>
  <c r="I739" i="3"/>
  <c r="K738" i="3"/>
  <c r="I738" i="3"/>
  <c r="K737" i="3"/>
  <c r="I737" i="3"/>
  <c r="K735" i="3"/>
  <c r="I735" i="3"/>
  <c r="K734" i="3"/>
  <c r="I734" i="3"/>
  <c r="I729" i="3"/>
  <c r="K729" i="3" s="1"/>
  <c r="I727" i="3"/>
  <c r="I726" i="3"/>
  <c r="I725" i="3"/>
  <c r="I724" i="3"/>
  <c r="I723" i="3"/>
  <c r="I722" i="3"/>
  <c r="I720" i="3"/>
  <c r="I718" i="3"/>
  <c r="I716" i="3"/>
  <c r="I714" i="3"/>
  <c r="I712" i="3"/>
  <c r="I711" i="3"/>
  <c r="C710" i="3"/>
  <c r="I709" i="3"/>
  <c r="I708" i="3"/>
  <c r="I707" i="3"/>
  <c r="G704" i="3"/>
  <c r="E702" i="3"/>
  <c r="C702" i="3"/>
  <c r="I700" i="3"/>
  <c r="I699" i="3"/>
  <c r="I698" i="3"/>
  <c r="I696" i="3"/>
  <c r="I695" i="3"/>
  <c r="I692" i="3"/>
  <c r="I689" i="3"/>
  <c r="K695" i="3"/>
  <c r="I686" i="3"/>
  <c r="I685" i="3"/>
  <c r="I684" i="3"/>
  <c r="I682" i="3"/>
  <c r="I681" i="3"/>
  <c r="I702" i="3" s="1"/>
  <c r="I728" i="3" s="1"/>
  <c r="M677" i="3"/>
  <c r="G677" i="3" s="1"/>
  <c r="I673" i="3"/>
  <c r="I672" i="3"/>
  <c r="I671" i="3"/>
  <c r="C675" i="3"/>
  <c r="I667" i="3"/>
  <c r="I675" i="3" s="1"/>
  <c r="M665" i="3"/>
  <c r="E673" i="3"/>
  <c r="K673" i="3" s="1"/>
  <c r="I665" i="3"/>
  <c r="M662" i="3"/>
  <c r="G662" i="3"/>
  <c r="I658" i="3"/>
  <c r="I657" i="3"/>
  <c r="I656" i="3"/>
  <c r="C660" i="3"/>
  <c r="I652" i="3"/>
  <c r="M650" i="3"/>
  <c r="T650" i="3" s="1"/>
  <c r="E658" i="3"/>
  <c r="K658" i="3" s="1"/>
  <c r="I650" i="3"/>
  <c r="M647" i="3"/>
  <c r="G647" i="3" s="1"/>
  <c r="I643" i="3"/>
  <c r="I642" i="3"/>
  <c r="I641" i="3"/>
  <c r="E641" i="3"/>
  <c r="E639" i="3"/>
  <c r="C645" i="3"/>
  <c r="E89" i="3" s="1"/>
  <c r="K89" i="3" s="1"/>
  <c r="I638" i="3"/>
  <c r="I637" i="3"/>
  <c r="I636" i="3"/>
  <c r="M635" i="3"/>
  <c r="E643" i="3"/>
  <c r="I635" i="3"/>
  <c r="G632" i="3"/>
  <c r="V19" i="5" s="1"/>
  <c r="I631" i="3"/>
  <c r="K631" i="3" s="1"/>
  <c r="O629" i="3"/>
  <c r="K629" i="3"/>
  <c r="I629" i="3"/>
  <c r="E629" i="3"/>
  <c r="C629" i="3"/>
  <c r="M628" i="3"/>
  <c r="T628" i="3" s="1"/>
  <c r="C628" i="3"/>
  <c r="I628" i="3"/>
  <c r="C627" i="3"/>
  <c r="I627" i="3" s="1"/>
  <c r="R626" i="3"/>
  <c r="C626" i="3"/>
  <c r="I626" i="3" s="1"/>
  <c r="C625" i="3"/>
  <c r="I625" i="3" s="1"/>
  <c r="C624" i="3"/>
  <c r="I624" i="3" s="1"/>
  <c r="C623" i="3"/>
  <c r="I623" i="3" s="1"/>
  <c r="C622" i="3"/>
  <c r="I622" i="3" s="1"/>
  <c r="C621" i="3"/>
  <c r="I621" i="3" s="1"/>
  <c r="T620" i="3"/>
  <c r="E620" i="3"/>
  <c r="O620" i="3" s="1"/>
  <c r="C620" i="3"/>
  <c r="I620" i="3" s="1"/>
  <c r="G617" i="3"/>
  <c r="I616" i="3"/>
  <c r="K616" i="3" s="1"/>
  <c r="C614" i="3"/>
  <c r="I612" i="3"/>
  <c r="I611" i="3"/>
  <c r="I610" i="3"/>
  <c r="I614" i="3" s="1"/>
  <c r="I609" i="3"/>
  <c r="I605" i="3"/>
  <c r="I603" i="3"/>
  <c r="G598" i="3"/>
  <c r="I597" i="3"/>
  <c r="K597" i="3" s="1"/>
  <c r="E596" i="3"/>
  <c r="C596" i="3"/>
  <c r="I593" i="3"/>
  <c r="G590" i="3"/>
  <c r="I589" i="3"/>
  <c r="K589" i="3" s="1"/>
  <c r="C588" i="3"/>
  <c r="E588" i="3"/>
  <c r="I586" i="3"/>
  <c r="I585" i="3"/>
  <c r="E584" i="3"/>
  <c r="I584" i="3"/>
  <c r="E583" i="3"/>
  <c r="I583" i="3"/>
  <c r="E582" i="3"/>
  <c r="K582" i="3" s="1"/>
  <c r="K588" i="3" s="1"/>
  <c r="I582" i="3"/>
  <c r="I588" i="3" s="1"/>
  <c r="G579" i="3"/>
  <c r="I578" i="3"/>
  <c r="K578" i="3" s="1"/>
  <c r="C572" i="3"/>
  <c r="I569" i="3"/>
  <c r="I568" i="3"/>
  <c r="I567" i="3"/>
  <c r="I564" i="3"/>
  <c r="I563" i="3"/>
  <c r="I562" i="3"/>
  <c r="I561" i="3"/>
  <c r="I560" i="3"/>
  <c r="I558" i="3"/>
  <c r="I557" i="3"/>
  <c r="I556" i="3"/>
  <c r="I554" i="3"/>
  <c r="I553" i="3"/>
  <c r="I552" i="3"/>
  <c r="I550" i="3"/>
  <c r="I549" i="3"/>
  <c r="C546" i="3"/>
  <c r="I543" i="3"/>
  <c r="I542" i="3"/>
  <c r="I540" i="3"/>
  <c r="I539" i="3"/>
  <c r="I538" i="3"/>
  <c r="I537" i="3"/>
  <c r="I536" i="3"/>
  <c r="I535" i="3"/>
  <c r="I533" i="3"/>
  <c r="I531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5" i="3"/>
  <c r="I514" i="3"/>
  <c r="I513" i="3"/>
  <c r="I512" i="3"/>
  <c r="I511" i="3"/>
  <c r="I509" i="3"/>
  <c r="I508" i="3"/>
  <c r="I507" i="3"/>
  <c r="I576" i="3"/>
  <c r="C576" i="3"/>
  <c r="C574" i="3"/>
  <c r="E544" i="3" s="1"/>
  <c r="E522" i="3" s="1"/>
  <c r="K522" i="3" s="1"/>
  <c r="I501" i="3"/>
  <c r="I500" i="3"/>
  <c r="I499" i="3"/>
  <c r="I498" i="3"/>
  <c r="I497" i="3"/>
  <c r="I495" i="3"/>
  <c r="G486" i="3"/>
  <c r="I485" i="3"/>
  <c r="K485" i="3" s="1"/>
  <c r="C484" i="3"/>
  <c r="E484" i="3"/>
  <c r="K43" i="2" s="1"/>
  <c r="E479" i="3"/>
  <c r="I479" i="3"/>
  <c r="E477" i="3"/>
  <c r="E475" i="3"/>
  <c r="K475" i="3" s="1"/>
  <c r="I475" i="3"/>
  <c r="E474" i="3"/>
  <c r="K474" i="3" s="1"/>
  <c r="E473" i="3"/>
  <c r="K473" i="3" s="1"/>
  <c r="I473" i="3"/>
  <c r="E472" i="3"/>
  <c r="E471" i="3"/>
  <c r="I471" i="3"/>
  <c r="I470" i="3"/>
  <c r="E470" i="3"/>
  <c r="E468" i="3"/>
  <c r="K468" i="3" s="1"/>
  <c r="I467" i="3"/>
  <c r="E467" i="3"/>
  <c r="K467" i="3" s="1"/>
  <c r="E466" i="3"/>
  <c r="I466" i="3"/>
  <c r="E465" i="3"/>
  <c r="E464" i="3"/>
  <c r="K464" i="3" s="1"/>
  <c r="I464" i="3"/>
  <c r="I462" i="3"/>
  <c r="E462" i="3"/>
  <c r="K462" i="3" s="1"/>
  <c r="I461" i="3"/>
  <c r="E461" i="3"/>
  <c r="E460" i="3"/>
  <c r="E459" i="3"/>
  <c r="I459" i="3"/>
  <c r="E458" i="3"/>
  <c r="E457" i="3"/>
  <c r="I457" i="3"/>
  <c r="E456" i="3"/>
  <c r="I455" i="3"/>
  <c r="E455" i="3"/>
  <c r="E454" i="3"/>
  <c r="I454" i="3"/>
  <c r="E453" i="3"/>
  <c r="E452" i="3"/>
  <c r="K452" i="3" s="1"/>
  <c r="I452" i="3"/>
  <c r="I450" i="3"/>
  <c r="E450" i="3"/>
  <c r="E449" i="3"/>
  <c r="I449" i="3"/>
  <c r="I448" i="3"/>
  <c r="E448" i="3"/>
  <c r="E447" i="3"/>
  <c r="K447" i="3" s="1"/>
  <c r="E446" i="3"/>
  <c r="K446" i="3" s="1"/>
  <c r="I446" i="3"/>
  <c r="E445" i="3"/>
  <c r="E444" i="3"/>
  <c r="I444" i="3"/>
  <c r="E443" i="3"/>
  <c r="E442" i="3"/>
  <c r="I442" i="3"/>
  <c r="E441" i="3"/>
  <c r="K441" i="3" s="1"/>
  <c r="E440" i="3"/>
  <c r="E480" i="3" s="1"/>
  <c r="E439" i="3"/>
  <c r="E438" i="3"/>
  <c r="E437" i="3"/>
  <c r="E436" i="3"/>
  <c r="K436" i="3" s="1"/>
  <c r="M432" i="3"/>
  <c r="G432" i="3" s="1"/>
  <c r="I431" i="3"/>
  <c r="K431" i="3" s="1"/>
  <c r="I426" i="3"/>
  <c r="I423" i="3"/>
  <c r="I421" i="3"/>
  <c r="I419" i="3"/>
  <c r="I418" i="3"/>
  <c r="I417" i="3"/>
  <c r="G414" i="3"/>
  <c r="I413" i="3"/>
  <c r="K413" i="3" s="1"/>
  <c r="C410" i="3"/>
  <c r="E406" i="3" s="1"/>
  <c r="E410" i="3" s="1"/>
  <c r="E409" i="3" s="1"/>
  <c r="K409" i="3" s="1"/>
  <c r="K410" i="3" s="1"/>
  <c r="I408" i="3"/>
  <c r="C406" i="3"/>
  <c r="I404" i="3"/>
  <c r="I402" i="3"/>
  <c r="I400" i="3"/>
  <c r="M396" i="3"/>
  <c r="I392" i="3"/>
  <c r="I390" i="3"/>
  <c r="K389" i="3"/>
  <c r="I389" i="3"/>
  <c r="G386" i="3"/>
  <c r="I382" i="3"/>
  <c r="C384" i="3"/>
  <c r="E380" i="3" s="1"/>
  <c r="K380" i="3" s="1"/>
  <c r="O379" i="3"/>
  <c r="K379" i="3"/>
  <c r="I379" i="3"/>
  <c r="K378" i="3"/>
  <c r="I378" i="3"/>
  <c r="I371" i="3"/>
  <c r="I370" i="3"/>
  <c r="C373" i="3"/>
  <c r="E368" i="3" s="1"/>
  <c r="K368" i="3" s="1"/>
  <c r="I368" i="3"/>
  <c r="E367" i="3"/>
  <c r="K367" i="3" s="1"/>
  <c r="I366" i="3"/>
  <c r="K365" i="3"/>
  <c r="I365" i="3"/>
  <c r="M362" i="3"/>
  <c r="M375" i="3"/>
  <c r="I358" i="3"/>
  <c r="I356" i="3"/>
  <c r="I354" i="3"/>
  <c r="E326" i="3"/>
  <c r="K326" i="3" s="1"/>
  <c r="I352" i="3"/>
  <c r="M349" i="3"/>
  <c r="G349" i="3"/>
  <c r="I345" i="3"/>
  <c r="I344" i="3"/>
  <c r="C347" i="3"/>
  <c r="I342" i="3"/>
  <c r="E341" i="3"/>
  <c r="K341" i="3" s="1"/>
  <c r="I340" i="3"/>
  <c r="K339" i="3"/>
  <c r="I339" i="3"/>
  <c r="G336" i="3"/>
  <c r="X16" i="8" s="1"/>
  <c r="I335" i="3"/>
  <c r="K335" i="3" s="1"/>
  <c r="E334" i="3"/>
  <c r="K25" i="2" s="1"/>
  <c r="K333" i="3"/>
  <c r="I333" i="3"/>
  <c r="E333" i="3"/>
  <c r="C333" i="3"/>
  <c r="C332" i="3"/>
  <c r="I332" i="3" s="1"/>
  <c r="C331" i="3"/>
  <c r="I331" i="3" s="1"/>
  <c r="C330" i="3"/>
  <c r="I330" i="3" s="1"/>
  <c r="C329" i="3"/>
  <c r="I329" i="3" s="1"/>
  <c r="C328" i="3"/>
  <c r="I328" i="3" s="1"/>
  <c r="C327" i="3"/>
  <c r="I327" i="3" s="1"/>
  <c r="C326" i="3"/>
  <c r="I326" i="3" s="1"/>
  <c r="I319" i="3"/>
  <c r="I317" i="3"/>
  <c r="I315" i="3"/>
  <c r="I313" i="3"/>
  <c r="K312" i="3"/>
  <c r="I312" i="3"/>
  <c r="M309" i="3"/>
  <c r="I305" i="3"/>
  <c r="I303" i="3"/>
  <c r="I301" i="3"/>
  <c r="I299" i="3"/>
  <c r="K298" i="3"/>
  <c r="C284" i="3"/>
  <c r="I284" i="3" s="1"/>
  <c r="G295" i="3"/>
  <c r="X17" i="7" s="1"/>
  <c r="I294" i="3"/>
  <c r="K294" i="3" s="1"/>
  <c r="E293" i="3"/>
  <c r="K292" i="3"/>
  <c r="I292" i="3"/>
  <c r="E292" i="3"/>
  <c r="C292" i="3"/>
  <c r="C291" i="3"/>
  <c r="I291" i="3" s="1"/>
  <c r="C290" i="3"/>
  <c r="I290" i="3" s="1"/>
  <c r="C289" i="3"/>
  <c r="I289" i="3" s="1"/>
  <c r="C288" i="3"/>
  <c r="I288" i="3" s="1"/>
  <c r="I293" i="3" s="1"/>
  <c r="C287" i="3"/>
  <c r="I287" i="3" s="1"/>
  <c r="C286" i="3"/>
  <c r="I286" i="3" s="1"/>
  <c r="C285" i="3"/>
  <c r="I285" i="3" s="1"/>
  <c r="E284" i="3"/>
  <c r="K284" i="3" s="1"/>
  <c r="G281" i="3"/>
  <c r="I280" i="3"/>
  <c r="K280" i="3" s="1"/>
  <c r="E279" i="3"/>
  <c r="K42" i="1" s="1"/>
  <c r="C279" i="3"/>
  <c r="E274" i="3"/>
  <c r="K274" i="3" s="1"/>
  <c r="E273" i="3"/>
  <c r="K273" i="3" s="1"/>
  <c r="E272" i="3"/>
  <c r="K272" i="3" s="1"/>
  <c r="E271" i="3"/>
  <c r="K271" i="3"/>
  <c r="E270" i="3"/>
  <c r="K270" i="3" s="1"/>
  <c r="I270" i="3"/>
  <c r="E269" i="3"/>
  <c r="K269" i="3" s="1"/>
  <c r="E268" i="3"/>
  <c r="K268" i="3" s="1"/>
  <c r="I268" i="3"/>
  <c r="E267" i="3"/>
  <c r="K267" i="3" s="1"/>
  <c r="E265" i="3"/>
  <c r="K265" i="3" s="1"/>
  <c r="I265" i="3"/>
  <c r="E264" i="3"/>
  <c r="K264" i="3" s="1"/>
  <c r="E263" i="3"/>
  <c r="K263" i="3" s="1"/>
  <c r="I263" i="3"/>
  <c r="E262" i="3"/>
  <c r="K262" i="3"/>
  <c r="E261" i="3"/>
  <c r="K261" i="3" s="1"/>
  <c r="I261" i="3"/>
  <c r="E260" i="3"/>
  <c r="K260" i="3" s="1"/>
  <c r="E258" i="3"/>
  <c r="K258" i="3" s="1"/>
  <c r="I258" i="3"/>
  <c r="E257" i="3"/>
  <c r="K257" i="3" s="1"/>
  <c r="E256" i="3"/>
  <c r="K256" i="3" s="1"/>
  <c r="I256" i="3"/>
  <c r="E255" i="3"/>
  <c r="K255" i="3" s="1"/>
  <c r="E254" i="3"/>
  <c r="K254" i="3" s="1"/>
  <c r="I254" i="3"/>
  <c r="E253" i="3"/>
  <c r="K253" i="3" s="1"/>
  <c r="E252" i="3"/>
  <c r="K252" i="3" s="1"/>
  <c r="I252" i="3"/>
  <c r="E251" i="3"/>
  <c r="K251" i="3" s="1"/>
  <c r="E250" i="3"/>
  <c r="K250" i="3" s="1"/>
  <c r="I250" i="3"/>
  <c r="E249" i="3"/>
  <c r="K249" i="3" s="1"/>
  <c r="E248" i="3"/>
  <c r="K248" i="3" s="1"/>
  <c r="I248" i="3"/>
  <c r="E246" i="3"/>
  <c r="K246" i="3" s="1"/>
  <c r="E245" i="3"/>
  <c r="K245" i="3" s="1"/>
  <c r="I245" i="3"/>
  <c r="E244" i="3"/>
  <c r="K244" i="3"/>
  <c r="E243" i="3"/>
  <c r="I243" i="3"/>
  <c r="M239" i="3"/>
  <c r="G239" i="3"/>
  <c r="I235" i="3"/>
  <c r="I234" i="3"/>
  <c r="C237" i="3"/>
  <c r="I230" i="3"/>
  <c r="K228" i="3"/>
  <c r="I228" i="3"/>
  <c r="M225" i="3"/>
  <c r="G225" i="3"/>
  <c r="C208" i="3"/>
  <c r="C207" i="3"/>
  <c r="I207" i="3" s="1"/>
  <c r="I220" i="3"/>
  <c r="C223" i="3"/>
  <c r="I216" i="3"/>
  <c r="K214" i="3"/>
  <c r="I214" i="3"/>
  <c r="G211" i="3"/>
  <c r="I210" i="3"/>
  <c r="K210" i="3" s="1"/>
  <c r="K208" i="3"/>
  <c r="I208" i="3"/>
  <c r="E208" i="3"/>
  <c r="C206" i="3"/>
  <c r="I206" i="3" s="1"/>
  <c r="C204" i="3"/>
  <c r="I204" i="3"/>
  <c r="C202" i="3"/>
  <c r="I202" i="3" s="1"/>
  <c r="E200" i="3"/>
  <c r="K200" i="3"/>
  <c r="C200" i="3"/>
  <c r="I200" i="3" s="1"/>
  <c r="I196" i="3"/>
  <c r="K196" i="3" s="1"/>
  <c r="I193" i="3"/>
  <c r="C190" i="3"/>
  <c r="C195" i="3" s="1"/>
  <c r="I191" i="3"/>
  <c r="I188" i="3"/>
  <c r="E193" i="3"/>
  <c r="K193" i="3" s="1"/>
  <c r="I186" i="3"/>
  <c r="I182" i="3"/>
  <c r="K182" i="3" s="1"/>
  <c r="I179" i="3"/>
  <c r="C176" i="3"/>
  <c r="C181" i="3" s="1"/>
  <c r="I177" i="3"/>
  <c r="I174" i="3"/>
  <c r="E179" i="3"/>
  <c r="K179" i="3" s="1"/>
  <c r="I172" i="3"/>
  <c r="M169" i="3"/>
  <c r="M183" i="3"/>
  <c r="M197" i="3" s="1"/>
  <c r="G197" i="3" s="1"/>
  <c r="I165" i="3"/>
  <c r="C162" i="3"/>
  <c r="C167" i="3" s="1"/>
  <c r="I163" i="3"/>
  <c r="E162" i="3"/>
  <c r="I160" i="3"/>
  <c r="E165" i="3"/>
  <c r="K165" i="3"/>
  <c r="I158" i="3"/>
  <c r="M155" i="3"/>
  <c r="G155" i="3" s="1"/>
  <c r="I151" i="3"/>
  <c r="C148" i="3"/>
  <c r="C153" i="3" s="1"/>
  <c r="I149" i="3"/>
  <c r="E148" i="3"/>
  <c r="I146" i="3"/>
  <c r="E151" i="3"/>
  <c r="I144" i="3"/>
  <c r="I153" i="3" s="1"/>
  <c r="M141" i="3"/>
  <c r="G141" i="3"/>
  <c r="I137" i="3"/>
  <c r="C134" i="3"/>
  <c r="C139" i="3"/>
  <c r="C119" i="3"/>
  <c r="I119" i="3" s="1"/>
  <c r="I132" i="3"/>
  <c r="C117" i="3"/>
  <c r="I117" i="3" s="1"/>
  <c r="E137" i="3"/>
  <c r="I130" i="3"/>
  <c r="G127" i="3"/>
  <c r="I126" i="3"/>
  <c r="K126" i="3" s="1"/>
  <c r="I124" i="3"/>
  <c r="E124" i="3"/>
  <c r="C124" i="3"/>
  <c r="C123" i="3"/>
  <c r="I123" i="3" s="1"/>
  <c r="C122" i="3"/>
  <c r="I122" i="3" s="1"/>
  <c r="C121" i="3"/>
  <c r="I121" i="3" s="1"/>
  <c r="C118" i="3"/>
  <c r="I118" i="3" s="1"/>
  <c r="C116" i="3"/>
  <c r="I116" i="3" s="1"/>
  <c r="G113" i="3"/>
  <c r="I109" i="3"/>
  <c r="I108" i="3"/>
  <c r="C106" i="3"/>
  <c r="E107" i="3"/>
  <c r="K107" i="3" s="1"/>
  <c r="I105" i="3"/>
  <c r="E104" i="3"/>
  <c r="K104" i="3" s="1"/>
  <c r="I104" i="3"/>
  <c r="I103" i="3"/>
  <c r="I102" i="3"/>
  <c r="G99" i="3"/>
  <c r="I95" i="3"/>
  <c r="I94" i="3"/>
  <c r="E93" i="3"/>
  <c r="K93" i="3" s="1"/>
  <c r="I93" i="3"/>
  <c r="E92" i="3"/>
  <c r="K92" i="3" s="1"/>
  <c r="I92" i="3"/>
  <c r="E91" i="3"/>
  <c r="K91" i="3" s="1"/>
  <c r="I91" i="3"/>
  <c r="E90" i="3"/>
  <c r="K90" i="3" s="1"/>
  <c r="I90" i="3"/>
  <c r="I89" i="3"/>
  <c r="I88" i="3"/>
  <c r="M87" i="3"/>
  <c r="I87" i="3"/>
  <c r="G84" i="3"/>
  <c r="I83" i="3"/>
  <c r="K83" i="3" s="1"/>
  <c r="I110" i="3"/>
  <c r="I80" i="3"/>
  <c r="E80" i="3"/>
  <c r="O80" i="3"/>
  <c r="E79" i="3"/>
  <c r="O79" i="3"/>
  <c r="I79" i="3"/>
  <c r="I78" i="3"/>
  <c r="I77" i="3"/>
  <c r="O76" i="3"/>
  <c r="K76" i="3"/>
  <c r="E87" i="3"/>
  <c r="E95" i="3" s="1"/>
  <c r="K95" i="3" s="1"/>
  <c r="M73" i="3"/>
  <c r="I72" i="3"/>
  <c r="K72" i="3" s="1"/>
  <c r="C65" i="3"/>
  <c r="C71" i="3" s="1"/>
  <c r="E66" i="3" s="1"/>
  <c r="I64" i="3"/>
  <c r="I63" i="3"/>
  <c r="I62" i="3"/>
  <c r="I61" i="3"/>
  <c r="I60" i="3"/>
  <c r="I59" i="3"/>
  <c r="I58" i="3"/>
  <c r="T57" i="3"/>
  <c r="I57" i="3"/>
  <c r="T56" i="3"/>
  <c r="I56" i="3"/>
  <c r="M55" i="3"/>
  <c r="M54" i="3"/>
  <c r="M53" i="3"/>
  <c r="T53" i="3"/>
  <c r="I53" i="3"/>
  <c r="G50" i="3"/>
  <c r="I49" i="3"/>
  <c r="K49" i="3" s="1"/>
  <c r="C42" i="3"/>
  <c r="I41" i="3"/>
  <c r="K40" i="3"/>
  <c r="I40" i="3"/>
  <c r="I39" i="3"/>
  <c r="I38" i="3"/>
  <c r="I37" i="3"/>
  <c r="I48" i="3" s="1"/>
  <c r="I36" i="3"/>
  <c r="M34" i="3"/>
  <c r="M33" i="3"/>
  <c r="C33" i="3"/>
  <c r="E33" i="3" s="1"/>
  <c r="M32" i="3"/>
  <c r="T32" i="3" s="1"/>
  <c r="K41" i="3"/>
  <c r="G29" i="3"/>
  <c r="Z19" i="4" s="1"/>
  <c r="Z25" i="4" s="1"/>
  <c r="AA25" i="4" s="1"/>
  <c r="I28" i="3"/>
  <c r="K28" i="3" s="1"/>
  <c r="C21" i="3"/>
  <c r="C27" i="3" s="1"/>
  <c r="M20" i="3"/>
  <c r="M41" i="3"/>
  <c r="T41" i="3" s="1"/>
  <c r="I20" i="3"/>
  <c r="M19" i="3"/>
  <c r="M40" i="3" s="1"/>
  <c r="T40" i="3" s="1"/>
  <c r="I19" i="3"/>
  <c r="M18" i="3"/>
  <c r="I18" i="3"/>
  <c r="I17" i="3"/>
  <c r="I16" i="3"/>
  <c r="I15" i="3"/>
  <c r="T11" i="3"/>
  <c r="O50" i="2"/>
  <c r="Q50" i="2" s="1"/>
  <c r="S50" i="2" s="1"/>
  <c r="K49" i="2"/>
  <c r="K48" i="2"/>
  <c r="K46" i="2"/>
  <c r="I46" i="2"/>
  <c r="I45" i="2"/>
  <c r="K44" i="2"/>
  <c r="I44" i="2"/>
  <c r="I43" i="2"/>
  <c r="K42" i="2"/>
  <c r="K37" i="2"/>
  <c r="K36" i="2"/>
  <c r="K34" i="2"/>
  <c r="K33" i="2"/>
  <c r="K31" i="2"/>
  <c r="K26" i="2"/>
  <c r="I27" i="2"/>
  <c r="K22" i="2"/>
  <c r="O17" i="2"/>
  <c r="Q17" i="2" s="1"/>
  <c r="S17" i="2" s="1"/>
  <c r="K16" i="2"/>
  <c r="AA16" i="2" s="1"/>
  <c r="I18" i="2"/>
  <c r="A16" i="2"/>
  <c r="K15" i="2"/>
  <c r="AA15" i="2" s="1"/>
  <c r="E12" i="2"/>
  <c r="Q58" i="1"/>
  <c r="Q50" i="1"/>
  <c r="X50" i="1" s="1"/>
  <c r="K49" i="1"/>
  <c r="K48" i="1"/>
  <c r="K46" i="1"/>
  <c r="K44" i="1"/>
  <c r="S42" i="1"/>
  <c r="I47" i="1"/>
  <c r="P39" i="1"/>
  <c r="P40" i="1" s="1"/>
  <c r="N39" i="1"/>
  <c r="N40" i="1" s="1"/>
  <c r="L39" i="1"/>
  <c r="L40" i="1" s="1"/>
  <c r="J39" i="1"/>
  <c r="J40" i="1" s="1"/>
  <c r="Q38" i="1"/>
  <c r="K37" i="1"/>
  <c r="K36" i="1"/>
  <c r="K34" i="1"/>
  <c r="K33" i="1"/>
  <c r="K31" i="1"/>
  <c r="K26" i="1"/>
  <c r="K25" i="1"/>
  <c r="I27" i="1"/>
  <c r="K22" i="1"/>
  <c r="Q17" i="1"/>
  <c r="K16" i="1"/>
  <c r="A16" i="1"/>
  <c r="K15" i="1"/>
  <c r="I18" i="1"/>
  <c r="E12" i="1"/>
  <c r="G12" i="1" s="1"/>
  <c r="W33" i="5"/>
  <c r="C120" i="3"/>
  <c r="T19" i="3"/>
  <c r="G169" i="3"/>
  <c r="M673" i="3"/>
  <c r="E809" i="3"/>
  <c r="M643" i="3"/>
  <c r="M658" i="3"/>
  <c r="O658" i="3" s="1"/>
  <c r="O19" i="3"/>
  <c r="K19" i="3"/>
  <c r="K87" i="3"/>
  <c r="O17" i="1"/>
  <c r="W17" i="1" s="1"/>
  <c r="X17" i="1"/>
  <c r="I51" i="1"/>
  <c r="K137" i="3"/>
  <c r="E135" i="3"/>
  <c r="E132" i="3"/>
  <c r="E344" i="3"/>
  <c r="E342" i="3"/>
  <c r="E340" i="3"/>
  <c r="K437" i="3"/>
  <c r="K439" i="3"/>
  <c r="K445" i="3"/>
  <c r="K456" i="3"/>
  <c r="K460" i="3"/>
  <c r="I23" i="1"/>
  <c r="O50" i="1"/>
  <c r="W50" i="1"/>
  <c r="G12" i="2"/>
  <c r="I23" i="2"/>
  <c r="O38" i="2"/>
  <c r="Q38" i="2" s="1"/>
  <c r="S38" i="2" s="1"/>
  <c r="K20" i="3"/>
  <c r="T20" i="3"/>
  <c r="I32" i="3"/>
  <c r="K63" i="3"/>
  <c r="M63" i="3"/>
  <c r="I76" i="3"/>
  <c r="K79" i="3"/>
  <c r="C82" i="3"/>
  <c r="E77" i="3"/>
  <c r="C97" i="3"/>
  <c r="E111" i="3"/>
  <c r="E108" i="3" s="1"/>
  <c r="K64" i="3"/>
  <c r="C54" i="3"/>
  <c r="G73" i="3"/>
  <c r="G183" i="3"/>
  <c r="G375" i="3"/>
  <c r="E370" i="3"/>
  <c r="K399" i="3"/>
  <c r="K438" i="3"/>
  <c r="K440" i="3"/>
  <c r="K443" i="3"/>
  <c r="K453" i="3"/>
  <c r="K458" i="3"/>
  <c r="K465" i="3"/>
  <c r="K472" i="3"/>
  <c r="K477" i="3"/>
  <c r="A17" i="1"/>
  <c r="A18" i="1" s="1"/>
  <c r="I12" i="2"/>
  <c r="I11" i="3"/>
  <c r="C12" i="3"/>
  <c r="I14" i="3"/>
  <c r="C48" i="3"/>
  <c r="E36" i="3" s="1"/>
  <c r="K36" i="3" s="1"/>
  <c r="I35" i="3"/>
  <c r="O40" i="3"/>
  <c r="O41" i="3"/>
  <c r="E44" i="3"/>
  <c r="M64" i="3"/>
  <c r="E78" i="3"/>
  <c r="O78" i="3" s="1"/>
  <c r="K80" i="3"/>
  <c r="K602" i="3"/>
  <c r="K609" i="3"/>
  <c r="E637" i="3"/>
  <c r="K641" i="3"/>
  <c r="K130" i="3"/>
  <c r="I131" i="3"/>
  <c r="I133" i="3"/>
  <c r="I136" i="3"/>
  <c r="K144" i="3"/>
  <c r="I145" i="3"/>
  <c r="I147" i="3"/>
  <c r="I150" i="3"/>
  <c r="K158" i="3"/>
  <c r="I159" i="3"/>
  <c r="I161" i="3"/>
  <c r="I167" i="3" s="1"/>
  <c r="I164" i="3"/>
  <c r="K172" i="3"/>
  <c r="I173" i="3"/>
  <c r="I175" i="3"/>
  <c r="I178" i="3"/>
  <c r="K186" i="3"/>
  <c r="I187" i="3"/>
  <c r="I189" i="3"/>
  <c r="I195" i="3" s="1"/>
  <c r="I192" i="3"/>
  <c r="I215" i="3"/>
  <c r="I217" i="3"/>
  <c r="I219" i="3"/>
  <c r="I221" i="3"/>
  <c r="I229" i="3"/>
  <c r="I231" i="3"/>
  <c r="I233" i="3"/>
  <c r="K243" i="3"/>
  <c r="I244" i="3"/>
  <c r="I246" i="3"/>
  <c r="I249" i="3"/>
  <c r="I251" i="3"/>
  <c r="I253" i="3"/>
  <c r="I255" i="3"/>
  <c r="I257" i="3"/>
  <c r="I260" i="3"/>
  <c r="I262" i="3"/>
  <c r="I264" i="3"/>
  <c r="I267" i="3"/>
  <c r="I269" i="3"/>
  <c r="I271" i="3"/>
  <c r="I272" i="3"/>
  <c r="I273" i="3"/>
  <c r="I274" i="3"/>
  <c r="C275" i="3"/>
  <c r="I298" i="3"/>
  <c r="I300" i="3"/>
  <c r="I302" i="3"/>
  <c r="I304" i="3"/>
  <c r="I307" i="3" s="1"/>
  <c r="C307" i="3"/>
  <c r="I314" i="3"/>
  <c r="I316" i="3"/>
  <c r="I318" i="3"/>
  <c r="C321" i="3"/>
  <c r="E314" i="3"/>
  <c r="K314" i="3" s="1"/>
  <c r="I341" i="3"/>
  <c r="I343" i="3"/>
  <c r="K352" i="3"/>
  <c r="I353" i="3"/>
  <c r="I355" i="3"/>
  <c r="I357" i="3"/>
  <c r="C360" i="3"/>
  <c r="I367" i="3"/>
  <c r="I369" i="3"/>
  <c r="I380" i="3"/>
  <c r="I381" i="3"/>
  <c r="I391" i="3"/>
  <c r="C394" i="3"/>
  <c r="I399" i="3"/>
  <c r="I401" i="3"/>
  <c r="I403" i="3"/>
  <c r="I405" i="3"/>
  <c r="I420" i="3"/>
  <c r="I422" i="3"/>
  <c r="C424" i="3"/>
  <c r="C430" i="3" s="1"/>
  <c r="I427" i="3"/>
  <c r="I436" i="3"/>
  <c r="I437" i="3"/>
  <c r="I438" i="3"/>
  <c r="I439" i="3"/>
  <c r="I440" i="3"/>
  <c r="I441" i="3"/>
  <c r="K442" i="3"/>
  <c r="I443" i="3"/>
  <c r="K444" i="3"/>
  <c r="I445" i="3"/>
  <c r="I447" i="3"/>
  <c r="K449" i="3"/>
  <c r="K450" i="3"/>
  <c r="I453" i="3"/>
  <c r="K454" i="3"/>
  <c r="K455" i="3"/>
  <c r="I456" i="3"/>
  <c r="K457" i="3"/>
  <c r="I458" i="3"/>
  <c r="K459" i="3"/>
  <c r="I460" i="3"/>
  <c r="I465" i="3"/>
  <c r="K466" i="3"/>
  <c r="I468" i="3"/>
  <c r="K471" i="3"/>
  <c r="I472" i="3"/>
  <c r="I474" i="3"/>
  <c r="I477" i="3"/>
  <c r="K479" i="3"/>
  <c r="C480" i="3"/>
  <c r="I491" i="3"/>
  <c r="I492" i="3"/>
  <c r="I493" i="3"/>
  <c r="I494" i="3"/>
  <c r="E666" i="3"/>
  <c r="K666" i="3" s="1"/>
  <c r="E668" i="3"/>
  <c r="K668" i="3" s="1"/>
  <c r="E670" i="3"/>
  <c r="K670" i="3" s="1"/>
  <c r="O673" i="3"/>
  <c r="V15" i="6"/>
  <c r="E671" i="3"/>
  <c r="K671" i="3" s="1"/>
  <c r="E669" i="3"/>
  <c r="E667" i="3"/>
  <c r="K667" i="3"/>
  <c r="E103" i="3"/>
  <c r="K103" i="3" s="1"/>
  <c r="E105" i="3"/>
  <c r="K105" i="3" s="1"/>
  <c r="I107" i="3"/>
  <c r="E116" i="3"/>
  <c r="K116" i="3" s="1"/>
  <c r="E125" i="3"/>
  <c r="K20" i="1" s="1"/>
  <c r="E131" i="3"/>
  <c r="E133" i="3"/>
  <c r="I135" i="3"/>
  <c r="C201" i="3"/>
  <c r="I201" i="3" s="1"/>
  <c r="C203" i="3"/>
  <c r="I203" i="3" s="1"/>
  <c r="C205" i="3"/>
  <c r="I205" i="3" s="1"/>
  <c r="E209" i="3"/>
  <c r="K21" i="2" s="1"/>
  <c r="I218" i="3"/>
  <c r="I232" i="3"/>
  <c r="E343" i="3"/>
  <c r="E345" i="3" s="1"/>
  <c r="G362" i="3"/>
  <c r="G396" i="3"/>
  <c r="I409" i="3"/>
  <c r="C428" i="3"/>
  <c r="K448" i="3"/>
  <c r="K461" i="3"/>
  <c r="K470" i="3"/>
  <c r="C504" i="3"/>
  <c r="I779" i="3"/>
  <c r="I530" i="3"/>
  <c r="I534" i="3"/>
  <c r="I559" i="3"/>
  <c r="I570" i="3" s="1"/>
  <c r="I572" i="3" s="1"/>
  <c r="I566" i="3"/>
  <c r="K583" i="3"/>
  <c r="K584" i="3"/>
  <c r="K585" i="3"/>
  <c r="K586" i="3"/>
  <c r="I594" i="3"/>
  <c r="I596" i="3" s="1"/>
  <c r="I602" i="3"/>
  <c r="I607" i="3" s="1"/>
  <c r="I604" i="3"/>
  <c r="C607" i="3"/>
  <c r="C615" i="3" s="1"/>
  <c r="E607" i="3" s="1"/>
  <c r="K620" i="3"/>
  <c r="K635" i="3"/>
  <c r="K639" i="3"/>
  <c r="I640" i="3"/>
  <c r="T643" i="3"/>
  <c r="K650" i="3"/>
  <c r="O650" i="3"/>
  <c r="I651" i="3"/>
  <c r="I653" i="3"/>
  <c r="I655" i="3"/>
  <c r="K665" i="3"/>
  <c r="I666" i="3"/>
  <c r="I668" i="3"/>
  <c r="I670" i="3"/>
  <c r="T673" i="3"/>
  <c r="I688" i="3"/>
  <c r="I691" i="3"/>
  <c r="I693" i="3"/>
  <c r="I715" i="3"/>
  <c r="I717" i="3"/>
  <c r="I719" i="3"/>
  <c r="K828" i="3"/>
  <c r="O828" i="3"/>
  <c r="K835" i="3"/>
  <c r="O835" i="3"/>
  <c r="K836" i="3"/>
  <c r="O836" i="3"/>
  <c r="O845" i="3"/>
  <c r="E570" i="3"/>
  <c r="K593" i="3"/>
  <c r="K594" i="3"/>
  <c r="E630" i="3"/>
  <c r="K32" i="1" s="1"/>
  <c r="E636" i="3"/>
  <c r="E638" i="3"/>
  <c r="K638" i="3" s="1"/>
  <c r="I639" i="3"/>
  <c r="I645" i="3" s="1"/>
  <c r="E640" i="3"/>
  <c r="I654" i="3"/>
  <c r="I669" i="3"/>
  <c r="K681" i="3"/>
  <c r="K688" i="3"/>
  <c r="K809" i="3"/>
  <c r="I828" i="3"/>
  <c r="I832" i="3"/>
  <c r="E829" i="3"/>
  <c r="I835" i="3"/>
  <c r="I836" i="3"/>
  <c r="I838" i="3" s="1"/>
  <c r="I842" i="3" s="1"/>
  <c r="I837" i="3"/>
  <c r="C838" i="3"/>
  <c r="I852" i="3"/>
  <c r="K795" i="3"/>
  <c r="O829" i="3"/>
  <c r="K829" i="3"/>
  <c r="K32" i="2"/>
  <c r="K133" i="3"/>
  <c r="K78" i="3"/>
  <c r="O64" i="3"/>
  <c r="T64" i="3"/>
  <c r="E45" i="3"/>
  <c r="E38" i="3"/>
  <c r="K18" i="3"/>
  <c r="K342" i="3"/>
  <c r="K135" i="3"/>
  <c r="E12" i="3"/>
  <c r="O12" i="3" s="1"/>
  <c r="E318" i="3"/>
  <c r="K318" i="3"/>
  <c r="O20" i="3"/>
  <c r="K636" i="3"/>
  <c r="E560" i="3"/>
  <c r="K560" i="3" s="1"/>
  <c r="R209" i="3"/>
  <c r="K21" i="1"/>
  <c r="K131" i="3"/>
  <c r="K417" i="3"/>
  <c r="K400" i="3"/>
  <c r="I28" i="2"/>
  <c r="I28" i="1"/>
  <c r="C334" i="3"/>
  <c r="E354" i="3"/>
  <c r="E317" i="3"/>
  <c r="E319" i="3" s="1"/>
  <c r="K319" i="3" s="1"/>
  <c r="E315" i="3"/>
  <c r="K315" i="3" s="1"/>
  <c r="E313" i="3"/>
  <c r="K637" i="3"/>
  <c r="K62" i="3"/>
  <c r="K340" i="3"/>
  <c r="K344" i="3"/>
  <c r="K39" i="3"/>
  <c r="E563" i="3"/>
  <c r="K563" i="3" s="1"/>
  <c r="E401" i="3"/>
  <c r="K401" i="3"/>
  <c r="E408" i="3"/>
  <c r="K408" i="3" s="1"/>
  <c r="K418" i="3"/>
  <c r="E54" i="3"/>
  <c r="E357" i="3"/>
  <c r="K357" i="3" s="1"/>
  <c r="E316" i="3"/>
  <c r="C110" i="3"/>
  <c r="C111" i="3" s="1"/>
  <c r="R70" i="3"/>
  <c r="K53" i="3"/>
  <c r="O53" i="3"/>
  <c r="K317" i="3"/>
  <c r="C412" i="3"/>
  <c r="O11" i="3"/>
  <c r="R24" i="3"/>
  <c r="K11" i="3"/>
  <c r="I29" i="2"/>
  <c r="E419" i="3"/>
  <c r="K419" i="3" s="1"/>
  <c r="E604" i="3"/>
  <c r="K604" i="3" s="1"/>
  <c r="R44" i="3"/>
  <c r="O32" i="3"/>
  <c r="K32" i="3"/>
  <c r="K354" i="3"/>
  <c r="I29" i="1"/>
  <c r="E426" i="3"/>
  <c r="K426" i="3" s="1"/>
  <c r="K28" i="1"/>
  <c r="K28" i="2"/>
  <c r="E854" i="3"/>
  <c r="E856" i="3" s="1"/>
  <c r="K29" i="1"/>
  <c r="K29" i="2"/>
  <c r="E22" i="3"/>
  <c r="E16" i="3"/>
  <c r="K16" i="3"/>
  <c r="E15" i="3"/>
  <c r="E23" i="3"/>
  <c r="E14" i="3"/>
  <c r="K14" i="3" s="1"/>
  <c r="E24" i="3"/>
  <c r="E17" i="3"/>
  <c r="K17" i="3" s="1"/>
  <c r="E159" i="3"/>
  <c r="E161" i="3"/>
  <c r="E163" i="3"/>
  <c r="E160" i="3"/>
  <c r="K160" i="3" s="1"/>
  <c r="E173" i="3"/>
  <c r="K173" i="3" s="1"/>
  <c r="E177" i="3"/>
  <c r="K177" i="3" s="1"/>
  <c r="E175" i="3"/>
  <c r="K175" i="3" s="1"/>
  <c r="E174" i="3"/>
  <c r="K174" i="3"/>
  <c r="E187" i="3"/>
  <c r="K187" i="3" s="1"/>
  <c r="E188" i="3"/>
  <c r="K188" i="3" s="1"/>
  <c r="E189" i="3"/>
  <c r="K189" i="3" s="1"/>
  <c r="E191" i="3"/>
  <c r="K191" i="3" s="1"/>
  <c r="K21" i="14"/>
  <c r="E818" i="3"/>
  <c r="I22" i="13"/>
  <c r="L29" i="14"/>
  <c r="F13" i="25" s="1"/>
  <c r="C44" i="12"/>
  <c r="D21" i="12"/>
  <c r="H26" i="14"/>
  <c r="K33" i="14"/>
  <c r="L28" i="14"/>
  <c r="F12" i="25" s="1"/>
  <c r="K159" i="3"/>
  <c r="H24" i="14"/>
  <c r="K818" i="3"/>
  <c r="K161" i="3"/>
  <c r="K26" i="14"/>
  <c r="I12" i="1"/>
  <c r="K12" i="1" s="1"/>
  <c r="M12" i="1" s="1"/>
  <c r="E539" i="3"/>
  <c r="E535" i="3"/>
  <c r="K535" i="3" s="1"/>
  <c r="E527" i="3"/>
  <c r="K527" i="3" s="1"/>
  <c r="E529" i="3"/>
  <c r="E507" i="3"/>
  <c r="K507" i="3" s="1"/>
  <c r="E534" i="3"/>
  <c r="E512" i="3"/>
  <c r="K512" i="3" s="1"/>
  <c r="E533" i="3"/>
  <c r="K533" i="3" s="1"/>
  <c r="E540" i="3"/>
  <c r="K540" i="3" s="1"/>
  <c r="E542" i="3"/>
  <c r="K542" i="3" s="1"/>
  <c r="E521" i="3"/>
  <c r="E511" i="3"/>
  <c r="K511" i="3" s="1"/>
  <c r="E526" i="3"/>
  <c r="K526" i="3" s="1"/>
  <c r="E530" i="3"/>
  <c r="K530" i="3" s="1"/>
  <c r="E525" i="3"/>
  <c r="K525" i="3" s="1"/>
  <c r="E543" i="3"/>
  <c r="K543" i="3" s="1"/>
  <c r="A17" i="7"/>
  <c r="A15" i="7"/>
  <c r="A24" i="7"/>
  <c r="A27" i="7" s="1"/>
  <c r="C53" i="7"/>
  <c r="A14" i="8"/>
  <c r="A17" i="8" s="1"/>
  <c r="A35" i="8"/>
  <c r="A37" i="8"/>
  <c r="C43" i="8"/>
  <c r="I757" i="3"/>
  <c r="I783" i="3" s="1"/>
  <c r="A27" i="8"/>
  <c r="A25" i="8"/>
  <c r="A28" i="8" s="1"/>
  <c r="A45" i="8"/>
  <c r="C53" i="8"/>
  <c r="K28" i="14"/>
  <c r="A38" i="8"/>
  <c r="A36" i="8"/>
  <c r="A39" i="8" s="1"/>
  <c r="A15" i="8"/>
  <c r="K521" i="3"/>
  <c r="K529" i="3"/>
  <c r="K539" i="3"/>
  <c r="A25" i="7"/>
  <c r="A26" i="7" s="1"/>
  <c r="K534" i="3"/>
  <c r="E559" i="3" l="1"/>
  <c r="K559" i="3" s="1"/>
  <c r="E556" i="3"/>
  <c r="K556" i="3" s="1"/>
  <c r="E553" i="3"/>
  <c r="K553" i="3" s="1"/>
  <c r="E566" i="3"/>
  <c r="K566" i="3" s="1"/>
  <c r="E550" i="3"/>
  <c r="K550" i="3" s="1"/>
  <c r="E564" i="3"/>
  <c r="K564" i="3" s="1"/>
  <c r="E569" i="3"/>
  <c r="K569" i="3" s="1"/>
  <c r="E558" i="3"/>
  <c r="K558" i="3" s="1"/>
  <c r="E567" i="3"/>
  <c r="K567" i="3" s="1"/>
  <c r="X38" i="1"/>
  <c r="O38" i="1"/>
  <c r="W38" i="1" s="1"/>
  <c r="I237" i="3"/>
  <c r="E552" i="3"/>
  <c r="K552" i="3" s="1"/>
  <c r="E134" i="3"/>
  <c r="E120" i="3" s="1"/>
  <c r="E234" i="3"/>
  <c r="K234" i="3" s="1"/>
  <c r="E229" i="3"/>
  <c r="E230" i="3"/>
  <c r="K230" i="3" s="1"/>
  <c r="E232" i="3"/>
  <c r="E402" i="3"/>
  <c r="K402" i="3" s="1"/>
  <c r="E403" i="3"/>
  <c r="K403" i="3" s="1"/>
  <c r="K132" i="3"/>
  <c r="I384" i="3"/>
  <c r="K151" i="3"/>
  <c r="E123" i="3"/>
  <c r="K123" i="3" s="1"/>
  <c r="E561" i="3"/>
  <c r="K561" i="3" s="1"/>
  <c r="I71" i="3"/>
  <c r="K45" i="2"/>
  <c r="K45" i="1"/>
  <c r="K47" i="1" s="1"/>
  <c r="K51" i="1" s="1"/>
  <c r="T665" i="3"/>
  <c r="O665" i="3"/>
  <c r="I755" i="3"/>
  <c r="I781" i="3" s="1"/>
  <c r="A48" i="8"/>
  <c r="A46" i="8"/>
  <c r="A49" i="8" s="1"/>
  <c r="T658" i="3"/>
  <c r="I181" i="3"/>
  <c r="T635" i="3"/>
  <c r="O635" i="3"/>
  <c r="E60" i="3"/>
  <c r="K60" i="3" s="1"/>
  <c r="I704" i="3"/>
  <c r="I321" i="3"/>
  <c r="E549" i="3"/>
  <c r="K549" i="3" s="1"/>
  <c r="K343" i="3"/>
  <c r="E106" i="3"/>
  <c r="K108" i="3"/>
  <c r="K12" i="2"/>
  <c r="O33" i="3"/>
  <c r="E34" i="3"/>
  <c r="O34" i="3" s="1"/>
  <c r="E145" i="3"/>
  <c r="E147" i="3"/>
  <c r="E149" i="3"/>
  <c r="E146" i="3"/>
  <c r="K146" i="3" s="1"/>
  <c r="C125" i="3"/>
  <c r="C854" i="3" s="1"/>
  <c r="C856" i="3" s="1"/>
  <c r="O848" i="3"/>
  <c r="O852" i="3" s="1"/>
  <c r="K852" i="3"/>
  <c r="E218" i="3"/>
  <c r="E216" i="3"/>
  <c r="E217" i="3"/>
  <c r="E215" i="3"/>
  <c r="K215" i="3" s="1"/>
  <c r="C209" i="3"/>
  <c r="E219" i="3"/>
  <c r="K219" i="3" s="1"/>
  <c r="E562" i="3"/>
  <c r="K562" i="3" s="1"/>
  <c r="E642" i="3"/>
  <c r="K642" i="3" s="1"/>
  <c r="K645" i="3" s="1"/>
  <c r="K640" i="3"/>
  <c r="E302" i="3"/>
  <c r="K302" i="3" s="1"/>
  <c r="E300" i="3"/>
  <c r="C293" i="3"/>
  <c r="E303" i="3"/>
  <c r="E301" i="3"/>
  <c r="I139" i="3"/>
  <c r="A47" i="7"/>
  <c r="G47" i="7" s="1"/>
  <c r="A45" i="7"/>
  <c r="G45" i="7" s="1"/>
  <c r="E502" i="3"/>
  <c r="E190" i="3"/>
  <c r="E568" i="3"/>
  <c r="K568" i="3" s="1"/>
  <c r="E557" i="3"/>
  <c r="K557" i="3" s="1"/>
  <c r="E304" i="3"/>
  <c r="E299" i="3"/>
  <c r="K299" i="3" s="1"/>
  <c r="O795" i="3"/>
  <c r="O796" i="3" s="1"/>
  <c r="O35" i="2" s="1"/>
  <c r="K796" i="3"/>
  <c r="T18" i="3"/>
  <c r="AA17" i="4"/>
  <c r="AA23" i="4" s="1"/>
  <c r="M62" i="3"/>
  <c r="M39" i="3"/>
  <c r="E61" i="3"/>
  <c r="K61" i="3" s="1"/>
  <c r="E58" i="3"/>
  <c r="K58" i="3" s="1"/>
  <c r="E59" i="3"/>
  <c r="E57" i="3"/>
  <c r="E56" i="3"/>
  <c r="E67" i="3"/>
  <c r="K24" i="2"/>
  <c r="K24" i="1"/>
  <c r="K39" i="1" s="1"/>
  <c r="K40" i="1" s="1"/>
  <c r="K643" i="3"/>
  <c r="O643" i="3"/>
  <c r="E628" i="3"/>
  <c r="E655" i="3"/>
  <c r="K655" i="3" s="1"/>
  <c r="C630" i="3"/>
  <c r="E654" i="3"/>
  <c r="E653" i="3"/>
  <c r="K653" i="3" s="1"/>
  <c r="E656" i="3"/>
  <c r="E626" i="3" s="1"/>
  <c r="K626" i="3" s="1"/>
  <c r="E652" i="3"/>
  <c r="K652" i="3" s="1"/>
  <c r="E233" i="3"/>
  <c r="K233" i="3" s="1"/>
  <c r="O63" i="3"/>
  <c r="T63" i="3"/>
  <c r="M323" i="3"/>
  <c r="G323" i="3" s="1"/>
  <c r="G309" i="3"/>
  <c r="O838" i="3"/>
  <c r="O842" i="3" s="1"/>
  <c r="O48" i="2" s="1"/>
  <c r="U48" i="2" s="1"/>
  <c r="E231" i="3"/>
  <c r="K231" i="3" s="1"/>
  <c r="A16" i="8"/>
  <c r="A19" i="8" s="1"/>
  <c r="A18" i="8"/>
  <c r="E192" i="3"/>
  <c r="K192" i="3" s="1"/>
  <c r="E554" i="3"/>
  <c r="K554" i="3" s="1"/>
  <c r="E68" i="3"/>
  <c r="E328" i="3"/>
  <c r="K328" i="3" s="1"/>
  <c r="O18" i="3"/>
  <c r="E614" i="3"/>
  <c r="E605" i="3"/>
  <c r="K605" i="3" s="1"/>
  <c r="E603" i="3"/>
  <c r="K603" i="3" s="1"/>
  <c r="E220" i="3"/>
  <c r="K220" i="3" s="1"/>
  <c r="K43" i="1"/>
  <c r="I615" i="3"/>
  <c r="I660" i="3"/>
  <c r="I812" i="3"/>
  <c r="E838" i="3"/>
  <c r="O837" i="3"/>
  <c r="K837" i="3"/>
  <c r="E538" i="3"/>
  <c r="K538" i="3" s="1"/>
  <c r="E517" i="3"/>
  <c r="K517" i="3" s="1"/>
  <c r="E536" i="3"/>
  <c r="K536" i="3" s="1"/>
  <c r="E513" i="3"/>
  <c r="K513" i="3" s="1"/>
  <c r="E508" i="3"/>
  <c r="K508" i="3" s="1"/>
  <c r="K544" i="3" s="1"/>
  <c r="K546" i="3" s="1"/>
  <c r="R805" i="3"/>
  <c r="O54" i="3"/>
  <c r="E102" i="3"/>
  <c r="E811" i="3"/>
  <c r="K811" i="3" s="1"/>
  <c r="I97" i="3"/>
  <c r="AA25" i="13"/>
  <c r="U25" i="17" s="1"/>
  <c r="T25" i="17"/>
  <c r="A20" i="1"/>
  <c r="A21" i="1" s="1"/>
  <c r="A22" i="1" s="1"/>
  <c r="E520" i="3"/>
  <c r="K520" i="3" s="1"/>
  <c r="E524" i="3"/>
  <c r="K524" i="3" s="1"/>
  <c r="E528" i="3"/>
  <c r="K528" i="3" s="1"/>
  <c r="E514" i="3"/>
  <c r="K514" i="3" s="1"/>
  <c r="K195" i="3"/>
  <c r="K596" i="3"/>
  <c r="I73" i="3"/>
  <c r="I82" i="3"/>
  <c r="O87" i="3"/>
  <c r="E807" i="3"/>
  <c r="K807" i="3" s="1"/>
  <c r="K35" i="1"/>
  <c r="E787" i="3"/>
  <c r="C22" i="12"/>
  <c r="C23" i="12" s="1"/>
  <c r="C27" i="12" s="1"/>
  <c r="I410" i="3"/>
  <c r="E136" i="3"/>
  <c r="K136" i="3" s="1"/>
  <c r="A55" i="7"/>
  <c r="A56" i="7" s="1"/>
  <c r="A59" i="7" s="1"/>
  <c r="G59" i="7" s="1"/>
  <c r="A55" i="8"/>
  <c r="E515" i="3"/>
  <c r="K515" i="3" s="1"/>
  <c r="E531" i="3"/>
  <c r="K531" i="3" s="1"/>
  <c r="E523" i="3"/>
  <c r="K523" i="3" s="1"/>
  <c r="E519" i="3"/>
  <c r="K519" i="3" s="1"/>
  <c r="E121" i="3"/>
  <c r="K121" i="3" s="1"/>
  <c r="E35" i="3"/>
  <c r="K35" i="3" s="1"/>
  <c r="K830" i="3"/>
  <c r="K832" i="3" s="1"/>
  <c r="M49" i="1" s="1"/>
  <c r="Q49" i="1" s="1"/>
  <c r="X49" i="1" s="1"/>
  <c r="E381" i="3"/>
  <c r="I111" i="3"/>
  <c r="I428" i="3"/>
  <c r="I360" i="3"/>
  <c r="E366" i="3"/>
  <c r="K366" i="3" s="1"/>
  <c r="E806" i="3"/>
  <c r="K806" i="3" s="1"/>
  <c r="K787" i="3"/>
  <c r="O787" i="3" s="1"/>
  <c r="Y30" i="8"/>
  <c r="E623" i="3"/>
  <c r="K623" i="3" s="1"/>
  <c r="I347" i="3"/>
  <c r="E509" i="3"/>
  <c r="K509" i="3" s="1"/>
  <c r="E537" i="3"/>
  <c r="K537" i="3" s="1"/>
  <c r="E518" i="3"/>
  <c r="K518" i="3" s="1"/>
  <c r="E13" i="3"/>
  <c r="O13" i="3" s="1"/>
  <c r="E369" i="3"/>
  <c r="K369" i="3" s="1"/>
  <c r="I27" i="3"/>
  <c r="E275" i="3"/>
  <c r="E802" i="3"/>
  <c r="AA31" i="4"/>
  <c r="AA31" i="13"/>
  <c r="U30" i="17"/>
  <c r="U31" i="17" s="1"/>
  <c r="I211" i="3"/>
  <c r="I590" i="3"/>
  <c r="K27" i="2"/>
  <c r="G24" i="8"/>
  <c r="F29" i="9"/>
  <c r="G37" i="8"/>
  <c r="K23" i="1"/>
  <c r="E30" i="4"/>
  <c r="E12" i="5"/>
  <c r="L24" i="14"/>
  <c r="F7" i="25" s="1"/>
  <c r="G57" i="7"/>
  <c r="I336" i="3"/>
  <c r="I598" i="3"/>
  <c r="F16" i="9"/>
  <c r="I617" i="3"/>
  <c r="E17" i="4"/>
  <c r="I197" i="3"/>
  <c r="AA21" i="4"/>
  <c r="E18" i="4"/>
  <c r="AA15" i="13"/>
  <c r="U15" i="17" s="1"/>
  <c r="D7" i="25"/>
  <c r="F13" i="15"/>
  <c r="N13" i="15"/>
  <c r="Q12" i="13"/>
  <c r="P8" i="15" s="1"/>
  <c r="Q14" i="13"/>
  <c r="Q16" i="13"/>
  <c r="P12" i="15" s="1"/>
  <c r="Q18" i="13"/>
  <c r="P29" i="15" s="1"/>
  <c r="Q21" i="13"/>
  <c r="P14" i="15" s="1"/>
  <c r="Q23" i="13"/>
  <c r="Q25" i="13"/>
  <c r="P18" i="15" s="1"/>
  <c r="Q27" i="13"/>
  <c r="Q29" i="13"/>
  <c r="AE30" i="13" s="1"/>
  <c r="Q31" i="13"/>
  <c r="K31" i="17" s="1"/>
  <c r="Y33" i="17" s="1"/>
  <c r="Q11" i="13"/>
  <c r="AE11" i="13" s="1"/>
  <c r="Q30" i="13"/>
  <c r="AE32" i="13" s="1"/>
  <c r="Q13" i="13"/>
  <c r="Q15" i="13"/>
  <c r="K15" i="17" s="1"/>
  <c r="Y15" i="17" s="1"/>
  <c r="Q17" i="13"/>
  <c r="P28" i="15" s="1"/>
  <c r="Q19" i="13"/>
  <c r="P13" i="15" s="1"/>
  <c r="Q22" i="13"/>
  <c r="K22" i="17" s="1"/>
  <c r="Y22" i="17" s="1"/>
  <c r="Q24" i="13"/>
  <c r="AE24" i="13" s="1"/>
  <c r="Q26" i="13"/>
  <c r="Q28" i="13"/>
  <c r="P21" i="15" s="1"/>
  <c r="Q32" i="13"/>
  <c r="AE34" i="13" s="1"/>
  <c r="I18" i="13"/>
  <c r="S13" i="13"/>
  <c r="S15" i="13"/>
  <c r="S17" i="13"/>
  <c r="Q28" i="15" s="1"/>
  <c r="S19" i="13"/>
  <c r="Q13" i="15" s="1"/>
  <c r="S22" i="13"/>
  <c r="S24" i="13"/>
  <c r="AF24" i="13" s="1"/>
  <c r="S26" i="13"/>
  <c r="S28" i="13"/>
  <c r="S30" i="13"/>
  <c r="S32" i="13"/>
  <c r="S12" i="13"/>
  <c r="S14" i="13"/>
  <c r="S16" i="13"/>
  <c r="S18" i="13"/>
  <c r="Q29" i="15" s="1"/>
  <c r="S21" i="13"/>
  <c r="Q14" i="15" s="1"/>
  <c r="S23" i="13"/>
  <c r="S25" i="13"/>
  <c r="S27" i="13"/>
  <c r="S29" i="13"/>
  <c r="AF30" i="13" s="1"/>
  <c r="S31" i="13"/>
  <c r="S11" i="13"/>
  <c r="T26" i="17"/>
  <c r="AA24" i="13"/>
  <c r="U24" i="17" s="1"/>
  <c r="U17" i="17"/>
  <c r="U22" i="17"/>
  <c r="K30" i="14"/>
  <c r="E21" i="5"/>
  <c r="I11" i="13"/>
  <c r="H7" i="15" s="1"/>
  <c r="E19" i="4"/>
  <c r="G51" i="8"/>
  <c r="C19" i="4"/>
  <c r="V21" i="5"/>
  <c r="F23" i="9"/>
  <c r="E27" i="4"/>
  <c r="E14" i="5"/>
  <c r="K27" i="1"/>
  <c r="N19" i="9"/>
  <c r="N25" i="9"/>
  <c r="N21" i="9"/>
  <c r="N28" i="9"/>
  <c r="N31" i="9"/>
  <c r="N15" i="9"/>
  <c r="N33" i="9"/>
  <c r="N23" i="9"/>
  <c r="N11" i="9"/>
  <c r="N13" i="9"/>
  <c r="N16" i="9"/>
  <c r="N32" i="9"/>
  <c r="N24" i="9"/>
  <c r="N20" i="9"/>
  <c r="N27" i="9"/>
  <c r="N29" i="9"/>
  <c r="N12" i="9"/>
  <c r="N17" i="9"/>
  <c r="F17" i="9"/>
  <c r="I12" i="13"/>
  <c r="AC12" i="13" s="1"/>
  <c r="I30" i="13"/>
  <c r="H23" i="15" s="1"/>
  <c r="E11" i="5"/>
  <c r="E26" i="4"/>
  <c r="E15" i="4"/>
  <c r="E17" i="5"/>
  <c r="E13" i="5"/>
  <c r="K18" i="2"/>
  <c r="AA18" i="2" s="1"/>
  <c r="F31" i="9"/>
  <c r="F19" i="9"/>
  <c r="F27" i="9"/>
  <c r="E28" i="4"/>
  <c r="E25" i="5"/>
  <c r="E29" i="4"/>
  <c r="I29" i="3"/>
  <c r="Q11" i="4"/>
  <c r="AE11" i="4" s="1"/>
  <c r="E13" i="6"/>
  <c r="G21" i="7"/>
  <c r="I28" i="13"/>
  <c r="AC29" i="13" s="1"/>
  <c r="F12" i="9"/>
  <c r="I25" i="13"/>
  <c r="H18" i="15" s="1"/>
  <c r="E12" i="4"/>
  <c r="E24" i="4"/>
  <c r="E22" i="5"/>
  <c r="E23" i="4"/>
  <c r="F32" i="9"/>
  <c r="F20" i="9"/>
  <c r="F11" i="9"/>
  <c r="F15" i="9"/>
  <c r="E16" i="5"/>
  <c r="E20" i="4"/>
  <c r="E31" i="4"/>
  <c r="E14" i="4"/>
  <c r="E26" i="5"/>
  <c r="E11" i="4"/>
  <c r="F25" i="9"/>
  <c r="E22" i="4"/>
  <c r="E20" i="5"/>
  <c r="E21" i="4"/>
  <c r="E24" i="5"/>
  <c r="F21" i="9"/>
  <c r="F13" i="9"/>
  <c r="E25" i="4"/>
  <c r="E16" i="4"/>
  <c r="I50" i="3"/>
  <c r="G43" i="8"/>
  <c r="G52" i="7"/>
  <c r="G44" i="7"/>
  <c r="I14" i="13"/>
  <c r="H10" i="15" s="1"/>
  <c r="I23" i="13"/>
  <c r="AC23" i="13" s="1"/>
  <c r="I13" i="13"/>
  <c r="H9" i="15" s="1"/>
  <c r="I26" i="13"/>
  <c r="AC27" i="13" s="1"/>
  <c r="I31" i="13"/>
  <c r="C31" i="17" s="1"/>
  <c r="C25" i="4"/>
  <c r="C15" i="4"/>
  <c r="C12" i="4"/>
  <c r="I15" i="4"/>
  <c r="AC15" i="4" s="1"/>
  <c r="G25" i="7"/>
  <c r="G45" i="8"/>
  <c r="G54" i="8"/>
  <c r="G15" i="7"/>
  <c r="I295" i="3"/>
  <c r="I26" i="4"/>
  <c r="AC27" i="4" s="1"/>
  <c r="I20" i="13"/>
  <c r="H30" i="15" s="1"/>
  <c r="I27" i="13"/>
  <c r="AC28" i="13" s="1"/>
  <c r="I29" i="13"/>
  <c r="G51" i="7"/>
  <c r="G12" i="8"/>
  <c r="I39" i="2"/>
  <c r="I40" i="2" s="1"/>
  <c r="G31" i="4"/>
  <c r="C20" i="4"/>
  <c r="Q27" i="4"/>
  <c r="AE28" i="4" s="1"/>
  <c r="G34" i="8"/>
  <c r="Q17" i="4"/>
  <c r="AE17" i="4" s="1"/>
  <c r="I22" i="4"/>
  <c r="AC22" i="4" s="1"/>
  <c r="I16" i="13"/>
  <c r="AC16" i="13" s="1"/>
  <c r="I24" i="13"/>
  <c r="I15" i="13"/>
  <c r="AC15" i="13" s="1"/>
  <c r="I183" i="3"/>
  <c r="C24" i="4"/>
  <c r="G27" i="7"/>
  <c r="G36" i="8"/>
  <c r="G24" i="7"/>
  <c r="G57" i="8"/>
  <c r="G35" i="8"/>
  <c r="G44" i="8"/>
  <c r="G28" i="8"/>
  <c r="G42" i="8"/>
  <c r="G17" i="7"/>
  <c r="Q31" i="4"/>
  <c r="AE33" i="4" s="1"/>
  <c r="Q20" i="4"/>
  <c r="AE20" i="4" s="1"/>
  <c r="I32" i="4"/>
  <c r="AC34" i="4" s="1"/>
  <c r="I12" i="4"/>
  <c r="AC12" i="4" s="1"/>
  <c r="G54" i="7"/>
  <c r="G21" i="8"/>
  <c r="G32" i="8"/>
  <c r="K30" i="2"/>
  <c r="I39" i="1"/>
  <c r="I40" i="1" s="1"/>
  <c r="I53" i="1" s="1"/>
  <c r="G31" i="8"/>
  <c r="C22" i="4"/>
  <c r="G31" i="7"/>
  <c r="C23" i="4"/>
  <c r="C18" i="4"/>
  <c r="C11" i="4"/>
  <c r="G18" i="8"/>
  <c r="G17" i="8"/>
  <c r="G15" i="8"/>
  <c r="G53" i="7"/>
  <c r="G27" i="8"/>
  <c r="G14" i="8"/>
  <c r="G52" i="8"/>
  <c r="G33" i="8"/>
  <c r="G13" i="8"/>
  <c r="G14" i="7"/>
  <c r="G43" i="7"/>
  <c r="Q14" i="4"/>
  <c r="AE14" i="4" s="1"/>
  <c r="Q29" i="4"/>
  <c r="AE31" i="4" s="1"/>
  <c r="I23" i="4"/>
  <c r="AC23" i="4" s="1"/>
  <c r="I31" i="4"/>
  <c r="AC33" i="4" s="1"/>
  <c r="I13" i="4"/>
  <c r="AC13" i="4" s="1"/>
  <c r="G22" i="7"/>
  <c r="G34" i="7"/>
  <c r="G41" i="8"/>
  <c r="I30" i="2"/>
  <c r="C29" i="4"/>
  <c r="C14" i="4"/>
  <c r="C32" i="4"/>
  <c r="G32" i="4" s="1"/>
  <c r="C27" i="4"/>
  <c r="C21" i="4"/>
  <c r="E17" i="6"/>
  <c r="G38" i="8"/>
  <c r="G53" i="8"/>
  <c r="G47" i="8"/>
  <c r="G32" i="7"/>
  <c r="G23" i="7"/>
  <c r="Q12" i="4"/>
  <c r="AE12" i="4" s="1"/>
  <c r="Q26" i="4"/>
  <c r="AE27" i="4" s="1"/>
  <c r="I28" i="4"/>
  <c r="AC29" i="4" s="1"/>
  <c r="I20" i="4"/>
  <c r="AC20" i="4" s="1"/>
  <c r="G42" i="7"/>
  <c r="G23" i="8"/>
  <c r="G13" i="7"/>
  <c r="C30" i="4"/>
  <c r="C26" i="4"/>
  <c r="Z21" i="4"/>
  <c r="C16" i="4"/>
  <c r="C28" i="4"/>
  <c r="C17" i="4"/>
  <c r="C13" i="4"/>
  <c r="I47" i="2"/>
  <c r="I51" i="2" s="1"/>
  <c r="L26" i="14"/>
  <c r="F10" i="25" s="1"/>
  <c r="I84" i="3"/>
  <c r="I98" i="3"/>
  <c r="I112" i="3" s="1"/>
  <c r="I127" i="3"/>
  <c r="G37" i="7"/>
  <c r="H15" i="15"/>
  <c r="C22" i="17"/>
  <c r="G49" i="8"/>
  <c r="G19" i="8"/>
  <c r="K480" i="3"/>
  <c r="K484" i="3" s="1"/>
  <c r="M43" i="2" s="1"/>
  <c r="I394" i="3"/>
  <c r="O39" i="3"/>
  <c r="T39" i="3"/>
  <c r="G16" i="8"/>
  <c r="G39" i="8"/>
  <c r="A18" i="7"/>
  <c r="G18" i="7" s="1"/>
  <c r="K27" i="3"/>
  <c r="E424" i="3"/>
  <c r="E421" i="3"/>
  <c r="K421" i="3" s="1"/>
  <c r="E420" i="3"/>
  <c r="K420" i="3" s="1"/>
  <c r="I373" i="3"/>
  <c r="O77" i="3"/>
  <c r="K77" i="3"/>
  <c r="K82" i="3" s="1"/>
  <c r="G46" i="8"/>
  <c r="A26" i="8"/>
  <c r="A35" i="7"/>
  <c r="I125" i="3"/>
  <c r="K15" i="3"/>
  <c r="E25" i="3"/>
  <c r="E21" i="3" s="1"/>
  <c r="K59" i="3"/>
  <c r="K345" i="3"/>
  <c r="K347" i="3" s="1"/>
  <c r="K570" i="3"/>
  <c r="K572" i="3" s="1"/>
  <c r="E672" i="3"/>
  <c r="E11" i="6"/>
  <c r="E24" i="6"/>
  <c r="E27" i="6"/>
  <c r="V22" i="6"/>
  <c r="E25" i="6"/>
  <c r="E23" i="6"/>
  <c r="E12" i="6"/>
  <c r="E29" i="6"/>
  <c r="E15" i="6"/>
  <c r="E20" i="6"/>
  <c r="E19" i="6"/>
  <c r="W15" i="6"/>
  <c r="W22" i="6" s="1"/>
  <c r="E28" i="6"/>
  <c r="E21" i="6"/>
  <c r="I406" i="3"/>
  <c r="I414" i="3"/>
  <c r="K229" i="3"/>
  <c r="E201" i="3"/>
  <c r="K147" i="3"/>
  <c r="E119" i="3"/>
  <c r="K119" i="3" s="1"/>
  <c r="A17" i="2"/>
  <c r="A18" i="2" s="1"/>
  <c r="A20" i="2" s="1"/>
  <c r="A16" i="7"/>
  <c r="G25" i="8"/>
  <c r="G33" i="7"/>
  <c r="I308" i="3"/>
  <c r="E178" i="3"/>
  <c r="K178" i="3" s="1"/>
  <c r="K181" i="3" s="1"/>
  <c r="E176" i="3"/>
  <c r="K163" i="3"/>
  <c r="E164" i="3"/>
  <c r="K669" i="3"/>
  <c r="K313" i="3"/>
  <c r="E285" i="3"/>
  <c r="K285" i="3" s="1"/>
  <c r="E16" i="6"/>
  <c r="K38" i="3"/>
  <c r="O832" i="3"/>
  <c r="O49" i="2" s="1"/>
  <c r="U49" i="2" s="1"/>
  <c r="I730" i="3"/>
  <c r="E391" i="3"/>
  <c r="E390" i="3"/>
  <c r="K390" i="3" s="1"/>
  <c r="I275" i="3"/>
  <c r="I223" i="3"/>
  <c r="V27" i="5"/>
  <c r="E18" i="5"/>
  <c r="O57" i="3"/>
  <c r="K57" i="3"/>
  <c r="E356" i="3"/>
  <c r="E355" i="3"/>
  <c r="E353" i="3"/>
  <c r="K353" i="3" s="1"/>
  <c r="S45" i="1"/>
  <c r="S44" i="1"/>
  <c r="S43" i="1"/>
  <c r="I209" i="3"/>
  <c r="K30" i="1"/>
  <c r="K316" i="3"/>
  <c r="E288" i="3"/>
  <c r="K288" i="3" s="1"/>
  <c r="K838" i="3"/>
  <c r="K842" i="3" s="1"/>
  <c r="I502" i="3"/>
  <c r="I480" i="3"/>
  <c r="I424" i="3"/>
  <c r="I430" i="3" s="1"/>
  <c r="I432" i="3"/>
  <c r="E371" i="3"/>
  <c r="K371" i="3" s="1"/>
  <c r="K370" i="3"/>
  <c r="E206" i="3"/>
  <c r="K102" i="3"/>
  <c r="E109" i="3"/>
  <c r="K109" i="3" s="1"/>
  <c r="Y16" i="8"/>
  <c r="Y24" i="8" s="1"/>
  <c r="G11" i="8"/>
  <c r="X24" i="8"/>
  <c r="O51" i="8" s="1"/>
  <c r="G22" i="8"/>
  <c r="E37" i="3"/>
  <c r="E43" i="3"/>
  <c r="K20" i="2"/>
  <c r="I544" i="3"/>
  <c r="I546" i="3" s="1"/>
  <c r="K275" i="3"/>
  <c r="K279" i="3" s="1"/>
  <c r="M42" i="2" s="1"/>
  <c r="W42" i="2" s="1"/>
  <c r="E221" i="3"/>
  <c r="K47" i="2"/>
  <c r="K51" i="2" s="1"/>
  <c r="M95" i="3"/>
  <c r="O95" i="3" s="1"/>
  <c r="C577" i="3"/>
  <c r="C728" i="3"/>
  <c r="K788" i="3"/>
  <c r="O788" i="3" s="1"/>
  <c r="E800" i="3"/>
  <c r="K800" i="3" s="1"/>
  <c r="E820" i="3"/>
  <c r="E13" i="4"/>
  <c r="E88" i="3"/>
  <c r="K88" i="3" s="1"/>
  <c r="X30" i="9"/>
  <c r="K18" i="1"/>
  <c r="I334" i="3"/>
  <c r="I348" i="3" s="1"/>
  <c r="I630" i="3"/>
  <c r="I646" i="3" s="1"/>
  <c r="I32" i="13"/>
  <c r="AC22" i="13"/>
  <c r="C13" i="13"/>
  <c r="N9" i="15" s="1"/>
  <c r="C17" i="13"/>
  <c r="N28" i="15" s="1"/>
  <c r="C21" i="13"/>
  <c r="C27" i="13"/>
  <c r="N20" i="15" s="1"/>
  <c r="C32" i="13"/>
  <c r="N25" i="15" s="1"/>
  <c r="C12" i="13"/>
  <c r="N8" i="15" s="1"/>
  <c r="C14" i="13"/>
  <c r="N10" i="15" s="1"/>
  <c r="C16" i="13"/>
  <c r="N12" i="15" s="1"/>
  <c r="C18" i="13"/>
  <c r="C20" i="13"/>
  <c r="F30" i="15" s="1"/>
  <c r="T21" i="17"/>
  <c r="C23" i="13"/>
  <c r="N16" i="15" s="1"/>
  <c r="C24" i="13"/>
  <c r="N17" i="15" s="1"/>
  <c r="C26" i="13"/>
  <c r="N19" i="15" s="1"/>
  <c r="C28" i="13"/>
  <c r="N21" i="15" s="1"/>
  <c r="K29" i="3"/>
  <c r="M42" i="1"/>
  <c r="Q42" i="1" s="1"/>
  <c r="F24" i="9"/>
  <c r="F33" i="9"/>
  <c r="C30" i="13"/>
  <c r="N23" i="15" s="1"/>
  <c r="F28" i="9"/>
  <c r="G26" i="7"/>
  <c r="A29" i="7"/>
  <c r="G48" i="8"/>
  <c r="O12" i="1"/>
  <c r="Q32" i="4"/>
  <c r="AE34" i="4" s="1"/>
  <c r="Q23" i="4"/>
  <c r="AE23" i="4" s="1"/>
  <c r="Q28" i="4"/>
  <c r="AE29" i="4" s="1"/>
  <c r="Q15" i="4"/>
  <c r="AE15" i="4" s="1"/>
  <c r="Q22" i="4"/>
  <c r="AE22" i="4" s="1"/>
  <c r="Q24" i="4"/>
  <c r="AE25" i="4" s="1"/>
  <c r="Q30" i="4"/>
  <c r="AE32" i="4" s="1"/>
  <c r="Q25" i="4"/>
  <c r="AE26" i="4" s="1"/>
  <c r="Q13" i="4"/>
  <c r="AE13" i="4" s="1"/>
  <c r="Q16" i="4"/>
  <c r="AE16" i="4" s="1"/>
  <c r="I19" i="13"/>
  <c r="H13" i="15" s="1"/>
  <c r="A28" i="7"/>
  <c r="K164" i="3"/>
  <c r="U35" i="2"/>
  <c r="E712" i="3"/>
  <c r="K712" i="3" s="1"/>
  <c r="E711" i="3"/>
  <c r="E722" i="3"/>
  <c r="K722" i="3" s="1"/>
  <c r="E723" i="3"/>
  <c r="K723" i="3" s="1"/>
  <c r="E724" i="3"/>
  <c r="K724" i="3" s="1"/>
  <c r="E725" i="3"/>
  <c r="K725" i="3" s="1"/>
  <c r="E726" i="3"/>
  <c r="K726" i="3" s="1"/>
  <c r="I27" i="4"/>
  <c r="AC28" i="4" s="1"/>
  <c r="I29" i="4"/>
  <c r="AC31" i="4" s="1"/>
  <c r="I16" i="4"/>
  <c r="AC16" i="4" s="1"/>
  <c r="I25" i="4"/>
  <c r="AC26" i="4" s="1"/>
  <c r="I17" i="4"/>
  <c r="AC17" i="4" s="1"/>
  <c r="I30" i="4"/>
  <c r="AC32" i="4" s="1"/>
  <c r="I24" i="4"/>
  <c r="AC25" i="4" s="1"/>
  <c r="I11" i="4"/>
  <c r="AC11" i="4" s="1"/>
  <c r="I14" i="4"/>
  <c r="AC14" i="4" s="1"/>
  <c r="I30" i="1"/>
  <c r="E404" i="3"/>
  <c r="E331" i="3"/>
  <c r="K331" i="3" s="1"/>
  <c r="AD41" i="4"/>
  <c r="A19" i="4" s="1"/>
  <c r="E55" i="3"/>
  <c r="O55" i="3" s="1"/>
  <c r="I632" i="3"/>
  <c r="Y17" i="7"/>
  <c r="Y26" i="7" s="1"/>
  <c r="G11" i="7"/>
  <c r="G12" i="7"/>
  <c r="G41" i="7"/>
  <c r="X26" i="7"/>
  <c r="O54" i="7" s="1"/>
  <c r="E777" i="3"/>
  <c r="K777" i="3" s="1"/>
  <c r="E775" i="3"/>
  <c r="K775" i="3" s="1"/>
  <c r="E753" i="3"/>
  <c r="K753" i="3" s="1"/>
  <c r="E751" i="3"/>
  <c r="K751" i="3" s="1"/>
  <c r="E749" i="3"/>
  <c r="K749" i="3" s="1"/>
  <c r="E752" i="3"/>
  <c r="K752" i="3" s="1"/>
  <c r="E776" i="3"/>
  <c r="K776" i="3" s="1"/>
  <c r="E778" i="3"/>
  <c r="E779" i="3"/>
  <c r="K779" i="3" s="1"/>
  <c r="O789" i="3"/>
  <c r="O791" i="3" s="1"/>
  <c r="O34" i="2" s="1"/>
  <c r="H25" i="14"/>
  <c r="E94" i="3"/>
  <c r="K94" i="3" s="1"/>
  <c r="K197" i="3"/>
  <c r="E651" i="3"/>
  <c r="E788" i="3"/>
  <c r="Q788" i="3" s="1"/>
  <c r="E789" i="3"/>
  <c r="E790" i="3" s="1"/>
  <c r="K790" i="3"/>
  <c r="O790" i="3" s="1"/>
  <c r="C43" i="12"/>
  <c r="K84" i="3"/>
  <c r="M45" i="1"/>
  <c r="K590" i="3"/>
  <c r="M45" i="2"/>
  <c r="M43" i="1"/>
  <c r="M46" i="1"/>
  <c r="M46" i="2"/>
  <c r="W46" i="2" s="1"/>
  <c r="K598" i="3"/>
  <c r="F24" i="15"/>
  <c r="F22" i="15"/>
  <c r="F18" i="15"/>
  <c r="F11" i="15"/>
  <c r="F7" i="15"/>
  <c r="F15" i="15"/>
  <c r="E611" i="3" l="1"/>
  <c r="K611" i="3" s="1"/>
  <c r="E612" i="3"/>
  <c r="K612" i="3" s="1"/>
  <c r="E610" i="3"/>
  <c r="K610" i="3" s="1"/>
  <c r="K304" i="3"/>
  <c r="E290" i="3"/>
  <c r="K290" i="3" s="1"/>
  <c r="E122" i="3"/>
  <c r="K122" i="3" s="1"/>
  <c r="G56" i="7"/>
  <c r="E305" i="3"/>
  <c r="K303" i="3"/>
  <c r="E289" i="3"/>
  <c r="K289" i="3" s="1"/>
  <c r="W45" i="2"/>
  <c r="M12" i="2"/>
  <c r="O12" i="2" s="1"/>
  <c r="E622" i="3"/>
  <c r="K622" i="3" s="1"/>
  <c r="K149" i="3"/>
  <c r="E150" i="3"/>
  <c r="K150" i="3" s="1"/>
  <c r="A23" i="1"/>
  <c r="A25" i="1" s="1"/>
  <c r="K656" i="3"/>
  <c r="M35" i="1"/>
  <c r="M35" i="2"/>
  <c r="E494" i="3"/>
  <c r="K494" i="3" s="1"/>
  <c r="E491" i="3"/>
  <c r="K491" i="3" s="1"/>
  <c r="E499" i="3"/>
  <c r="K499" i="3" s="1"/>
  <c r="E500" i="3"/>
  <c r="K500" i="3" s="1"/>
  <c r="E501" i="3"/>
  <c r="K501" i="3" s="1"/>
  <c r="E495" i="3"/>
  <c r="K495" i="3" s="1"/>
  <c r="E493" i="3"/>
  <c r="K493" i="3" s="1"/>
  <c r="E492" i="3"/>
  <c r="K492" i="3" s="1"/>
  <c r="E497" i="3"/>
  <c r="K497" i="3" s="1"/>
  <c r="E498" i="3"/>
  <c r="K498" i="3" s="1"/>
  <c r="K300" i="3"/>
  <c r="E286" i="3"/>
  <c r="K286" i="3" s="1"/>
  <c r="E203" i="3"/>
  <c r="K203" i="3" s="1"/>
  <c r="K217" i="3"/>
  <c r="K232" i="3"/>
  <c r="K237" i="3" s="1"/>
  <c r="E235" i="3"/>
  <c r="K235" i="3" s="1"/>
  <c r="K381" i="3"/>
  <c r="E382" i="3"/>
  <c r="K382" i="3" s="1"/>
  <c r="A56" i="8"/>
  <c r="A58" i="8"/>
  <c r="G58" i="8" s="1"/>
  <c r="M49" i="2"/>
  <c r="W49" i="2" s="1"/>
  <c r="I385" i="3"/>
  <c r="K139" i="3"/>
  <c r="K812" i="3"/>
  <c r="I309" i="3"/>
  <c r="K654" i="3"/>
  <c r="E657" i="3"/>
  <c r="K657" i="3" s="1"/>
  <c r="K486" i="3"/>
  <c r="K167" i="3"/>
  <c r="A24" i="1"/>
  <c r="A26" i="1" s="1"/>
  <c r="I361" i="3"/>
  <c r="I374" i="3" s="1"/>
  <c r="A58" i="7"/>
  <c r="G58" i="7" s="1"/>
  <c r="G55" i="8"/>
  <c r="K56" i="3"/>
  <c r="O56" i="3"/>
  <c r="R25" i="3"/>
  <c r="E624" i="3"/>
  <c r="K624" i="3" s="1"/>
  <c r="K607" i="3"/>
  <c r="K628" i="3"/>
  <c r="O628" i="3"/>
  <c r="E625" i="3"/>
  <c r="K625" i="3" s="1"/>
  <c r="E202" i="3"/>
  <c r="K202" i="3" s="1"/>
  <c r="K216" i="3"/>
  <c r="K145" i="3"/>
  <c r="E117" i="3"/>
  <c r="K117" i="3" s="1"/>
  <c r="K125" i="3" s="1"/>
  <c r="E118" i="3"/>
  <c r="K118" i="3" s="1"/>
  <c r="K127" i="3" s="1"/>
  <c r="R21" i="3"/>
  <c r="K153" i="3"/>
  <c r="E69" i="3"/>
  <c r="E65" i="3" s="1"/>
  <c r="T62" i="3"/>
  <c r="O62" i="3"/>
  <c r="E287" i="3"/>
  <c r="K287" i="3" s="1"/>
  <c r="K301" i="3"/>
  <c r="K183" i="3"/>
  <c r="K97" i="3"/>
  <c r="E205" i="3"/>
  <c r="I412" i="3"/>
  <c r="G55" i="7"/>
  <c r="R804" i="3"/>
  <c r="K802" i="3"/>
  <c r="A46" i="7"/>
  <c r="A48" i="7"/>
  <c r="G48" i="7" s="1"/>
  <c r="K218" i="3"/>
  <c r="E204" i="3"/>
  <c r="K204" i="3" s="1"/>
  <c r="G24" i="4"/>
  <c r="G17" i="4"/>
  <c r="G25" i="4"/>
  <c r="P25" i="15"/>
  <c r="K21" i="17"/>
  <c r="Y21" i="17" s="1"/>
  <c r="G11" i="4"/>
  <c r="I322" i="3"/>
  <c r="K322" i="3" s="1"/>
  <c r="K323" i="3" s="1"/>
  <c r="H19" i="15"/>
  <c r="G15" i="4"/>
  <c r="AE12" i="13"/>
  <c r="AE22" i="13"/>
  <c r="H24" i="15"/>
  <c r="K25" i="17"/>
  <c r="Y26" i="17" s="1"/>
  <c r="AE40" i="13"/>
  <c r="K29" i="17"/>
  <c r="Y30" i="17" s="1"/>
  <c r="C25" i="17"/>
  <c r="W26" i="17" s="1"/>
  <c r="G30" i="4"/>
  <c r="H8" i="15"/>
  <c r="AE26" i="13"/>
  <c r="G14" i="4"/>
  <c r="G27" i="4"/>
  <c r="AC11" i="13"/>
  <c r="H21" i="15"/>
  <c r="G20" i="4"/>
  <c r="K11" i="17"/>
  <c r="Y11" i="17" s="1"/>
  <c r="H12" i="15"/>
  <c r="G21" i="4"/>
  <c r="I52" i="2"/>
  <c r="I52" i="1"/>
  <c r="G23" i="4"/>
  <c r="G18" i="4"/>
  <c r="AF40" i="13"/>
  <c r="K23" i="17"/>
  <c r="Y23" i="17" s="1"/>
  <c r="P17" i="15"/>
  <c r="AE25" i="13"/>
  <c r="F29" i="15"/>
  <c r="N29" i="15"/>
  <c r="N14" i="15"/>
  <c r="F14" i="15"/>
  <c r="C18" i="17"/>
  <c r="H29" i="15"/>
  <c r="AC25" i="13"/>
  <c r="AC24" i="13"/>
  <c r="C29" i="17"/>
  <c r="AC30" i="13"/>
  <c r="AC20" i="13"/>
  <c r="AE39" i="13"/>
  <c r="U21" i="13"/>
  <c r="L14" i="15" s="1"/>
  <c r="W21" i="13"/>
  <c r="H11" i="15"/>
  <c r="O13" i="7"/>
  <c r="G19" i="4"/>
  <c r="O31" i="7"/>
  <c r="F17" i="15"/>
  <c r="AC26" i="13"/>
  <c r="C11" i="17"/>
  <c r="W11" i="17" s="1"/>
  <c r="AE16" i="13"/>
  <c r="P23" i="15"/>
  <c r="C20" i="17"/>
  <c r="Y39" i="17" s="1"/>
  <c r="C15" i="17"/>
  <c r="W15" i="17" s="1"/>
  <c r="H16" i="15"/>
  <c r="G12" i="4"/>
  <c r="F23" i="15"/>
  <c r="K17" i="17"/>
  <c r="M22" i="5"/>
  <c r="I99" i="3"/>
  <c r="G22" i="4"/>
  <c r="O43" i="7"/>
  <c r="O52" i="7"/>
  <c r="AC13" i="13"/>
  <c r="AE33" i="13"/>
  <c r="AC32" i="13"/>
  <c r="F12" i="15"/>
  <c r="O25" i="8"/>
  <c r="O24" i="7"/>
  <c r="P7" i="15"/>
  <c r="O47" i="8"/>
  <c r="O42" i="7"/>
  <c r="P24" i="15"/>
  <c r="F16" i="15"/>
  <c r="O32" i="8"/>
  <c r="O15" i="7"/>
  <c r="O41" i="7"/>
  <c r="O57" i="7"/>
  <c r="O12" i="7"/>
  <c r="O37" i="7"/>
  <c r="O14" i="7"/>
  <c r="K13" i="17"/>
  <c r="Y13" i="17" s="1"/>
  <c r="K98" i="3"/>
  <c r="H20" i="15"/>
  <c r="G29" i="4"/>
  <c r="O54" i="8"/>
  <c r="O23" i="8"/>
  <c r="O17" i="7"/>
  <c r="O44" i="7"/>
  <c r="O23" i="7"/>
  <c r="O33" i="7"/>
  <c r="O47" i="7"/>
  <c r="O21" i="7"/>
  <c r="O41" i="8"/>
  <c r="O45" i="7"/>
  <c r="O11" i="7"/>
  <c r="O51" i="7"/>
  <c r="O35" i="7"/>
  <c r="O22" i="7"/>
  <c r="O32" i="7"/>
  <c r="F8" i="15"/>
  <c r="F19" i="15"/>
  <c r="O34" i="7"/>
  <c r="AE15" i="13"/>
  <c r="K308" i="3"/>
  <c r="AE29" i="13"/>
  <c r="H22" i="15"/>
  <c r="G28" i="4"/>
  <c r="K26" i="17"/>
  <c r="Y27" i="17" s="1"/>
  <c r="P15" i="15"/>
  <c r="AC31" i="13"/>
  <c r="H17" i="15"/>
  <c r="G26" i="4"/>
  <c r="AC14" i="13"/>
  <c r="AC33" i="13"/>
  <c r="P11" i="15"/>
  <c r="G13" i="4"/>
  <c r="Q49" i="2"/>
  <c r="S49" i="2" s="1"/>
  <c r="G16" i="4"/>
  <c r="F20" i="15"/>
  <c r="O35" i="8"/>
  <c r="O53" i="8"/>
  <c r="O34" i="8"/>
  <c r="O11" i="8"/>
  <c r="O14" i="8"/>
  <c r="O24" i="8"/>
  <c r="O21" i="8"/>
  <c r="K14" i="17"/>
  <c r="Y14" i="17" s="1"/>
  <c r="O56" i="8"/>
  <c r="I53" i="2"/>
  <c r="K53" i="1"/>
  <c r="O45" i="8"/>
  <c r="O13" i="8"/>
  <c r="O22" i="8"/>
  <c r="O43" i="8"/>
  <c r="O42" i="8"/>
  <c r="O12" i="8"/>
  <c r="O48" i="8"/>
  <c r="F10" i="15"/>
  <c r="O37" i="8"/>
  <c r="O33" i="8"/>
  <c r="O52" i="8"/>
  <c r="O31" i="8"/>
  <c r="O55" i="8"/>
  <c r="O44" i="8"/>
  <c r="K27" i="17"/>
  <c r="Y28" i="17" s="1"/>
  <c r="C30" i="17"/>
  <c r="W32" i="17" s="1"/>
  <c r="C28" i="17"/>
  <c r="W29" i="17" s="1"/>
  <c r="C26" i="17"/>
  <c r="W27" i="17" s="1"/>
  <c r="C13" i="17"/>
  <c r="W13" i="17" s="1"/>
  <c r="C24" i="17"/>
  <c r="C23" i="17"/>
  <c r="W23" i="17" s="1"/>
  <c r="C16" i="17"/>
  <c r="W16" i="17" s="1"/>
  <c r="C14" i="17"/>
  <c r="W14" i="17" s="1"/>
  <c r="C12" i="17"/>
  <c r="W12" i="17" s="1"/>
  <c r="K24" i="17"/>
  <c r="K16" i="17"/>
  <c r="Y16" i="17" s="1"/>
  <c r="C27" i="17"/>
  <c r="K32" i="17"/>
  <c r="K30" i="17"/>
  <c r="K28" i="17"/>
  <c r="K12" i="17"/>
  <c r="C19" i="17"/>
  <c r="K19" i="17"/>
  <c r="AC34" i="13"/>
  <c r="C32" i="17"/>
  <c r="W33" i="17"/>
  <c r="W22" i="17"/>
  <c r="L20" i="14"/>
  <c r="F3" i="25" s="1"/>
  <c r="K20" i="14"/>
  <c r="E32" i="13"/>
  <c r="G32" i="13" s="1"/>
  <c r="E31" i="13"/>
  <c r="E26" i="13"/>
  <c r="E23" i="13"/>
  <c r="E21" i="13"/>
  <c r="E19" i="13"/>
  <c r="E17" i="13"/>
  <c r="O28" i="15" s="1"/>
  <c r="E15" i="13"/>
  <c r="E13" i="13"/>
  <c r="G13" i="13" s="1"/>
  <c r="E11" i="13"/>
  <c r="E30" i="13"/>
  <c r="E28" i="13"/>
  <c r="E27" i="13"/>
  <c r="E25" i="13"/>
  <c r="E22" i="13"/>
  <c r="E20" i="13"/>
  <c r="G30" i="15" s="1"/>
  <c r="E18" i="13"/>
  <c r="E16" i="13"/>
  <c r="E14" i="13"/>
  <c r="G14" i="13" s="1"/>
  <c r="E12" i="13"/>
  <c r="AA21" i="13"/>
  <c r="U21" i="17" s="1"/>
  <c r="E24" i="13"/>
  <c r="E29" i="13"/>
  <c r="M22" i="2"/>
  <c r="W22" i="2" s="1"/>
  <c r="M22" i="1"/>
  <c r="AD39" i="4"/>
  <c r="A21" i="4" s="1"/>
  <c r="F25" i="15"/>
  <c r="R277" i="3"/>
  <c r="H25" i="15"/>
  <c r="E715" i="3"/>
  <c r="K715" i="3" s="1"/>
  <c r="E709" i="3"/>
  <c r="K709" i="3" s="1"/>
  <c r="E699" i="3"/>
  <c r="K699" i="3" s="1"/>
  <c r="E682" i="3"/>
  <c r="K682" i="3" s="1"/>
  <c r="E692" i="3"/>
  <c r="K692" i="3" s="1"/>
  <c r="E717" i="3"/>
  <c r="K717" i="3" s="1"/>
  <c r="E708" i="3"/>
  <c r="K708" i="3" s="1"/>
  <c r="E698" i="3"/>
  <c r="K698" i="3" s="1"/>
  <c r="E718" i="3"/>
  <c r="K718" i="3" s="1"/>
  <c r="E689" i="3"/>
  <c r="K689" i="3" s="1"/>
  <c r="E693" i="3"/>
  <c r="K693" i="3" s="1"/>
  <c r="E727" i="3"/>
  <c r="K727" i="3" s="1"/>
  <c r="E700" i="3"/>
  <c r="K700" i="3" s="1"/>
  <c r="E684" i="3"/>
  <c r="K684" i="3" s="1"/>
  <c r="E714" i="3"/>
  <c r="K714" i="3" s="1"/>
  <c r="E685" i="3"/>
  <c r="K685" i="3" s="1"/>
  <c r="E696" i="3"/>
  <c r="K696" i="3" s="1"/>
  <c r="E719" i="3"/>
  <c r="K719" i="3" s="1"/>
  <c r="E686" i="3"/>
  <c r="K686" i="3" s="1"/>
  <c r="E691" i="3"/>
  <c r="K691" i="3" s="1"/>
  <c r="E716" i="3"/>
  <c r="K716" i="3" s="1"/>
  <c r="E707" i="3"/>
  <c r="K707" i="3" s="1"/>
  <c r="K221" i="3"/>
  <c r="K39" i="2"/>
  <c r="K40" i="2" s="1"/>
  <c r="K53" i="2" s="1"/>
  <c r="K23" i="2"/>
  <c r="O15" i="8"/>
  <c r="O17" i="8"/>
  <c r="O57" i="8"/>
  <c r="O16" i="8"/>
  <c r="O36" i="8"/>
  <c r="O38" i="8"/>
  <c r="O18" i="8"/>
  <c r="O28" i="8"/>
  <c r="K111" i="3"/>
  <c r="K206" i="3"/>
  <c r="I661" i="3"/>
  <c r="O27" i="8"/>
  <c r="I281" i="3"/>
  <c r="I279" i="3"/>
  <c r="K321" i="3"/>
  <c r="K672" i="3"/>
  <c r="K675" i="3" s="1"/>
  <c r="E627" i="3"/>
  <c r="K627" i="3" s="1"/>
  <c r="O49" i="1"/>
  <c r="O46" i="8"/>
  <c r="O58" i="8"/>
  <c r="K361" i="3"/>
  <c r="I362" i="3"/>
  <c r="I154" i="3"/>
  <c r="I140" i="3"/>
  <c r="F21" i="15"/>
  <c r="F9" i="15"/>
  <c r="E327" i="3"/>
  <c r="K327" i="3" s="1"/>
  <c r="A21" i="2"/>
  <c r="A22" i="2" s="1"/>
  <c r="K646" i="3"/>
  <c r="K647" i="3" s="1"/>
  <c r="I647" i="3"/>
  <c r="K37" i="3"/>
  <c r="E46" i="3"/>
  <c r="R46" i="3" s="1"/>
  <c r="R45" i="3"/>
  <c r="K373" i="3"/>
  <c r="I504" i="3"/>
  <c r="I574" i="3"/>
  <c r="E329" i="3"/>
  <c r="K355" i="3"/>
  <c r="M25" i="5"/>
  <c r="M21" i="5"/>
  <c r="M17" i="5"/>
  <c r="M11" i="5"/>
  <c r="M20" i="5"/>
  <c r="M12" i="5"/>
  <c r="M18" i="5"/>
  <c r="M26" i="5"/>
  <c r="M14" i="5"/>
  <c r="M16" i="5"/>
  <c r="M13" i="5"/>
  <c r="M24" i="5"/>
  <c r="G35" i="7"/>
  <c r="A38" i="7"/>
  <c r="G38" i="7" s="1"/>
  <c r="A36" i="7"/>
  <c r="O19" i="8"/>
  <c r="O49" i="8"/>
  <c r="E822" i="3"/>
  <c r="K822" i="3" s="1"/>
  <c r="K820" i="3"/>
  <c r="I484" i="3"/>
  <c r="I486" i="3"/>
  <c r="I113" i="3"/>
  <c r="K112" i="3"/>
  <c r="K113" i="3" s="1"/>
  <c r="R26" i="3"/>
  <c r="K281" i="3"/>
  <c r="K348" i="3"/>
  <c r="K349" i="3" s="1"/>
  <c r="I349" i="3"/>
  <c r="K205" i="3"/>
  <c r="M48" i="1"/>
  <c r="M48" i="2"/>
  <c r="E330" i="3"/>
  <c r="K330" i="3" s="1"/>
  <c r="K356" i="3"/>
  <c r="E358" i="3"/>
  <c r="K358" i="3" s="1"/>
  <c r="I224" i="3"/>
  <c r="E392" i="3"/>
  <c r="K392" i="3" s="1"/>
  <c r="K391" i="3"/>
  <c r="K394" i="3" s="1"/>
  <c r="A19" i="7"/>
  <c r="G19" i="7" s="1"/>
  <c r="G16" i="7"/>
  <c r="K201" i="3"/>
  <c r="M29" i="6"/>
  <c r="M28" i="6"/>
  <c r="M17" i="6"/>
  <c r="M11" i="6"/>
  <c r="M13" i="6"/>
  <c r="M20" i="6"/>
  <c r="M27" i="6"/>
  <c r="M15" i="6"/>
  <c r="M21" i="6"/>
  <c r="M23" i="6"/>
  <c r="M19" i="6"/>
  <c r="M24" i="6"/>
  <c r="M25" i="6"/>
  <c r="M12" i="6"/>
  <c r="M16" i="6"/>
  <c r="A29" i="8"/>
  <c r="O26" i="8"/>
  <c r="G26" i="8"/>
  <c r="O82" i="3"/>
  <c r="O84" i="3"/>
  <c r="E428" i="3"/>
  <c r="E427" i="3" s="1"/>
  <c r="K427" i="3" s="1"/>
  <c r="K428" i="3" s="1"/>
  <c r="E422" i="3"/>
  <c r="K422" i="3" s="1"/>
  <c r="I386" i="3"/>
  <c r="I395" i="3"/>
  <c r="K385" i="3"/>
  <c r="O39" i="8"/>
  <c r="O42" i="1"/>
  <c r="X42" i="1"/>
  <c r="U34" i="2"/>
  <c r="K651" i="3"/>
  <c r="E621" i="3"/>
  <c r="K621" i="3" s="1"/>
  <c r="E780" i="3"/>
  <c r="K780" i="3" s="1"/>
  <c r="K778" i="3"/>
  <c r="O53" i="7"/>
  <c r="O55" i="7"/>
  <c r="O25" i="7"/>
  <c r="O16" i="7"/>
  <c r="O38" i="7"/>
  <c r="O56" i="7"/>
  <c r="O46" i="7"/>
  <c r="O27" i="7"/>
  <c r="O18" i="7"/>
  <c r="O48" i="7"/>
  <c r="O59" i="7"/>
  <c r="O19" i="7"/>
  <c r="P19" i="15"/>
  <c r="AE27" i="13"/>
  <c r="P9" i="15"/>
  <c r="AE13" i="13"/>
  <c r="P20" i="15"/>
  <c r="AE28" i="13"/>
  <c r="G28" i="7"/>
  <c r="O28" i="7"/>
  <c r="AE19" i="13"/>
  <c r="K99" i="3"/>
  <c r="K791" i="3"/>
  <c r="O26" i="7"/>
  <c r="K32" i="14"/>
  <c r="H23" i="14"/>
  <c r="K755" i="3"/>
  <c r="K757" i="3"/>
  <c r="I19" i="4"/>
  <c r="Q19" i="4"/>
  <c r="AE19" i="4" s="1"/>
  <c r="K404" i="3"/>
  <c r="E405" i="3"/>
  <c r="K405" i="3" s="1"/>
  <c r="P22" i="15"/>
  <c r="AE31" i="13"/>
  <c r="AE17" i="13"/>
  <c r="W23" i="13"/>
  <c r="W14" i="13"/>
  <c r="W26" i="13"/>
  <c r="P16" i="15"/>
  <c r="AE23" i="13"/>
  <c r="P10" i="15"/>
  <c r="AE14" i="13"/>
  <c r="E710" i="3"/>
  <c r="K711" i="3"/>
  <c r="AC19" i="13"/>
  <c r="U13" i="1"/>
  <c r="Q13" i="1"/>
  <c r="O29" i="7"/>
  <c r="G29" i="7"/>
  <c r="Q12" i="1"/>
  <c r="S13" i="1" s="1"/>
  <c r="Q43" i="1"/>
  <c r="O43" i="1" s="1"/>
  <c r="W43" i="2"/>
  <c r="Q45" i="1"/>
  <c r="X45" i="1" s="1"/>
  <c r="K52" i="1"/>
  <c r="K295" i="3" l="1"/>
  <c r="U13" i="2"/>
  <c r="Q13" i="2"/>
  <c r="K71" i="3"/>
  <c r="K73" i="3"/>
  <c r="R207" i="3"/>
  <c r="Q35" i="1"/>
  <c r="X35" i="1" s="1"/>
  <c r="O35" i="1"/>
  <c r="Q12" i="2"/>
  <c r="S13" i="2" s="1"/>
  <c r="A49" i="7"/>
  <c r="G46" i="7"/>
  <c r="E291" i="3"/>
  <c r="K291" i="3" s="1"/>
  <c r="K305" i="3"/>
  <c r="K307" i="3" s="1"/>
  <c r="K502" i="3"/>
  <c r="K783" i="3"/>
  <c r="K309" i="3"/>
  <c r="R800" i="3"/>
  <c r="M36" i="2"/>
  <c r="W36" i="2" s="1"/>
  <c r="M36" i="1"/>
  <c r="E207" i="3"/>
  <c r="I323" i="3"/>
  <c r="E423" i="3"/>
  <c r="K423" i="3" s="1"/>
  <c r="K424" i="3" s="1"/>
  <c r="K430" i="3" s="1"/>
  <c r="A23" i="2"/>
  <c r="A24" i="2" s="1"/>
  <c r="K293" i="3"/>
  <c r="M24" i="1" s="1"/>
  <c r="K384" i="3"/>
  <c r="R210" i="3"/>
  <c r="Q35" i="2"/>
  <c r="S35" i="2" s="1"/>
  <c r="W35" i="2"/>
  <c r="O58" i="7"/>
  <c r="K614" i="3"/>
  <c r="K615" i="3" s="1"/>
  <c r="K617" i="3"/>
  <c r="A59" i="8"/>
  <c r="G56" i="8"/>
  <c r="W20" i="17"/>
  <c r="Y31" i="17"/>
  <c r="M20" i="1"/>
  <c r="M20" i="2"/>
  <c r="W20" i="2" s="1"/>
  <c r="W18" i="17"/>
  <c r="Y41" i="17"/>
  <c r="Y17" i="17"/>
  <c r="Y40" i="17"/>
  <c r="G18" i="13"/>
  <c r="O29" i="15"/>
  <c r="R29" i="15" s="1"/>
  <c r="G13" i="15"/>
  <c r="O13" i="15"/>
  <c r="R13" i="15" s="1"/>
  <c r="M21" i="17"/>
  <c r="O21" i="17" s="1"/>
  <c r="G14" i="15"/>
  <c r="O14" i="15"/>
  <c r="R14" i="15" s="1"/>
  <c r="W31" i="17"/>
  <c r="W30" i="17"/>
  <c r="W25" i="17"/>
  <c r="W24" i="17"/>
  <c r="Y25" i="17"/>
  <c r="Y24" i="17"/>
  <c r="C25" i="15"/>
  <c r="K25" i="15"/>
  <c r="K362" i="3"/>
  <c r="M24" i="17"/>
  <c r="Z24" i="17" s="1"/>
  <c r="M16" i="17"/>
  <c r="Z16" i="17" s="1"/>
  <c r="M25" i="17"/>
  <c r="M11" i="17"/>
  <c r="M19" i="17"/>
  <c r="Z19" i="17" s="1"/>
  <c r="M31" i="17"/>
  <c r="M29" i="17"/>
  <c r="Z30" i="17" s="1"/>
  <c r="M14" i="17"/>
  <c r="Z14" i="17" s="1"/>
  <c r="M22" i="17"/>
  <c r="Z22" i="17" s="1"/>
  <c r="M30" i="17"/>
  <c r="Z32" i="17" s="1"/>
  <c r="M17" i="17"/>
  <c r="Z40" i="17" s="1"/>
  <c r="M26" i="17"/>
  <c r="M12" i="17"/>
  <c r="Z12" i="17" s="1"/>
  <c r="G20" i="13"/>
  <c r="C30" i="15" s="1"/>
  <c r="M28" i="17"/>
  <c r="Z29" i="17" s="1"/>
  <c r="M15" i="17"/>
  <c r="Z15" i="17" s="1"/>
  <c r="M23" i="17"/>
  <c r="Z23" i="17" s="1"/>
  <c r="M27" i="17"/>
  <c r="M13" i="17"/>
  <c r="Z13" i="17" s="1"/>
  <c r="M32" i="17"/>
  <c r="Z34" i="17" s="1"/>
  <c r="Y12" i="17"/>
  <c r="Y29" i="17"/>
  <c r="Y32" i="17"/>
  <c r="Y34" i="17"/>
  <c r="W28" i="17"/>
  <c r="W34" i="17"/>
  <c r="Y19" i="17"/>
  <c r="W19" i="17"/>
  <c r="O22" i="15"/>
  <c r="G29" i="13"/>
  <c r="G22" i="15"/>
  <c r="O17" i="15"/>
  <c r="G24" i="13"/>
  <c r="G17" i="15"/>
  <c r="O8" i="15"/>
  <c r="G12" i="13"/>
  <c r="G8" i="15"/>
  <c r="O10" i="15"/>
  <c r="G10" i="15"/>
  <c r="O12" i="15"/>
  <c r="G16" i="13"/>
  <c r="G12" i="15"/>
  <c r="O15" i="15"/>
  <c r="G22" i="13"/>
  <c r="G15" i="15"/>
  <c r="O18" i="15"/>
  <c r="G25" i="13"/>
  <c r="G18" i="15"/>
  <c r="O20" i="15"/>
  <c r="G27" i="13"/>
  <c r="G20" i="15"/>
  <c r="O21" i="15"/>
  <c r="G28" i="13"/>
  <c r="G21" i="15"/>
  <c r="O23" i="15"/>
  <c r="G30" i="13"/>
  <c r="G23" i="15"/>
  <c r="O7" i="15"/>
  <c r="G11" i="13"/>
  <c r="G7" i="15"/>
  <c r="O9" i="15"/>
  <c r="G9" i="15"/>
  <c r="O11" i="15"/>
  <c r="G15" i="13"/>
  <c r="G11" i="15"/>
  <c r="G17" i="13"/>
  <c r="K28" i="15" s="1"/>
  <c r="G29" i="15"/>
  <c r="G19" i="13"/>
  <c r="G21" i="13"/>
  <c r="O16" i="15"/>
  <c r="G23" i="13"/>
  <c r="G16" i="15"/>
  <c r="O19" i="15"/>
  <c r="G26" i="13"/>
  <c r="G19" i="15"/>
  <c r="O24" i="15"/>
  <c r="G31" i="13"/>
  <c r="G24" i="15"/>
  <c r="O25" i="15"/>
  <c r="G25" i="15"/>
  <c r="K395" i="3"/>
  <c r="I396" i="3"/>
  <c r="K50" i="3"/>
  <c r="K48" i="3"/>
  <c r="I155" i="3"/>
  <c r="K154" i="3"/>
  <c r="K155" i="3" s="1"/>
  <c r="E720" i="3"/>
  <c r="K720" i="3" s="1"/>
  <c r="K386" i="3"/>
  <c r="K855" i="3"/>
  <c r="Q48" i="1"/>
  <c r="X48" i="1" s="1"/>
  <c r="K823" i="3"/>
  <c r="I577" i="3"/>
  <c r="I854" i="3" s="1"/>
  <c r="I579" i="3"/>
  <c r="K360" i="3"/>
  <c r="E332" i="3"/>
  <c r="K332" i="3" s="1"/>
  <c r="I662" i="3"/>
  <c r="I676" i="3"/>
  <c r="K661" i="3"/>
  <c r="K662" i="3" s="1"/>
  <c r="K223" i="3"/>
  <c r="E42" i="3"/>
  <c r="K9" i="15"/>
  <c r="C9" i="15"/>
  <c r="I855" i="3"/>
  <c r="K374" i="3"/>
  <c r="K375" i="3" s="1"/>
  <c r="I375" i="3"/>
  <c r="I21" i="13"/>
  <c r="AE21" i="13"/>
  <c r="AF21" i="13"/>
  <c r="A39" i="7"/>
  <c r="G36" i="7"/>
  <c r="K781" i="3"/>
  <c r="O36" i="7"/>
  <c r="O29" i="8"/>
  <c r="G29" i="8"/>
  <c r="K224" i="3"/>
  <c r="K225" i="3" s="1"/>
  <c r="I225" i="3"/>
  <c r="I238" i="3"/>
  <c r="Q48" i="2"/>
  <c r="S48" i="2" s="1"/>
  <c r="W48" i="2"/>
  <c r="AD40" i="4"/>
  <c r="A18" i="4" s="1"/>
  <c r="K329" i="3"/>
  <c r="R806" i="3"/>
  <c r="I141" i="3"/>
  <c r="K140" i="3"/>
  <c r="K141" i="3" s="1"/>
  <c r="I168" i="3"/>
  <c r="W49" i="1"/>
  <c r="U49" i="1"/>
  <c r="K704" i="3"/>
  <c r="K702" i="3"/>
  <c r="K728" i="3" s="1"/>
  <c r="I21" i="4"/>
  <c r="AF21" i="4"/>
  <c r="AE21" i="4"/>
  <c r="K52" i="2"/>
  <c r="K10" i="15"/>
  <c r="C10" i="15"/>
  <c r="U42" i="1"/>
  <c r="R272" i="3"/>
  <c r="R275" i="3" s="1"/>
  <c r="M270" i="3" s="1"/>
  <c r="O45" i="1"/>
  <c r="R583" i="3" s="1"/>
  <c r="Q9" i="15"/>
  <c r="U13" i="13"/>
  <c r="L9" i="15" s="1"/>
  <c r="AF13" i="13"/>
  <c r="W13" i="13"/>
  <c r="Q7" i="15"/>
  <c r="AF11" i="13"/>
  <c r="U11" i="13"/>
  <c r="L7" i="15" s="1"/>
  <c r="W11" i="13"/>
  <c r="W30" i="13"/>
  <c r="U30" i="13"/>
  <c r="L23" i="15" s="1"/>
  <c r="AF32" i="13"/>
  <c r="Q23" i="15"/>
  <c r="Q17" i="15"/>
  <c r="U24" i="13"/>
  <c r="L17" i="15" s="1"/>
  <c r="AF25" i="13"/>
  <c r="W24" i="13"/>
  <c r="Q24" i="15"/>
  <c r="AF33" i="13"/>
  <c r="U31" i="13"/>
  <c r="L24" i="15" s="1"/>
  <c r="W31" i="13"/>
  <c r="U17" i="13"/>
  <c r="L28" i="15" s="1"/>
  <c r="AF17" i="13"/>
  <c r="W17" i="13"/>
  <c r="W28" i="13"/>
  <c r="AF29" i="13"/>
  <c r="U28" i="13"/>
  <c r="L21" i="15" s="1"/>
  <c r="Q21" i="15"/>
  <c r="Q8" i="15"/>
  <c r="AF12" i="13"/>
  <c r="U12" i="13"/>
  <c r="L8" i="15" s="1"/>
  <c r="W12" i="13"/>
  <c r="Q20" i="15"/>
  <c r="AF28" i="13"/>
  <c r="U27" i="13"/>
  <c r="L20" i="15" s="1"/>
  <c r="W27" i="13"/>
  <c r="K406" i="3"/>
  <c r="K412" i="3" s="1"/>
  <c r="K414" i="3"/>
  <c r="AC19" i="4"/>
  <c r="AE41" i="4"/>
  <c r="AI41" i="4" s="1"/>
  <c r="H35" i="14"/>
  <c r="H40" i="14" s="1"/>
  <c r="H37" i="14"/>
  <c r="M34" i="1"/>
  <c r="M34" i="2"/>
  <c r="K660" i="3"/>
  <c r="S12" i="1"/>
  <c r="U12" i="1" s="1"/>
  <c r="U19" i="13"/>
  <c r="L13" i="15" s="1"/>
  <c r="AF19" i="13"/>
  <c r="Q18" i="15"/>
  <c r="U25" i="13"/>
  <c r="L18" i="15" s="1"/>
  <c r="AF26" i="13"/>
  <c r="W25" i="13"/>
  <c r="U16" i="13"/>
  <c r="L12" i="15" s="1"/>
  <c r="AF16" i="13"/>
  <c r="W16" i="13"/>
  <c r="Q12" i="15"/>
  <c r="AF27" i="13"/>
  <c r="U26" i="13"/>
  <c r="L19" i="15" s="1"/>
  <c r="Q19" i="15"/>
  <c r="Q11" i="15"/>
  <c r="U15" i="13"/>
  <c r="L11" i="15" s="1"/>
  <c r="AF15" i="13"/>
  <c r="W15" i="13"/>
  <c r="Q10" i="15"/>
  <c r="U14" i="13"/>
  <c r="L10" i="15" s="1"/>
  <c r="AF14" i="13"/>
  <c r="Q22" i="15"/>
  <c r="U29" i="13"/>
  <c r="L22" i="15" s="1"/>
  <c r="AF31" i="13"/>
  <c r="W29" i="13"/>
  <c r="U32" i="13"/>
  <c r="L25" i="15" s="1"/>
  <c r="AF34" i="13"/>
  <c r="W32" i="13"/>
  <c r="Q25" i="15"/>
  <c r="Q15" i="15"/>
  <c r="AF22" i="13"/>
  <c r="W22" i="13"/>
  <c r="U22" i="13"/>
  <c r="L15" i="15" s="1"/>
  <c r="Q16" i="15"/>
  <c r="U23" i="13"/>
  <c r="L16" i="15" s="1"/>
  <c r="AF23" i="13"/>
  <c r="A27" i="1"/>
  <c r="K632" i="3"/>
  <c r="K630" i="3"/>
  <c r="W19" i="13"/>
  <c r="X43" i="1"/>
  <c r="R436" i="3"/>
  <c r="U43" i="1"/>
  <c r="S12" i="2" l="1"/>
  <c r="U12" i="2" s="1"/>
  <c r="M31" i="1"/>
  <c r="M31" i="2"/>
  <c r="W31" i="2" s="1"/>
  <c r="K432" i="3"/>
  <c r="K574" i="3"/>
  <c r="K504" i="3"/>
  <c r="O59" i="8"/>
  <c r="G59" i="8"/>
  <c r="U35" i="1"/>
  <c r="W35" i="1"/>
  <c r="M24" i="2"/>
  <c r="W24" i="2" s="1"/>
  <c r="M26" i="1"/>
  <c r="K207" i="3"/>
  <c r="R208" i="3"/>
  <c r="M16" i="1"/>
  <c r="M16" i="2"/>
  <c r="G49" i="7"/>
  <c r="O49" i="7"/>
  <c r="M246" i="3"/>
  <c r="O246" i="3" s="1"/>
  <c r="R8" i="15"/>
  <c r="M261" i="3"/>
  <c r="O261" i="3" s="1"/>
  <c r="M254" i="3"/>
  <c r="O254" i="3" s="1"/>
  <c r="M268" i="3"/>
  <c r="T268" i="3" s="1"/>
  <c r="M248" i="3"/>
  <c r="T248" i="3" s="1"/>
  <c r="M260" i="3"/>
  <c r="O260" i="3" s="1"/>
  <c r="M253" i="3"/>
  <c r="R18" i="15"/>
  <c r="R11" i="15"/>
  <c r="R21" i="15"/>
  <c r="M25" i="15"/>
  <c r="R25" i="15"/>
  <c r="C21" i="17"/>
  <c r="W21" i="17" s="1"/>
  <c r="H14" i="15"/>
  <c r="Q21" i="17"/>
  <c r="C13" i="15"/>
  <c r="K13" i="15"/>
  <c r="M13" i="15" s="1"/>
  <c r="C29" i="15"/>
  <c r="K29" i="15"/>
  <c r="Z21" i="17"/>
  <c r="C14" i="15"/>
  <c r="K14" i="15"/>
  <c r="M14" i="15" s="1"/>
  <c r="R15" i="15"/>
  <c r="R23" i="15"/>
  <c r="R7" i="15"/>
  <c r="R16" i="15"/>
  <c r="R10" i="15"/>
  <c r="K396" i="3"/>
  <c r="R12" i="15"/>
  <c r="R17" i="15"/>
  <c r="M272" i="3"/>
  <c r="T272" i="3" s="1"/>
  <c r="M250" i="3"/>
  <c r="T250" i="3" s="1"/>
  <c r="M249" i="3"/>
  <c r="T249" i="3" s="1"/>
  <c r="M255" i="3"/>
  <c r="T255" i="3" s="1"/>
  <c r="M262" i="3"/>
  <c r="O262" i="3" s="1"/>
  <c r="M269" i="3"/>
  <c r="O269" i="3" s="1"/>
  <c r="M273" i="3"/>
  <c r="O273" i="3" s="1"/>
  <c r="M245" i="3"/>
  <c r="T245" i="3" s="1"/>
  <c r="M252" i="3"/>
  <c r="M258" i="3"/>
  <c r="T258" i="3" s="1"/>
  <c r="M267" i="3"/>
  <c r="O267" i="3" s="1"/>
  <c r="M256" i="3"/>
  <c r="T256" i="3" s="1"/>
  <c r="M265" i="3"/>
  <c r="T265" i="3" s="1"/>
  <c r="M244" i="3"/>
  <c r="T244" i="3" s="1"/>
  <c r="M251" i="3"/>
  <c r="T251" i="3" s="1"/>
  <c r="M257" i="3"/>
  <c r="T257" i="3" s="1"/>
  <c r="M264" i="3"/>
  <c r="T264" i="3" s="1"/>
  <c r="M271" i="3"/>
  <c r="O271" i="3" s="1"/>
  <c r="M274" i="3"/>
  <c r="O274" i="3" s="1"/>
  <c r="R22" i="15"/>
  <c r="R19" i="15"/>
  <c r="M243" i="3"/>
  <c r="O243" i="3" s="1"/>
  <c r="M263" i="3"/>
  <c r="O263" i="3" s="1"/>
  <c r="Q19" i="17"/>
  <c r="Q12" i="17"/>
  <c r="O32" i="17"/>
  <c r="O12" i="17"/>
  <c r="Q30" i="17"/>
  <c r="Q28" i="17"/>
  <c r="R9" i="15"/>
  <c r="R20" i="15"/>
  <c r="R24" i="15"/>
  <c r="O30" i="17"/>
  <c r="Z27" i="17"/>
  <c r="Q26" i="17"/>
  <c r="O26" i="17"/>
  <c r="O16" i="17"/>
  <c r="Q16" i="17"/>
  <c r="I856" i="3"/>
  <c r="O19" i="17"/>
  <c r="Q32" i="17"/>
  <c r="O28" i="17"/>
  <c r="O13" i="17"/>
  <c r="Q13" i="17"/>
  <c r="Q15" i="17"/>
  <c r="O15" i="17"/>
  <c r="Q22" i="17"/>
  <c r="O22" i="17"/>
  <c r="Z31" i="17"/>
  <c r="Q29" i="17"/>
  <c r="O29" i="17"/>
  <c r="Z28" i="17"/>
  <c r="Q27" i="17"/>
  <c r="O27" i="17"/>
  <c r="Q23" i="17"/>
  <c r="O23" i="17"/>
  <c r="Q17" i="17"/>
  <c r="O17" i="17"/>
  <c r="Z26" i="17"/>
  <c r="O25" i="17"/>
  <c r="Q25" i="17"/>
  <c r="Z25" i="17"/>
  <c r="O24" i="17"/>
  <c r="Q24" i="17"/>
  <c r="O48" i="1"/>
  <c r="U48" i="1" s="1"/>
  <c r="O14" i="17"/>
  <c r="Q14" i="17"/>
  <c r="Z33" i="17"/>
  <c r="O31" i="17"/>
  <c r="Q31" i="17"/>
  <c r="Z11" i="17"/>
  <c r="Q11" i="17"/>
  <c r="O11" i="17"/>
  <c r="M26" i="2"/>
  <c r="W26" i="2" s="1"/>
  <c r="AC41" i="17"/>
  <c r="K24" i="15"/>
  <c r="M24" i="15" s="1"/>
  <c r="C24" i="15"/>
  <c r="K19" i="15"/>
  <c r="M19" i="15" s="1"/>
  <c r="C19" i="15"/>
  <c r="K16" i="15"/>
  <c r="M16" i="15" s="1"/>
  <c r="C16" i="15"/>
  <c r="K11" i="15"/>
  <c r="M11" i="15" s="1"/>
  <c r="C11" i="15"/>
  <c r="K7" i="15"/>
  <c r="M7" i="15" s="1"/>
  <c r="C7" i="15"/>
  <c r="K23" i="15"/>
  <c r="M23" i="15" s="1"/>
  <c r="C23" i="15"/>
  <c r="K21" i="15"/>
  <c r="M21" i="15" s="1"/>
  <c r="C21" i="15"/>
  <c r="K20" i="15"/>
  <c r="M20" i="15" s="1"/>
  <c r="C20" i="15"/>
  <c r="K18" i="15"/>
  <c r="M18" i="15" s="1"/>
  <c r="C18" i="15"/>
  <c r="K15" i="15"/>
  <c r="M15" i="15" s="1"/>
  <c r="C15" i="15"/>
  <c r="K12" i="15"/>
  <c r="M12" i="15" s="1"/>
  <c r="C12" i="15"/>
  <c r="K8" i="15"/>
  <c r="M8" i="15" s="1"/>
  <c r="C8" i="15"/>
  <c r="K17" i="15"/>
  <c r="M17" i="15" s="1"/>
  <c r="C17" i="15"/>
  <c r="K22" i="15"/>
  <c r="M22" i="15" s="1"/>
  <c r="C22" i="15"/>
  <c r="M33" i="2"/>
  <c r="W33" i="2" s="1"/>
  <c r="M33" i="1"/>
  <c r="R683" i="3"/>
  <c r="AE39" i="4"/>
  <c r="AI39" i="4" s="1"/>
  <c r="AC21" i="4"/>
  <c r="M29" i="2"/>
  <c r="W29" i="2" s="1"/>
  <c r="M29" i="1"/>
  <c r="AC18" i="13"/>
  <c r="M18" i="17"/>
  <c r="Z18" i="17" s="1"/>
  <c r="G39" i="7"/>
  <c r="O39" i="7"/>
  <c r="M15" i="1"/>
  <c r="M15" i="2"/>
  <c r="U45" i="1"/>
  <c r="M10" i="15"/>
  <c r="M9" i="15"/>
  <c r="I169" i="3"/>
  <c r="K168" i="3"/>
  <c r="K169" i="3" s="1"/>
  <c r="K336" i="3"/>
  <c r="K334" i="3"/>
  <c r="I677" i="3"/>
  <c r="K676" i="3"/>
  <c r="K677" i="3" s="1"/>
  <c r="M37" i="1"/>
  <c r="M37" i="2"/>
  <c r="W37" i="2" s="1"/>
  <c r="R801" i="3"/>
  <c r="K730" i="3"/>
  <c r="Q18" i="4"/>
  <c r="AD18" i="4"/>
  <c r="AC18" i="4"/>
  <c r="I239" i="3"/>
  <c r="K238" i="3"/>
  <c r="K239" i="3" s="1"/>
  <c r="AI39" i="13"/>
  <c r="AC21" i="13"/>
  <c r="M32" i="1"/>
  <c r="M32" i="2"/>
  <c r="W32" i="2" s="1"/>
  <c r="W34" i="2"/>
  <c r="Q34" i="2"/>
  <c r="S34" i="2" s="1"/>
  <c r="M28" i="2"/>
  <c r="M28" i="1"/>
  <c r="Q34" i="1"/>
  <c r="X34" i="1" s="1"/>
  <c r="A28" i="1"/>
  <c r="A29" i="1" s="1"/>
  <c r="A25" i="2"/>
  <c r="A26" i="2"/>
  <c r="O253" i="3"/>
  <c r="T253" i="3"/>
  <c r="T270" i="3"/>
  <c r="O270" i="3"/>
  <c r="R586" i="3"/>
  <c r="T252" i="3"/>
  <c r="O252" i="3"/>
  <c r="T260" i="3"/>
  <c r="R439" i="3"/>
  <c r="K209" i="3" l="1"/>
  <c r="K211" i="3"/>
  <c r="K577" i="3"/>
  <c r="K579" i="3"/>
  <c r="M18" i="1"/>
  <c r="W16" i="2"/>
  <c r="AB16" i="2"/>
  <c r="O248" i="3"/>
  <c r="W48" i="1"/>
  <c r="T269" i="3"/>
  <c r="O268" i="3"/>
  <c r="O272" i="3"/>
  <c r="O250" i="3"/>
  <c r="T254" i="3"/>
  <c r="M30" i="1"/>
  <c r="O244" i="3"/>
  <c r="O258" i="3"/>
  <c r="T243" i="3"/>
  <c r="T246" i="3"/>
  <c r="T271" i="3"/>
  <c r="T267" i="3"/>
  <c r="O249" i="3"/>
  <c r="T262" i="3"/>
  <c r="T261" i="3"/>
  <c r="T263" i="3"/>
  <c r="O265" i="3"/>
  <c r="T273" i="3"/>
  <c r="K18" i="17"/>
  <c r="O18" i="17" s="1"/>
  <c r="AE41" i="13"/>
  <c r="AI41" i="13" s="1"/>
  <c r="O264" i="3"/>
  <c r="O256" i="3"/>
  <c r="O255" i="3"/>
  <c r="O257" i="3"/>
  <c r="O245" i="3"/>
  <c r="T274" i="3"/>
  <c r="O251" i="3"/>
  <c r="AD40" i="17"/>
  <c r="AC39" i="17"/>
  <c r="AE40" i="4"/>
  <c r="AI40" i="4" s="1"/>
  <c r="AE18" i="4"/>
  <c r="W15" i="2"/>
  <c r="AB15" i="2"/>
  <c r="M18" i="2"/>
  <c r="U18" i="13"/>
  <c r="AF18" i="13"/>
  <c r="R802" i="3"/>
  <c r="M25" i="2"/>
  <c r="M25" i="1"/>
  <c r="M27" i="1" s="1"/>
  <c r="AI40" i="13"/>
  <c r="AE18" i="13"/>
  <c r="W18" i="13"/>
  <c r="A30" i="1"/>
  <c r="A31" i="1" s="1"/>
  <c r="A32" i="1" s="1"/>
  <c r="A27" i="2"/>
  <c r="A28" i="2" s="1"/>
  <c r="O34" i="1"/>
  <c r="W28" i="2"/>
  <c r="M30" i="2"/>
  <c r="M467" i="3"/>
  <c r="M470" i="3"/>
  <c r="M438" i="3"/>
  <c r="M449" i="3"/>
  <c r="M448" i="3"/>
  <c r="M464" i="3"/>
  <c r="M465" i="3"/>
  <c r="M436" i="3"/>
  <c r="M444" i="3"/>
  <c r="M445" i="3"/>
  <c r="M457" i="3"/>
  <c r="M461" i="3"/>
  <c r="M475" i="3"/>
  <c r="M477" i="3"/>
  <c r="M441" i="3"/>
  <c r="M454" i="3"/>
  <c r="M458" i="3"/>
  <c r="M471" i="3"/>
  <c r="M472" i="3"/>
  <c r="M439" i="3"/>
  <c r="M450" i="3"/>
  <c r="M453" i="3"/>
  <c r="M466" i="3"/>
  <c r="M468" i="3"/>
  <c r="M437" i="3"/>
  <c r="M446" i="3"/>
  <c r="M447" i="3"/>
  <c r="M459" i="3"/>
  <c r="M462" i="3"/>
  <c r="M479" i="3"/>
  <c r="M442" i="3"/>
  <c r="M443" i="3"/>
  <c r="M455" i="3"/>
  <c r="M460" i="3"/>
  <c r="M473" i="3"/>
  <c r="M474" i="3"/>
  <c r="M440" i="3"/>
  <c r="M452" i="3"/>
  <c r="M456" i="3"/>
  <c r="M585" i="3"/>
  <c r="M583" i="3"/>
  <c r="M582" i="3"/>
  <c r="M39" i="2" l="1"/>
  <c r="M40" i="2" s="1"/>
  <c r="W40" i="2" s="1"/>
  <c r="M44" i="2"/>
  <c r="M44" i="1"/>
  <c r="M21" i="1"/>
  <c r="M23" i="1" s="1"/>
  <c r="M21" i="2"/>
  <c r="K854" i="3"/>
  <c r="K856" i="3" s="1"/>
  <c r="Q18" i="17"/>
  <c r="Y18" i="17"/>
  <c r="M28" i="15"/>
  <c r="L29" i="15"/>
  <c r="M29" i="15" s="1"/>
  <c r="O275" i="3"/>
  <c r="O281" i="3" s="1"/>
  <c r="AC40" i="17"/>
  <c r="AB40" i="17"/>
  <c r="AA40" i="17"/>
  <c r="M39" i="1"/>
  <c r="M40" i="1" s="1"/>
  <c r="M27" i="2"/>
  <c r="W27" i="2" s="1"/>
  <c r="W25" i="2"/>
  <c r="AJ40" i="13"/>
  <c r="AG40" i="13"/>
  <c r="AH40" i="13"/>
  <c r="R28" i="15"/>
  <c r="S28" i="15" s="1"/>
  <c r="AB18" i="2"/>
  <c r="W18" i="2"/>
  <c r="W30" i="2"/>
  <c r="A33" i="1"/>
  <c r="A29" i="2"/>
  <c r="U34" i="1"/>
  <c r="W34" i="1"/>
  <c r="M584" i="3"/>
  <c r="T582" i="3"/>
  <c r="O582" i="3"/>
  <c r="O583" i="3"/>
  <c r="T583" i="3"/>
  <c r="O456" i="3"/>
  <c r="T456" i="3"/>
  <c r="T440" i="3"/>
  <c r="O440" i="3"/>
  <c r="T473" i="3"/>
  <c r="O473" i="3"/>
  <c r="O455" i="3"/>
  <c r="T455" i="3"/>
  <c r="T442" i="3"/>
  <c r="O442" i="3"/>
  <c r="O462" i="3"/>
  <c r="T462" i="3"/>
  <c r="T447" i="3"/>
  <c r="O447" i="3"/>
  <c r="O437" i="3"/>
  <c r="T437" i="3"/>
  <c r="O466" i="3"/>
  <c r="T466" i="3"/>
  <c r="T450" i="3"/>
  <c r="O450" i="3"/>
  <c r="O472" i="3"/>
  <c r="T472" i="3"/>
  <c r="T458" i="3"/>
  <c r="O458" i="3"/>
  <c r="O441" i="3"/>
  <c r="T441" i="3"/>
  <c r="O475" i="3"/>
  <c r="T475" i="3"/>
  <c r="T457" i="3"/>
  <c r="O457" i="3"/>
  <c r="O444" i="3"/>
  <c r="T444" i="3"/>
  <c r="T465" i="3"/>
  <c r="O465" i="3"/>
  <c r="O448" i="3"/>
  <c r="T448" i="3"/>
  <c r="T438" i="3"/>
  <c r="O438" i="3"/>
  <c r="T467" i="3"/>
  <c r="O467" i="3"/>
  <c r="T585" i="3"/>
  <c r="O585" i="3"/>
  <c r="O452" i="3"/>
  <c r="T452" i="3"/>
  <c r="T474" i="3"/>
  <c r="O474" i="3"/>
  <c r="O460" i="3"/>
  <c r="T460" i="3"/>
  <c r="T443" i="3"/>
  <c r="O443" i="3"/>
  <c r="T479" i="3"/>
  <c r="O479" i="3"/>
  <c r="O459" i="3"/>
  <c r="T459" i="3"/>
  <c r="T446" i="3"/>
  <c r="O446" i="3"/>
  <c r="O468" i="3"/>
  <c r="T468" i="3"/>
  <c r="T453" i="3"/>
  <c r="O453" i="3"/>
  <c r="O439" i="3"/>
  <c r="T439" i="3"/>
  <c r="O471" i="3"/>
  <c r="T471" i="3"/>
  <c r="T454" i="3"/>
  <c r="O454" i="3"/>
  <c r="O477" i="3"/>
  <c r="T477" i="3"/>
  <c r="T461" i="3"/>
  <c r="O461" i="3"/>
  <c r="O445" i="3"/>
  <c r="T445" i="3"/>
  <c r="T436" i="3"/>
  <c r="O436" i="3"/>
  <c r="T464" i="3"/>
  <c r="O464" i="3"/>
  <c r="O449" i="3"/>
  <c r="T449" i="3"/>
  <c r="T470" i="3"/>
  <c r="O470" i="3"/>
  <c r="W39" i="2" l="1"/>
  <c r="W21" i="2"/>
  <c r="M23" i="2"/>
  <c r="W23" i="2" s="1"/>
  <c r="Q44" i="1"/>
  <c r="M47" i="1"/>
  <c r="M51" i="1" s="1"/>
  <c r="M52" i="1" s="1"/>
  <c r="Q59" i="1" s="1"/>
  <c r="M47" i="2"/>
  <c r="W44" i="2"/>
  <c r="O279" i="3"/>
  <c r="R271" i="3" s="1"/>
  <c r="A30" i="2"/>
  <c r="A34" i="1"/>
  <c r="O480" i="3"/>
  <c r="O584" i="3"/>
  <c r="M586" i="3" s="1"/>
  <c r="T584" i="3"/>
  <c r="W47" i="2" l="1"/>
  <c r="M53" i="2"/>
  <c r="M51" i="2"/>
  <c r="M53" i="1"/>
  <c r="Y23" i="2"/>
  <c r="O44" i="1"/>
  <c r="X44" i="1"/>
  <c r="O42" i="2"/>
  <c r="U42" i="2" s="1"/>
  <c r="R276" i="3"/>
  <c r="A38" i="1"/>
  <c r="A35" i="1"/>
  <c r="A32" i="2"/>
  <c r="A33" i="2" s="1"/>
  <c r="A34" i="2" s="1"/>
  <c r="A35" i="2" s="1"/>
  <c r="A31" i="2"/>
  <c r="R274" i="3"/>
  <c r="R273" i="3"/>
  <c r="O486" i="3"/>
  <c r="O484" i="3"/>
  <c r="O586" i="3"/>
  <c r="O590" i="3" s="1"/>
  <c r="T586" i="3"/>
  <c r="U44" i="1" l="1"/>
  <c r="R492" i="3"/>
  <c r="R495" i="3" s="1"/>
  <c r="Q60" i="1"/>
  <c r="Q61" i="1"/>
  <c r="Q62" i="1" s="1"/>
  <c r="M52" i="2"/>
  <c r="Y51" i="2"/>
  <c r="W51" i="2"/>
  <c r="Y47" i="2"/>
  <c r="Y18" i="2"/>
  <c r="Y24" i="2"/>
  <c r="Y40" i="2"/>
  <c r="Y37" i="2"/>
  <c r="Y33" i="2"/>
  <c r="Y31" i="2"/>
  <c r="W53" i="2"/>
  <c r="Y35" i="2"/>
  <c r="Y39" i="2"/>
  <c r="Y30" i="2"/>
  <c r="M55" i="2"/>
  <c r="Y53" i="2"/>
  <c r="Y27" i="2"/>
  <c r="Y32" i="2"/>
  <c r="Y34" i="2"/>
  <c r="Y38" i="2"/>
  <c r="Y36" i="2"/>
  <c r="Q42" i="2"/>
  <c r="W42" i="1"/>
  <c r="A36" i="2"/>
  <c r="A37" i="2" s="1"/>
  <c r="A38" i="2" s="1"/>
  <c r="A39" i="2" s="1"/>
  <c r="A40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36" i="1"/>
  <c r="A37" i="1" s="1"/>
  <c r="O43" i="2"/>
  <c r="R440" i="3"/>
  <c r="R435" i="3"/>
  <c r="Q485" i="3"/>
  <c r="Q484" i="3"/>
  <c r="O588" i="3"/>
  <c r="S42" i="2"/>
  <c r="W52" i="2" l="1"/>
  <c r="Y52" i="2"/>
  <c r="S46" i="1"/>
  <c r="Q46" i="1" s="1"/>
  <c r="R684" i="3"/>
  <c r="R682" i="3" s="1"/>
  <c r="S16" i="1"/>
  <c r="Q16" i="1" s="1"/>
  <c r="S24" i="1"/>
  <c r="Q24" i="1" s="1"/>
  <c r="S15" i="1"/>
  <c r="Q15" i="1" s="1"/>
  <c r="Q65" i="1"/>
  <c r="S28" i="1" s="1"/>
  <c r="Q63" i="1"/>
  <c r="Q64" i="1"/>
  <c r="M528" i="3"/>
  <c r="M491" i="3"/>
  <c r="M525" i="3"/>
  <c r="M556" i="3"/>
  <c r="M530" i="3"/>
  <c r="M519" i="3"/>
  <c r="M514" i="3"/>
  <c r="M492" i="3"/>
  <c r="M568" i="3"/>
  <c r="M501" i="3"/>
  <c r="M564" i="3"/>
  <c r="M561" i="3"/>
  <c r="M543" i="3"/>
  <c r="M534" i="3"/>
  <c r="M509" i="3"/>
  <c r="M508" i="3"/>
  <c r="M512" i="3"/>
  <c r="M553" i="3"/>
  <c r="M560" i="3"/>
  <c r="M527" i="3"/>
  <c r="M566" i="3"/>
  <c r="M495" i="3"/>
  <c r="M523" i="3"/>
  <c r="M493" i="3"/>
  <c r="M567" i="3"/>
  <c r="M511" i="3"/>
  <c r="M563" i="3"/>
  <c r="M559" i="3"/>
  <c r="M518" i="3"/>
  <c r="M540" i="3"/>
  <c r="M558" i="3"/>
  <c r="M539" i="3"/>
  <c r="M494" i="3"/>
  <c r="M554" i="3"/>
  <c r="M515" i="3"/>
  <c r="M533" i="3"/>
  <c r="M538" i="3"/>
  <c r="M517" i="3"/>
  <c r="M542" i="3"/>
  <c r="M569" i="3"/>
  <c r="M529" i="3"/>
  <c r="M535" i="3"/>
  <c r="M557" i="3"/>
  <c r="M522" i="3"/>
  <c r="M549" i="3"/>
  <c r="M520" i="3"/>
  <c r="M500" i="3"/>
  <c r="M550" i="3"/>
  <c r="M537" i="3"/>
  <c r="M521" i="3"/>
  <c r="M536" i="3"/>
  <c r="M497" i="3"/>
  <c r="M562" i="3"/>
  <c r="M526" i="3"/>
  <c r="M531" i="3"/>
  <c r="M552" i="3"/>
  <c r="M499" i="3"/>
  <c r="M498" i="3"/>
  <c r="M524" i="3"/>
  <c r="M513" i="3"/>
  <c r="M507" i="3"/>
  <c r="A39" i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O45" i="2"/>
  <c r="R587" i="3"/>
  <c r="R582" i="3"/>
  <c r="R438" i="3"/>
  <c r="R437" i="3"/>
  <c r="Q43" i="2"/>
  <c r="U43" i="2"/>
  <c r="W43" i="1"/>
  <c r="T526" i="3" l="1"/>
  <c r="O526" i="3"/>
  <c r="O495" i="3"/>
  <c r="T495" i="3"/>
  <c r="S29" i="1"/>
  <c r="Q29" i="1" s="1"/>
  <c r="Q28" i="1"/>
  <c r="O507" i="3"/>
  <c r="T507" i="3"/>
  <c r="T538" i="3"/>
  <c r="O538" i="3"/>
  <c r="O543" i="3"/>
  <c r="T543" i="3"/>
  <c r="T513" i="3"/>
  <c r="O513" i="3"/>
  <c r="T559" i="3"/>
  <c r="O559" i="3"/>
  <c r="X24" i="1"/>
  <c r="O24" i="1"/>
  <c r="O557" i="3"/>
  <c r="T557" i="3"/>
  <c r="T499" i="3"/>
  <c r="O499" i="3"/>
  <c r="T537" i="3"/>
  <c r="O537" i="3"/>
  <c r="O529" i="3"/>
  <c r="T529" i="3"/>
  <c r="O494" i="3"/>
  <c r="T494" i="3"/>
  <c r="T567" i="3"/>
  <c r="O567" i="3"/>
  <c r="O512" i="3"/>
  <c r="T512" i="3"/>
  <c r="T568" i="3"/>
  <c r="O568" i="3"/>
  <c r="T528" i="3"/>
  <c r="O528" i="3"/>
  <c r="O46" i="1"/>
  <c r="X46" i="1"/>
  <c r="Q47" i="1"/>
  <c r="O520" i="3"/>
  <c r="T520" i="3"/>
  <c r="O540" i="3"/>
  <c r="T540" i="3"/>
  <c r="O519" i="3"/>
  <c r="T519" i="3"/>
  <c r="T562" i="3"/>
  <c r="O562" i="3"/>
  <c r="O518" i="3"/>
  <c r="T518" i="3"/>
  <c r="X15" i="1"/>
  <c r="Q18" i="1"/>
  <c r="O15" i="1"/>
  <c r="T522" i="3"/>
  <c r="O522" i="3"/>
  <c r="O527" i="3"/>
  <c r="T527" i="3"/>
  <c r="O556" i="3"/>
  <c r="T556" i="3"/>
  <c r="O536" i="3"/>
  <c r="T536" i="3"/>
  <c r="O515" i="3"/>
  <c r="T515" i="3"/>
  <c r="T560" i="3"/>
  <c r="O560" i="3"/>
  <c r="T525" i="3"/>
  <c r="O525" i="3"/>
  <c r="T521" i="3"/>
  <c r="O521" i="3"/>
  <c r="O554" i="3"/>
  <c r="T554" i="3"/>
  <c r="T553" i="3"/>
  <c r="O553" i="3"/>
  <c r="M684" i="3"/>
  <c r="M686" i="3"/>
  <c r="M681" i="3"/>
  <c r="M695" i="3"/>
  <c r="M691" i="3"/>
  <c r="M682" i="3"/>
  <c r="M688" i="3"/>
  <c r="M693" i="3"/>
  <c r="M689" i="3"/>
  <c r="M700" i="3"/>
  <c r="M696" i="3"/>
  <c r="M698" i="3"/>
  <c r="O552" i="3"/>
  <c r="T552" i="3"/>
  <c r="O550" i="3"/>
  <c r="T550" i="3"/>
  <c r="T569" i="3"/>
  <c r="O569" i="3"/>
  <c r="T539" i="3"/>
  <c r="O539" i="3"/>
  <c r="O493" i="3"/>
  <c r="T493" i="3"/>
  <c r="O508" i="3"/>
  <c r="T508" i="3"/>
  <c r="T492" i="3"/>
  <c r="O492" i="3"/>
  <c r="S25" i="1"/>
  <c r="S31" i="1"/>
  <c r="Q31" i="1" s="1"/>
  <c r="T517" i="3"/>
  <c r="O517" i="3"/>
  <c r="T534" i="3"/>
  <c r="O534" i="3"/>
  <c r="T549" i="3"/>
  <c r="O549" i="3"/>
  <c r="O566" i="3"/>
  <c r="T566" i="3"/>
  <c r="O530" i="3"/>
  <c r="T530" i="3"/>
  <c r="O497" i="3"/>
  <c r="T497" i="3"/>
  <c r="O533" i="3"/>
  <c r="T533" i="3"/>
  <c r="T561" i="3"/>
  <c r="O561" i="3"/>
  <c r="T524" i="3"/>
  <c r="O524" i="3"/>
  <c r="O563" i="3"/>
  <c r="T563" i="3"/>
  <c r="O564" i="3"/>
  <c r="T564" i="3"/>
  <c r="X16" i="1"/>
  <c r="O16" i="1"/>
  <c r="U16" i="1" s="1"/>
  <c r="T498" i="3"/>
  <c r="O498" i="3"/>
  <c r="T535" i="3"/>
  <c r="O535" i="3"/>
  <c r="T511" i="3"/>
  <c r="O511" i="3"/>
  <c r="O501" i="3"/>
  <c r="T501" i="3"/>
  <c r="O491" i="3"/>
  <c r="T491" i="3"/>
  <c r="O531" i="3"/>
  <c r="T531" i="3"/>
  <c r="O500" i="3"/>
  <c r="T500" i="3"/>
  <c r="O542" i="3"/>
  <c r="T542" i="3"/>
  <c r="O558" i="3"/>
  <c r="T558" i="3"/>
  <c r="O523" i="3"/>
  <c r="T523" i="3"/>
  <c r="T509" i="3"/>
  <c r="O509" i="3"/>
  <c r="O514" i="3"/>
  <c r="T514" i="3"/>
  <c r="S32" i="1"/>
  <c r="Q32" i="1" s="1"/>
  <c r="S20" i="1"/>
  <c r="S43" i="2"/>
  <c r="R585" i="3"/>
  <c r="R584" i="3"/>
  <c r="Q45" i="2"/>
  <c r="S45" i="2" s="1"/>
  <c r="U45" i="2"/>
  <c r="W45" i="1"/>
  <c r="O693" i="3" l="1"/>
  <c r="T693" i="3"/>
  <c r="M746" i="3"/>
  <c r="T688" i="3"/>
  <c r="O688" i="3"/>
  <c r="M741" i="3"/>
  <c r="Q20" i="1"/>
  <c r="S22" i="1"/>
  <c r="Q22" i="1" s="1"/>
  <c r="S21" i="1"/>
  <c r="Q21" i="1" s="1"/>
  <c r="Q30" i="1"/>
  <c r="O28" i="1"/>
  <c r="X28" i="1"/>
  <c r="O502" i="3"/>
  <c r="T691" i="3"/>
  <c r="O691" i="3"/>
  <c r="M744" i="3"/>
  <c r="M692" i="3"/>
  <c r="R593" i="3"/>
  <c r="R596" i="3" s="1"/>
  <c r="M593" i="3" s="1"/>
  <c r="U46" i="1"/>
  <c r="O47" i="1"/>
  <c r="X29" i="1"/>
  <c r="O29" i="1"/>
  <c r="U29" i="1" s="1"/>
  <c r="X31" i="1"/>
  <c r="O31" i="1"/>
  <c r="T698" i="3"/>
  <c r="M751" i="3"/>
  <c r="M699" i="3"/>
  <c r="O698" i="3"/>
  <c r="O695" i="3"/>
  <c r="T695" i="3"/>
  <c r="M748" i="3"/>
  <c r="U15" i="1"/>
  <c r="R16" i="3"/>
  <c r="O18" i="1"/>
  <c r="U18" i="1" s="1"/>
  <c r="Q25" i="1"/>
  <c r="S26" i="1"/>
  <c r="Q26" i="1" s="1"/>
  <c r="T696" i="3"/>
  <c r="O696" i="3"/>
  <c r="M749" i="3"/>
  <c r="M734" i="3"/>
  <c r="T681" i="3"/>
  <c r="O681" i="3"/>
  <c r="S18" i="1"/>
  <c r="X18" i="1"/>
  <c r="Q51" i="1"/>
  <c r="S47" i="1"/>
  <c r="X47" i="1"/>
  <c r="O544" i="3"/>
  <c r="O546" i="3" s="1"/>
  <c r="T682" i="3"/>
  <c r="O682" i="3"/>
  <c r="M735" i="3"/>
  <c r="O32" i="1"/>
  <c r="X32" i="1"/>
  <c r="O570" i="3"/>
  <c r="O572" i="3" s="1"/>
  <c r="T700" i="3"/>
  <c r="O700" i="3"/>
  <c r="M753" i="3"/>
  <c r="T686" i="3"/>
  <c r="O686" i="3"/>
  <c r="M739" i="3"/>
  <c r="R286" i="3"/>
  <c r="R289" i="3" s="1"/>
  <c r="M284" i="3" s="1"/>
  <c r="U24" i="1"/>
  <c r="T689" i="3"/>
  <c r="M742" i="3"/>
  <c r="O689" i="3"/>
  <c r="O684" i="3"/>
  <c r="M737" i="3"/>
  <c r="M685" i="3"/>
  <c r="T684" i="3"/>
  <c r="R20" i="3" l="1"/>
  <c r="R19" i="3"/>
  <c r="T692" i="3"/>
  <c r="M745" i="3"/>
  <c r="O692" i="3"/>
  <c r="T734" i="3"/>
  <c r="O734" i="3"/>
  <c r="U31" i="1"/>
  <c r="R610" i="3"/>
  <c r="R613" i="3" s="1"/>
  <c r="M602" i="3" s="1"/>
  <c r="T744" i="3"/>
  <c r="O744" i="3"/>
  <c r="X22" i="1"/>
  <c r="O22" i="1"/>
  <c r="U22" i="1" s="1"/>
  <c r="O749" i="3"/>
  <c r="M800" i="3"/>
  <c r="T749" i="3"/>
  <c r="M799" i="3"/>
  <c r="O748" i="3"/>
  <c r="T748" i="3"/>
  <c r="X20" i="1"/>
  <c r="O20" i="1"/>
  <c r="Q23" i="1"/>
  <c r="O741" i="3"/>
  <c r="T741" i="3"/>
  <c r="M804" i="3"/>
  <c r="T753" i="3"/>
  <c r="O753" i="3"/>
  <c r="X21" i="1"/>
  <c r="O21" i="1"/>
  <c r="T685" i="3"/>
  <c r="O685" i="3"/>
  <c r="M738" i="3"/>
  <c r="T739" i="3"/>
  <c r="O739" i="3"/>
  <c r="U32" i="1"/>
  <c r="R621" i="3"/>
  <c r="O26" i="1"/>
  <c r="X26" i="1"/>
  <c r="O51" i="1"/>
  <c r="U51" i="1" s="1"/>
  <c r="U47" i="1"/>
  <c r="T737" i="3"/>
  <c r="O737" i="3"/>
  <c r="O735" i="3"/>
  <c r="T735" i="3"/>
  <c r="X25" i="1"/>
  <c r="O25" i="1"/>
  <c r="Q27" i="1"/>
  <c r="O699" i="3"/>
  <c r="O702" i="3" s="1"/>
  <c r="R702" i="3" s="1"/>
  <c r="T699" i="3"/>
  <c r="M752" i="3"/>
  <c r="U28" i="1"/>
  <c r="O30" i="1"/>
  <c r="T746" i="3"/>
  <c r="O746" i="3"/>
  <c r="T742" i="3"/>
  <c r="O742" i="3"/>
  <c r="M298" i="3"/>
  <c r="R291" i="3"/>
  <c r="Y10" i="7"/>
  <c r="Y19" i="7" s="1"/>
  <c r="O284" i="3"/>
  <c r="R290" i="3" s="1"/>
  <c r="T284" i="3"/>
  <c r="S51" i="1"/>
  <c r="X51" i="1"/>
  <c r="O504" i="3"/>
  <c r="O574" i="3"/>
  <c r="M802" i="3"/>
  <c r="O751" i="3"/>
  <c r="T751" i="3"/>
  <c r="T593" i="3"/>
  <c r="O593" i="3"/>
  <c r="X30" i="1"/>
  <c r="S30" i="1"/>
  <c r="T738" i="3" l="1"/>
  <c r="O738" i="3"/>
  <c r="O704" i="3"/>
  <c r="O800" i="3"/>
  <c r="T800" i="3"/>
  <c r="M594" i="3"/>
  <c r="R327" i="3"/>
  <c r="R330" i="3" s="1"/>
  <c r="M326" i="3" s="1"/>
  <c r="O27" i="1"/>
  <c r="U27" i="1" s="1"/>
  <c r="U25" i="1"/>
  <c r="S23" i="1"/>
  <c r="X23" i="1"/>
  <c r="U26" i="1"/>
  <c r="R379" i="3"/>
  <c r="R382" i="3" s="1"/>
  <c r="U21" i="1"/>
  <c r="R201" i="3"/>
  <c r="R204" i="3" s="1"/>
  <c r="R120" i="3"/>
  <c r="R123" i="3" s="1"/>
  <c r="M116" i="3" s="1"/>
  <c r="O23" i="1"/>
  <c r="U23" i="1" s="1"/>
  <c r="U20" i="1"/>
  <c r="X27" i="1"/>
  <c r="S27" i="1"/>
  <c r="M287" i="3"/>
  <c r="M285" i="3"/>
  <c r="M289" i="3"/>
  <c r="M290" i="3"/>
  <c r="M286" i="3"/>
  <c r="M288" i="3"/>
  <c r="U30" i="1"/>
  <c r="R406" i="3"/>
  <c r="R408" i="3" s="1"/>
  <c r="R625" i="3"/>
  <c r="R624" i="3"/>
  <c r="T745" i="3"/>
  <c r="O745" i="3"/>
  <c r="O802" i="3"/>
  <c r="T802" i="3"/>
  <c r="O752" i="3"/>
  <c r="O757" i="3" s="1"/>
  <c r="M803" i="3"/>
  <c r="T752" i="3"/>
  <c r="O577" i="3"/>
  <c r="O579" i="3"/>
  <c r="M312" i="3"/>
  <c r="O298" i="3"/>
  <c r="T298" i="3"/>
  <c r="O804" i="3"/>
  <c r="T804" i="3"/>
  <c r="T799" i="3"/>
  <c r="O799" i="3"/>
  <c r="T602" i="3"/>
  <c r="O602" i="3"/>
  <c r="M609" i="3"/>
  <c r="M16" i="3"/>
  <c r="M15" i="3"/>
  <c r="M14" i="3"/>
  <c r="Q578" i="3" l="1"/>
  <c r="Q577" i="3"/>
  <c r="O44" i="2"/>
  <c r="R496" i="3"/>
  <c r="R491" i="3"/>
  <c r="O594" i="3"/>
  <c r="T594" i="3"/>
  <c r="M399" i="3"/>
  <c r="M400" i="3"/>
  <c r="M401" i="3"/>
  <c r="T16" i="3"/>
  <c r="M37" i="3"/>
  <c r="M60" i="3"/>
  <c r="AA16" i="4"/>
  <c r="O16" i="3"/>
  <c r="M717" i="3"/>
  <c r="M302" i="3"/>
  <c r="Y13" i="7"/>
  <c r="Y22" i="7" s="1"/>
  <c r="M770" i="3"/>
  <c r="T288" i="3"/>
  <c r="O288" i="3"/>
  <c r="T609" i="3"/>
  <c r="O609" i="3"/>
  <c r="Y12" i="7"/>
  <c r="M767" i="3"/>
  <c r="T286" i="3"/>
  <c r="M715" i="3"/>
  <c r="O286" i="3"/>
  <c r="M300" i="3"/>
  <c r="O755" i="3"/>
  <c r="R755" i="3" s="1"/>
  <c r="O285" i="3"/>
  <c r="M769" i="3"/>
  <c r="Y11" i="7"/>
  <c r="Y20" i="7" s="1"/>
  <c r="M714" i="3"/>
  <c r="T285" i="3"/>
  <c r="M299" i="3"/>
  <c r="M624" i="3"/>
  <c r="M623" i="3"/>
  <c r="M622" i="3"/>
  <c r="M621" i="3"/>
  <c r="M625" i="3"/>
  <c r="M626" i="3"/>
  <c r="M22" i="3"/>
  <c r="M24" i="3"/>
  <c r="T14" i="3"/>
  <c r="M58" i="3"/>
  <c r="O14" i="3"/>
  <c r="AA14" i="4"/>
  <c r="M35" i="3"/>
  <c r="O803" i="3"/>
  <c r="T803" i="3"/>
  <c r="T15" i="3"/>
  <c r="M36" i="3"/>
  <c r="O15" i="3"/>
  <c r="M59" i="3"/>
  <c r="AA15" i="4"/>
  <c r="T312" i="3"/>
  <c r="O312" i="3"/>
  <c r="Y23" i="7"/>
  <c r="M772" i="3"/>
  <c r="M719" i="3"/>
  <c r="M304" i="3"/>
  <c r="O290" i="3"/>
  <c r="T290" i="3"/>
  <c r="M158" i="3"/>
  <c r="M123" i="3"/>
  <c r="M186" i="3"/>
  <c r="M200" i="3"/>
  <c r="M102" i="3"/>
  <c r="M130" i="3"/>
  <c r="O116" i="3"/>
  <c r="M144" i="3"/>
  <c r="M172" i="3"/>
  <c r="T116" i="3"/>
  <c r="R124" i="3"/>
  <c r="W10" i="6"/>
  <c r="W17" i="6" s="1"/>
  <c r="T287" i="3"/>
  <c r="O287" i="3"/>
  <c r="M768" i="3"/>
  <c r="M301" i="3"/>
  <c r="Y21" i="7"/>
  <c r="M716" i="3"/>
  <c r="M718" i="3"/>
  <c r="M303" i="3"/>
  <c r="Y14" i="7"/>
  <c r="T289" i="3"/>
  <c r="O289" i="3"/>
  <c r="M771" i="3"/>
  <c r="M365" i="3"/>
  <c r="T326" i="3"/>
  <c r="O326" i="3"/>
  <c r="R331" i="3" s="1"/>
  <c r="R332" i="3"/>
  <c r="Y10" i="8"/>
  <c r="Y18" i="8" s="1"/>
  <c r="M352" i="3"/>
  <c r="M339" i="3"/>
  <c r="M816" i="3"/>
  <c r="M378" i="3"/>
  <c r="O816" i="3" l="1"/>
  <c r="T816" i="3"/>
  <c r="O771" i="3"/>
  <c r="T771" i="3"/>
  <c r="T301" i="3"/>
  <c r="M315" i="3"/>
  <c r="O301" i="3"/>
  <c r="T144" i="3"/>
  <c r="O144" i="3"/>
  <c r="K15" i="4"/>
  <c r="K13" i="4"/>
  <c r="K30" i="4"/>
  <c r="K25" i="4"/>
  <c r="K11" i="4"/>
  <c r="K17" i="4"/>
  <c r="K21" i="4"/>
  <c r="K23" i="4"/>
  <c r="K12" i="4"/>
  <c r="K14" i="4"/>
  <c r="K20" i="4"/>
  <c r="K32" i="4"/>
  <c r="K26" i="4"/>
  <c r="K27" i="4"/>
  <c r="K22" i="4"/>
  <c r="K16" i="4"/>
  <c r="K31" i="4"/>
  <c r="K28" i="4"/>
  <c r="K24" i="4"/>
  <c r="K29" i="4"/>
  <c r="K19" i="4"/>
  <c r="M651" i="3"/>
  <c r="M666" i="3"/>
  <c r="O621" i="3"/>
  <c r="W14" i="5"/>
  <c r="T621" i="3"/>
  <c r="M88" i="3"/>
  <c r="O88" i="3" s="1"/>
  <c r="M636" i="3"/>
  <c r="O769" i="3"/>
  <c r="T769" i="3"/>
  <c r="O717" i="3"/>
  <c r="T717" i="3"/>
  <c r="T399" i="3"/>
  <c r="M417" i="3"/>
  <c r="O399" i="3"/>
  <c r="T339" i="3"/>
  <c r="O339" i="3"/>
  <c r="O768" i="3"/>
  <c r="T768" i="3"/>
  <c r="O59" i="3"/>
  <c r="T59" i="3"/>
  <c r="W22" i="5"/>
  <c r="M637" i="3"/>
  <c r="O622" i="3"/>
  <c r="M667" i="3"/>
  <c r="M652" i="3"/>
  <c r="T622" i="3"/>
  <c r="M89" i="3"/>
  <c r="O89" i="3" s="1"/>
  <c r="M291" i="3"/>
  <c r="R614" i="3"/>
  <c r="R616" i="3"/>
  <c r="T352" i="3"/>
  <c r="O352" i="3"/>
  <c r="O130" i="3"/>
  <c r="T130" i="3"/>
  <c r="T304" i="3"/>
  <c r="M318" i="3"/>
  <c r="O304" i="3"/>
  <c r="O58" i="3"/>
  <c r="T58" i="3"/>
  <c r="T623" i="3"/>
  <c r="W15" i="5"/>
  <c r="W23" i="5" s="1"/>
  <c r="M638" i="3"/>
  <c r="M653" i="3"/>
  <c r="M90" i="3"/>
  <c r="O90" i="3" s="1"/>
  <c r="M668" i="3"/>
  <c r="O623" i="3"/>
  <c r="O598" i="3"/>
  <c r="O596" i="3"/>
  <c r="T719" i="3"/>
  <c r="O719" i="3"/>
  <c r="R494" i="3"/>
  <c r="R493" i="3"/>
  <c r="M317" i="3"/>
  <c r="O303" i="3"/>
  <c r="T303" i="3"/>
  <c r="O772" i="3"/>
  <c r="T772" i="3"/>
  <c r="M45" i="3"/>
  <c r="O45" i="3" s="1"/>
  <c r="O24" i="3"/>
  <c r="M68" i="3"/>
  <c r="O68" i="3" s="1"/>
  <c r="M313" i="3"/>
  <c r="O299" i="3"/>
  <c r="T299" i="3"/>
  <c r="M330" i="3"/>
  <c r="M327" i="3"/>
  <c r="M329" i="3"/>
  <c r="M331" i="3"/>
  <c r="M328" i="3"/>
  <c r="T186" i="3"/>
  <c r="O186" i="3"/>
  <c r="O770" i="3"/>
  <c r="T770" i="3"/>
  <c r="O716" i="3"/>
  <c r="T716" i="3"/>
  <c r="O123" i="3"/>
  <c r="M137" i="3"/>
  <c r="T123" i="3"/>
  <c r="M109" i="3"/>
  <c r="M179" i="3"/>
  <c r="M193" i="3"/>
  <c r="O626" i="3"/>
  <c r="W24" i="5"/>
  <c r="T626" i="3"/>
  <c r="M641" i="3"/>
  <c r="M93" i="3"/>
  <c r="O93" i="3" s="1"/>
  <c r="M671" i="3"/>
  <c r="M656" i="3"/>
  <c r="O714" i="3"/>
  <c r="T714" i="3"/>
  <c r="X10" i="9"/>
  <c r="X18" i="9" s="1"/>
  <c r="M419" i="3"/>
  <c r="O401" i="3"/>
  <c r="T401" i="3"/>
  <c r="M408" i="3"/>
  <c r="O102" i="3"/>
  <c r="T102" i="3"/>
  <c r="O36" i="3"/>
  <c r="T36" i="3"/>
  <c r="M639" i="3"/>
  <c r="M91" i="3"/>
  <c r="O91" i="3" s="1"/>
  <c r="O624" i="3"/>
  <c r="W16" i="5"/>
  <c r="T624" i="3"/>
  <c r="M654" i="3"/>
  <c r="M669" i="3"/>
  <c r="T300" i="3"/>
  <c r="O300" i="3"/>
  <c r="M314" i="3"/>
  <c r="T60" i="3"/>
  <c r="O60" i="3"/>
  <c r="O200" i="3"/>
  <c r="R205" i="3" s="1"/>
  <c r="M228" i="3"/>
  <c r="T200" i="3"/>
  <c r="M214" i="3"/>
  <c r="T37" i="3"/>
  <c r="O37" i="3"/>
  <c r="T718" i="3"/>
  <c r="O718" i="3"/>
  <c r="M43" i="3"/>
  <c r="O43" i="3" s="1"/>
  <c r="M66" i="3"/>
  <c r="O66" i="3" s="1"/>
  <c r="O22" i="3"/>
  <c r="O715" i="3"/>
  <c r="T715" i="3"/>
  <c r="Q44" i="2"/>
  <c r="U44" i="2"/>
  <c r="W44" i="1"/>
  <c r="O378" i="3"/>
  <c r="R384" i="3" s="1"/>
  <c r="M389" i="3"/>
  <c r="T378" i="3"/>
  <c r="O365" i="3"/>
  <c r="T365" i="3"/>
  <c r="O172" i="3"/>
  <c r="T172" i="3"/>
  <c r="O158" i="3"/>
  <c r="T158" i="3"/>
  <c r="O35" i="3"/>
  <c r="T35" i="3"/>
  <c r="M92" i="3"/>
  <c r="O92" i="3" s="1"/>
  <c r="T625" i="3"/>
  <c r="M640" i="3"/>
  <c r="M670" i="3"/>
  <c r="M655" i="3"/>
  <c r="W17" i="5"/>
  <c r="O625" i="3"/>
  <c r="T767" i="3"/>
  <c r="O767" i="3"/>
  <c r="T302" i="3"/>
  <c r="O302" i="3"/>
  <c r="M316" i="3"/>
  <c r="T400" i="3"/>
  <c r="O400" i="3"/>
  <c r="M418" i="3"/>
  <c r="M11" i="4" l="1"/>
  <c r="AD11" i="4"/>
  <c r="O11" i="4"/>
  <c r="O639" i="3"/>
  <c r="T639" i="3"/>
  <c r="M344" i="3"/>
  <c r="T331" i="3"/>
  <c r="M357" i="3"/>
  <c r="M810" i="3"/>
  <c r="M821" i="3"/>
  <c r="M779" i="3"/>
  <c r="Y21" i="8"/>
  <c r="O331" i="3"/>
  <c r="M726" i="3"/>
  <c r="M370" i="3"/>
  <c r="M17" i="3"/>
  <c r="M26" i="4"/>
  <c r="O26" i="4"/>
  <c r="AD27" i="4"/>
  <c r="T419" i="3"/>
  <c r="O419" i="3"/>
  <c r="O637" i="3"/>
  <c r="T637" i="3"/>
  <c r="T636" i="3"/>
  <c r="O636" i="3"/>
  <c r="T418" i="3"/>
  <c r="O418" i="3"/>
  <c r="T669" i="3"/>
  <c r="O669" i="3"/>
  <c r="T640" i="3"/>
  <c r="O640" i="3"/>
  <c r="O313" i="3"/>
  <c r="T313" i="3"/>
  <c r="T317" i="3"/>
  <c r="O317" i="3"/>
  <c r="T652" i="3"/>
  <c r="O652" i="3"/>
  <c r="T417" i="3"/>
  <c r="O417" i="3"/>
  <c r="O666" i="3"/>
  <c r="T666" i="3"/>
  <c r="O22" i="4"/>
  <c r="AD22" i="4"/>
  <c r="M22" i="4"/>
  <c r="AF39" i="4"/>
  <c r="O21" i="4"/>
  <c r="AD21" i="4"/>
  <c r="M21" i="4"/>
  <c r="S44" i="2"/>
  <c r="O314" i="3"/>
  <c r="T314" i="3"/>
  <c r="T641" i="3"/>
  <c r="O641" i="3"/>
  <c r="T137" i="3"/>
  <c r="O137" i="3"/>
  <c r="M165" i="3"/>
  <c r="M151" i="3"/>
  <c r="M341" i="3"/>
  <c r="M354" i="3"/>
  <c r="M723" i="3"/>
  <c r="M806" i="3"/>
  <c r="O328" i="3"/>
  <c r="M818" i="3"/>
  <c r="Y12" i="8"/>
  <c r="T328" i="3"/>
  <c r="M367" i="3"/>
  <c r="M776" i="3"/>
  <c r="R597" i="3"/>
  <c r="O46" i="2"/>
  <c r="R592" i="3"/>
  <c r="O667" i="3"/>
  <c r="T667" i="3"/>
  <c r="O651" i="3"/>
  <c r="T651" i="3"/>
  <c r="O27" i="4"/>
  <c r="M27" i="4"/>
  <c r="AD28" i="4"/>
  <c r="AD17" i="4"/>
  <c r="M17" i="4"/>
  <c r="O17" i="4"/>
  <c r="T315" i="3"/>
  <c r="O315" i="3"/>
  <c r="M604" i="3"/>
  <c r="M605" i="3"/>
  <c r="M603" i="3"/>
  <c r="M611" i="3"/>
  <c r="M32" i="4"/>
  <c r="O32" i="4"/>
  <c r="AD34" i="4"/>
  <c r="T389" i="3"/>
  <c r="O389" i="3"/>
  <c r="R383" i="3" s="1"/>
  <c r="M381" i="3" s="1"/>
  <c r="O20" i="4"/>
  <c r="AD20" i="4"/>
  <c r="M20" i="4"/>
  <c r="T228" i="3"/>
  <c r="O228" i="3"/>
  <c r="O654" i="3"/>
  <c r="T654" i="3"/>
  <c r="T193" i="3"/>
  <c r="O193" i="3"/>
  <c r="M369" i="3"/>
  <c r="O330" i="3"/>
  <c r="M725" i="3"/>
  <c r="M343" i="3"/>
  <c r="Y13" i="8"/>
  <c r="M820" i="3"/>
  <c r="M809" i="3"/>
  <c r="T330" i="3"/>
  <c r="M356" i="3"/>
  <c r="M778" i="3"/>
  <c r="O318" i="3"/>
  <c r="T318" i="3"/>
  <c r="Y15" i="7"/>
  <c r="M773" i="3"/>
  <c r="T291" i="3"/>
  <c r="M720" i="3"/>
  <c r="O291" i="3"/>
  <c r="M305" i="3"/>
  <c r="AD29" i="4"/>
  <c r="M28" i="4"/>
  <c r="O28" i="4"/>
  <c r="M14" i="4"/>
  <c r="O14" i="4"/>
  <c r="AD14" i="4"/>
  <c r="AD13" i="4"/>
  <c r="M13" i="4"/>
  <c r="O13" i="4"/>
  <c r="AD19" i="4"/>
  <c r="O19" i="4"/>
  <c r="M19" i="4"/>
  <c r="T329" i="3"/>
  <c r="M724" i="3"/>
  <c r="M355" i="3"/>
  <c r="M777" i="3"/>
  <c r="M342" i="3"/>
  <c r="O329" i="3"/>
  <c r="M368" i="3"/>
  <c r="Y20" i="8"/>
  <c r="M807" i="3"/>
  <c r="M819" i="3"/>
  <c r="M25" i="4"/>
  <c r="O25" i="4"/>
  <c r="AD26" i="4"/>
  <c r="M722" i="3"/>
  <c r="O327" i="3"/>
  <c r="M353" i="3"/>
  <c r="M817" i="3"/>
  <c r="T327" i="3"/>
  <c r="Y11" i="8"/>
  <c r="Y19" i="8" s="1"/>
  <c r="M380" i="3"/>
  <c r="M775" i="3"/>
  <c r="M340" i="3"/>
  <c r="M366" i="3"/>
  <c r="T668" i="3"/>
  <c r="O668" i="3"/>
  <c r="O24" i="4"/>
  <c r="AD25" i="4"/>
  <c r="M24" i="4"/>
  <c r="AD32" i="4"/>
  <c r="O30" i="4"/>
  <c r="M30" i="4"/>
  <c r="O655" i="3"/>
  <c r="T655" i="3"/>
  <c r="M202" i="3"/>
  <c r="M201" i="3"/>
  <c r="M203" i="3"/>
  <c r="M204" i="3"/>
  <c r="M205" i="3"/>
  <c r="M206" i="3"/>
  <c r="O656" i="3"/>
  <c r="T656" i="3"/>
  <c r="T179" i="3"/>
  <c r="O179" i="3"/>
  <c r="O653" i="3"/>
  <c r="T653" i="3"/>
  <c r="G25" i="5"/>
  <c r="G26" i="5"/>
  <c r="G22" i="5"/>
  <c r="G21" i="5"/>
  <c r="G17" i="5"/>
  <c r="G18" i="5"/>
  <c r="G20" i="5"/>
  <c r="G24" i="5"/>
  <c r="G16" i="5"/>
  <c r="AD33" i="4"/>
  <c r="O31" i="4"/>
  <c r="M31" i="4"/>
  <c r="O12" i="4"/>
  <c r="M12" i="4"/>
  <c r="AD12" i="4"/>
  <c r="O15" i="4"/>
  <c r="M15" i="4"/>
  <c r="AD15" i="4"/>
  <c r="O214" i="3"/>
  <c r="T214" i="3"/>
  <c r="O29" i="4"/>
  <c r="M29" i="4"/>
  <c r="AD31" i="4"/>
  <c r="O316" i="3"/>
  <c r="T316" i="3"/>
  <c r="O670" i="3"/>
  <c r="T670" i="3"/>
  <c r="G14" i="5"/>
  <c r="G13" i="5"/>
  <c r="G12" i="5"/>
  <c r="G11" i="5"/>
  <c r="M426" i="3"/>
  <c r="O408" i="3"/>
  <c r="T408" i="3"/>
  <c r="T671" i="3"/>
  <c r="O671" i="3"/>
  <c r="T109" i="3"/>
  <c r="O109" i="3"/>
  <c r="R125" i="3" s="1"/>
  <c r="M119" i="3" s="1"/>
  <c r="M147" i="3" s="1"/>
  <c r="O638" i="3"/>
  <c r="T638" i="3"/>
  <c r="M627" i="3"/>
  <c r="O16" i="4"/>
  <c r="M16" i="4"/>
  <c r="AD16" i="4"/>
  <c r="M23" i="4"/>
  <c r="O23" i="4"/>
  <c r="AD23" i="4"/>
  <c r="W12" i="6"/>
  <c r="W19" i="6" s="1"/>
  <c r="O119" i="3"/>
  <c r="T119" i="3"/>
  <c r="M709" i="3"/>
  <c r="T204" i="3" l="1"/>
  <c r="O204" i="3"/>
  <c r="M232" i="3"/>
  <c r="M218" i="3"/>
  <c r="O775" i="3"/>
  <c r="T775" i="3"/>
  <c r="O342" i="3"/>
  <c r="T342" i="3"/>
  <c r="K11" i="5"/>
  <c r="I11" i="5"/>
  <c r="M61" i="3"/>
  <c r="M25" i="3"/>
  <c r="O17" i="3"/>
  <c r="M23" i="3"/>
  <c r="M38" i="3"/>
  <c r="T17" i="3"/>
  <c r="AA22" i="4"/>
  <c r="I20" i="5"/>
  <c r="K20" i="5"/>
  <c r="O201" i="3"/>
  <c r="M229" i="3"/>
  <c r="T201" i="3"/>
  <c r="M215" i="3"/>
  <c r="O295" i="3"/>
  <c r="O293" i="3"/>
  <c r="O344" i="3"/>
  <c r="T344" i="3"/>
  <c r="M762" i="3"/>
  <c r="T762" i="3" s="1"/>
  <c r="T720" i="3"/>
  <c r="O720" i="3"/>
  <c r="O605" i="3"/>
  <c r="T605" i="3"/>
  <c r="AJ39" i="4"/>
  <c r="AH39" i="4"/>
  <c r="AG39" i="4"/>
  <c r="M391" i="3"/>
  <c r="O381" i="3"/>
  <c r="T381" i="3"/>
  <c r="T354" i="3"/>
  <c r="O354" i="3"/>
  <c r="M133" i="3"/>
  <c r="M118" i="3"/>
  <c r="M708" i="3" s="1"/>
  <c r="I22" i="5"/>
  <c r="K22" i="5"/>
  <c r="O353" i="3"/>
  <c r="T353" i="3"/>
  <c r="O773" i="3"/>
  <c r="T773" i="3"/>
  <c r="T820" i="3"/>
  <c r="O820" i="3"/>
  <c r="O367" i="3"/>
  <c r="T367" i="3"/>
  <c r="O341" i="3"/>
  <c r="T341" i="3"/>
  <c r="O779" i="3"/>
  <c r="T779" i="3"/>
  <c r="K24" i="5"/>
  <c r="I24" i="5"/>
  <c r="O725" i="3"/>
  <c r="T725" i="3"/>
  <c r="O818" i="3"/>
  <c r="T818" i="3"/>
  <c r="O357" i="3"/>
  <c r="T357" i="3"/>
  <c r="O611" i="3"/>
  <c r="T611" i="3"/>
  <c r="R595" i="3"/>
  <c r="R594" i="3"/>
  <c r="T370" i="3"/>
  <c r="O370" i="3"/>
  <c r="I12" i="5"/>
  <c r="K12" i="5"/>
  <c r="T355" i="3"/>
  <c r="O355" i="3"/>
  <c r="O603" i="3"/>
  <c r="M610" i="3"/>
  <c r="T603" i="3"/>
  <c r="K13" i="5"/>
  <c r="I13" i="5"/>
  <c r="O724" i="3"/>
  <c r="T724" i="3"/>
  <c r="T723" i="3"/>
  <c r="O723" i="3"/>
  <c r="M105" i="3"/>
  <c r="K21" i="5"/>
  <c r="I21" i="5"/>
  <c r="T817" i="3"/>
  <c r="O817" i="3"/>
  <c r="O807" i="3"/>
  <c r="T807" i="3"/>
  <c r="T604" i="3"/>
  <c r="O604" i="3"/>
  <c r="O776" i="3"/>
  <c r="T776" i="3"/>
  <c r="M161" i="3"/>
  <c r="T161" i="3" s="1"/>
  <c r="M117" i="3"/>
  <c r="M760" i="3" s="1"/>
  <c r="K26" i="5"/>
  <c r="I26" i="5"/>
  <c r="M220" i="3"/>
  <c r="T206" i="3"/>
  <c r="M234" i="3"/>
  <c r="O206" i="3"/>
  <c r="T366" i="3"/>
  <c r="O366" i="3"/>
  <c r="M332" i="3"/>
  <c r="O368" i="3"/>
  <c r="T368" i="3"/>
  <c r="Y24" i="7"/>
  <c r="I43" i="7"/>
  <c r="K43" i="7" s="1"/>
  <c r="M43" i="7" s="1"/>
  <c r="I42" i="7"/>
  <c r="K42" i="7" s="1"/>
  <c r="M42" i="7" s="1"/>
  <c r="I54" i="7"/>
  <c r="K54" i="7" s="1"/>
  <c r="M54" i="7" s="1"/>
  <c r="I39" i="7"/>
  <c r="K39" i="7" s="1"/>
  <c r="M39" i="7" s="1"/>
  <c r="I34" i="7"/>
  <c r="K34" i="7" s="1"/>
  <c r="M34" i="7" s="1"/>
  <c r="I14" i="7"/>
  <c r="K14" i="7" s="1"/>
  <c r="M14" i="7" s="1"/>
  <c r="I24" i="7"/>
  <c r="K24" i="7" s="1"/>
  <c r="M24" i="7" s="1"/>
  <c r="I16" i="7"/>
  <c r="K16" i="7" s="1"/>
  <c r="M16" i="7" s="1"/>
  <c r="I31" i="7"/>
  <c r="K31" i="7" s="1"/>
  <c r="M31" i="7" s="1"/>
  <c r="I27" i="7"/>
  <c r="K27" i="7" s="1"/>
  <c r="M27" i="7" s="1"/>
  <c r="I58" i="7"/>
  <c r="K58" i="7" s="1"/>
  <c r="M58" i="7" s="1"/>
  <c r="I29" i="7"/>
  <c r="K29" i="7" s="1"/>
  <c r="M29" i="7" s="1"/>
  <c r="I51" i="7"/>
  <c r="K51" i="7" s="1"/>
  <c r="M51" i="7" s="1"/>
  <c r="I55" i="7"/>
  <c r="K55" i="7" s="1"/>
  <c r="M55" i="7" s="1"/>
  <c r="I15" i="7"/>
  <c r="K15" i="7" s="1"/>
  <c r="M15" i="7" s="1"/>
  <c r="I23" i="7"/>
  <c r="K23" i="7" s="1"/>
  <c r="M23" i="7" s="1"/>
  <c r="I22" i="7"/>
  <c r="K22" i="7" s="1"/>
  <c r="M22" i="7" s="1"/>
  <c r="I53" i="7"/>
  <c r="K53" i="7" s="1"/>
  <c r="M53" i="7" s="1"/>
  <c r="I47" i="7"/>
  <c r="K47" i="7" s="1"/>
  <c r="M47" i="7" s="1"/>
  <c r="I48" i="7"/>
  <c r="K48" i="7" s="1"/>
  <c r="M48" i="7" s="1"/>
  <c r="I32" i="7"/>
  <c r="K32" i="7" s="1"/>
  <c r="M32" i="7" s="1"/>
  <c r="I59" i="7"/>
  <c r="K59" i="7" s="1"/>
  <c r="M59" i="7" s="1"/>
  <c r="I26" i="7"/>
  <c r="K26" i="7" s="1"/>
  <c r="M26" i="7" s="1"/>
  <c r="I12" i="7"/>
  <c r="K12" i="7" s="1"/>
  <c r="M12" i="7" s="1"/>
  <c r="I57" i="7"/>
  <c r="K57" i="7" s="1"/>
  <c r="M57" i="7" s="1"/>
  <c r="I13" i="7"/>
  <c r="K13" i="7" s="1"/>
  <c r="M13" i="7" s="1"/>
  <c r="I19" i="7"/>
  <c r="K19" i="7" s="1"/>
  <c r="M19" i="7" s="1"/>
  <c r="I41" i="7"/>
  <c r="K41" i="7" s="1"/>
  <c r="M41" i="7" s="1"/>
  <c r="I36" i="7"/>
  <c r="K36" i="7" s="1"/>
  <c r="M36" i="7" s="1"/>
  <c r="I21" i="7"/>
  <c r="K21" i="7" s="1"/>
  <c r="M21" i="7" s="1"/>
  <c r="I45" i="7"/>
  <c r="K45" i="7" s="1"/>
  <c r="M45" i="7" s="1"/>
  <c r="I49" i="7"/>
  <c r="K49" i="7" s="1"/>
  <c r="M49" i="7" s="1"/>
  <c r="I56" i="7"/>
  <c r="K56" i="7" s="1"/>
  <c r="M56" i="7" s="1"/>
  <c r="I37" i="7"/>
  <c r="K37" i="7" s="1"/>
  <c r="M37" i="7" s="1"/>
  <c r="I18" i="7"/>
  <c r="K18" i="7" s="1"/>
  <c r="M18" i="7" s="1"/>
  <c r="I35" i="7"/>
  <c r="K35" i="7" s="1"/>
  <c r="M35" i="7" s="1"/>
  <c r="I11" i="7"/>
  <c r="K11" i="7" s="1"/>
  <c r="M11" i="7" s="1"/>
  <c r="I17" i="7"/>
  <c r="K17" i="7" s="1"/>
  <c r="M17" i="7" s="1"/>
  <c r="I25" i="7"/>
  <c r="K25" i="7" s="1"/>
  <c r="M25" i="7" s="1"/>
  <c r="I38" i="7"/>
  <c r="K38" i="7" s="1"/>
  <c r="M38" i="7" s="1"/>
  <c r="I46" i="7"/>
  <c r="K46" i="7" s="1"/>
  <c r="M46" i="7" s="1"/>
  <c r="I28" i="7"/>
  <c r="K28" i="7" s="1"/>
  <c r="M28" i="7" s="1"/>
  <c r="I52" i="7"/>
  <c r="K52" i="7" s="1"/>
  <c r="M52" i="7" s="1"/>
  <c r="I33" i="7"/>
  <c r="K33" i="7" s="1"/>
  <c r="M33" i="7" s="1"/>
  <c r="I44" i="7"/>
  <c r="K44" i="7" s="1"/>
  <c r="M44" i="7" s="1"/>
  <c r="O151" i="3"/>
  <c r="T151" i="3"/>
  <c r="T821" i="3"/>
  <c r="O821" i="3"/>
  <c r="T426" i="3"/>
  <c r="O426" i="3"/>
  <c r="R410" i="3" s="1"/>
  <c r="M217" i="3"/>
  <c r="M231" i="3"/>
  <c r="O203" i="3"/>
  <c r="T203" i="3"/>
  <c r="O380" i="3"/>
  <c r="M390" i="3"/>
  <c r="T380" i="3"/>
  <c r="O777" i="3"/>
  <c r="T777" i="3"/>
  <c r="T305" i="3"/>
  <c r="M319" i="3"/>
  <c r="O305" i="3"/>
  <c r="O778" i="3"/>
  <c r="T778" i="3"/>
  <c r="M189" i="3"/>
  <c r="O189" i="3" s="1"/>
  <c r="K18" i="5"/>
  <c r="I18" i="5"/>
  <c r="T356" i="3"/>
  <c r="O356" i="3"/>
  <c r="T369" i="3"/>
  <c r="O369" i="3"/>
  <c r="W46" i="1"/>
  <c r="W47" i="1" s="1"/>
  <c r="W51" i="1" s="1"/>
  <c r="U46" i="2"/>
  <c r="Q46" i="2"/>
  <c r="O47" i="2"/>
  <c r="T806" i="3"/>
  <c r="O806" i="3"/>
  <c r="T726" i="3"/>
  <c r="O726" i="3"/>
  <c r="M175" i="3"/>
  <c r="T175" i="3" s="1"/>
  <c r="K17" i="5"/>
  <c r="I17" i="5"/>
  <c r="T202" i="3"/>
  <c r="M216" i="3"/>
  <c r="O202" i="3"/>
  <c r="M230" i="3"/>
  <c r="T819" i="3"/>
  <c r="O819" i="3"/>
  <c r="M121" i="3"/>
  <c r="M135" i="3" s="1"/>
  <c r="I14" i="5"/>
  <c r="K14" i="5"/>
  <c r="O809" i="3"/>
  <c r="T809" i="3"/>
  <c r="T627" i="3"/>
  <c r="M657" i="3"/>
  <c r="M642" i="3"/>
  <c r="O627" i="3"/>
  <c r="W25" i="5"/>
  <c r="M94" i="3"/>
  <c r="O94" i="3" s="1"/>
  <c r="M672" i="3"/>
  <c r="I16" i="5"/>
  <c r="K16" i="5"/>
  <c r="K25" i="5"/>
  <c r="I25" i="5"/>
  <c r="M233" i="3"/>
  <c r="M219" i="3"/>
  <c r="O205" i="3"/>
  <c r="T205" i="3"/>
  <c r="O340" i="3"/>
  <c r="T340" i="3"/>
  <c r="O722" i="3"/>
  <c r="T722" i="3"/>
  <c r="O343" i="3"/>
  <c r="T343" i="3"/>
  <c r="T165" i="3"/>
  <c r="O165" i="3"/>
  <c r="O810" i="3"/>
  <c r="T810" i="3"/>
  <c r="W11" i="6"/>
  <c r="M187" i="3"/>
  <c r="O187" i="3" s="1"/>
  <c r="M103" i="3"/>
  <c r="T103" i="3" s="1"/>
  <c r="M711" i="3"/>
  <c r="O711" i="3" s="1"/>
  <c r="O121" i="3"/>
  <c r="M104" i="3"/>
  <c r="O104" i="3" s="1"/>
  <c r="M173" i="3"/>
  <c r="O173" i="3" s="1"/>
  <c r="O117" i="3"/>
  <c r="M145" i="3"/>
  <c r="T145" i="3" s="1"/>
  <c r="M159" i="3"/>
  <c r="O159" i="3" s="1"/>
  <c r="T121" i="3"/>
  <c r="W18" i="6"/>
  <c r="M707" i="3"/>
  <c r="T707" i="3" s="1"/>
  <c r="M107" i="3"/>
  <c r="O107" i="3" s="1"/>
  <c r="M131" i="3"/>
  <c r="O131" i="3" s="1"/>
  <c r="M163" i="3"/>
  <c r="O163" i="3" s="1"/>
  <c r="M160" i="3"/>
  <c r="O160" i="3" s="1"/>
  <c r="T117" i="3"/>
  <c r="T118" i="3"/>
  <c r="M761" i="3"/>
  <c r="O761" i="3" s="1"/>
  <c r="M188" i="3"/>
  <c r="T188" i="3" s="1"/>
  <c r="M132" i="3"/>
  <c r="O132" i="3" s="1"/>
  <c r="M146" i="3"/>
  <c r="O146" i="3" s="1"/>
  <c r="M174" i="3"/>
  <c r="O174" i="3" s="1"/>
  <c r="O118" i="3"/>
  <c r="O105" i="3"/>
  <c r="T105" i="3"/>
  <c r="O135" i="3"/>
  <c r="T135" i="3"/>
  <c r="O709" i="3"/>
  <c r="T709" i="3"/>
  <c r="O762" i="3"/>
  <c r="O133" i="3"/>
  <c r="T133" i="3"/>
  <c r="O147" i="3"/>
  <c r="T147" i="3"/>
  <c r="O708" i="3"/>
  <c r="T708" i="3"/>
  <c r="T760" i="3"/>
  <c r="O760" i="3"/>
  <c r="T187" i="3"/>
  <c r="T234" i="3" l="1"/>
  <c r="O234" i="3"/>
  <c r="M44" i="3"/>
  <c r="O44" i="3" s="1"/>
  <c r="O23" i="3"/>
  <c r="M67" i="3"/>
  <c r="O67" i="3" s="1"/>
  <c r="T189" i="3"/>
  <c r="M177" i="3"/>
  <c r="M764" i="3"/>
  <c r="O764" i="3" s="1"/>
  <c r="O230" i="3"/>
  <c r="T230" i="3"/>
  <c r="Q16" i="7"/>
  <c r="S16" i="7" s="1"/>
  <c r="U16" i="7" s="1"/>
  <c r="Q52" i="7"/>
  <c r="S52" i="7" s="1"/>
  <c r="U52" i="7" s="1"/>
  <c r="Q53" i="7"/>
  <c r="S53" i="7" s="1"/>
  <c r="U53" i="7" s="1"/>
  <c r="Q18" i="7"/>
  <c r="S18" i="7" s="1"/>
  <c r="U18" i="7" s="1"/>
  <c r="Q13" i="7"/>
  <c r="S13" i="7" s="1"/>
  <c r="U13" i="7" s="1"/>
  <c r="Q31" i="7"/>
  <c r="S31" i="7" s="1"/>
  <c r="U31" i="7" s="1"/>
  <c r="Q28" i="7"/>
  <c r="S28" i="7" s="1"/>
  <c r="U28" i="7" s="1"/>
  <c r="Q25" i="7"/>
  <c r="S25" i="7" s="1"/>
  <c r="U25" i="7" s="1"/>
  <c r="Q38" i="7"/>
  <c r="S38" i="7" s="1"/>
  <c r="U38" i="7" s="1"/>
  <c r="Q15" i="7"/>
  <c r="S15" i="7" s="1"/>
  <c r="U15" i="7" s="1"/>
  <c r="Q49" i="7"/>
  <c r="S49" i="7" s="1"/>
  <c r="U49" i="7" s="1"/>
  <c r="Q27" i="7"/>
  <c r="S27" i="7" s="1"/>
  <c r="U27" i="7" s="1"/>
  <c r="Q57" i="7"/>
  <c r="S57" i="7" s="1"/>
  <c r="U57" i="7" s="1"/>
  <c r="Q42" i="7"/>
  <c r="S42" i="7" s="1"/>
  <c r="U42" i="7" s="1"/>
  <c r="Q43" i="7"/>
  <c r="S43" i="7" s="1"/>
  <c r="U43" i="7" s="1"/>
  <c r="Q36" i="7"/>
  <c r="S36" i="7" s="1"/>
  <c r="U36" i="7" s="1"/>
  <c r="Q54" i="7"/>
  <c r="S54" i="7" s="1"/>
  <c r="U54" i="7" s="1"/>
  <c r="Q46" i="7"/>
  <c r="S46" i="7" s="1"/>
  <c r="U46" i="7" s="1"/>
  <c r="Q59" i="7"/>
  <c r="S59" i="7" s="1"/>
  <c r="U59" i="7" s="1"/>
  <c r="Q23" i="7"/>
  <c r="S23" i="7" s="1"/>
  <c r="U23" i="7" s="1"/>
  <c r="Q21" i="7"/>
  <c r="S21" i="7" s="1"/>
  <c r="U21" i="7" s="1"/>
  <c r="Q51" i="7"/>
  <c r="S51" i="7" s="1"/>
  <c r="U51" i="7" s="1"/>
  <c r="Q47" i="7"/>
  <c r="S47" i="7" s="1"/>
  <c r="U47" i="7" s="1"/>
  <c r="Q41" i="7"/>
  <c r="S41" i="7" s="1"/>
  <c r="U41" i="7" s="1"/>
  <c r="Q17" i="7"/>
  <c r="S17" i="7" s="1"/>
  <c r="U17" i="7" s="1"/>
  <c r="Q35" i="7"/>
  <c r="S35" i="7" s="1"/>
  <c r="U35" i="7" s="1"/>
  <c r="Q12" i="7"/>
  <c r="S12" i="7" s="1"/>
  <c r="U12" i="7" s="1"/>
  <c r="Q48" i="7"/>
  <c r="S48" i="7" s="1"/>
  <c r="U48" i="7" s="1"/>
  <c r="Q37" i="7"/>
  <c r="S37" i="7" s="1"/>
  <c r="U37" i="7" s="1"/>
  <c r="Q39" i="7"/>
  <c r="S39" i="7" s="1"/>
  <c r="U39" i="7" s="1"/>
  <c r="Q45" i="7"/>
  <c r="S45" i="7" s="1"/>
  <c r="U45" i="7" s="1"/>
  <c r="Q29" i="7"/>
  <c r="S29" i="7" s="1"/>
  <c r="U29" i="7" s="1"/>
  <c r="Q56" i="7"/>
  <c r="S56" i="7" s="1"/>
  <c r="U56" i="7" s="1"/>
  <c r="Q55" i="7"/>
  <c r="S55" i="7" s="1"/>
  <c r="U55" i="7" s="1"/>
  <c r="Q14" i="7"/>
  <c r="S14" i="7" s="1"/>
  <c r="U14" i="7" s="1"/>
  <c r="Q44" i="7"/>
  <c r="S44" i="7" s="1"/>
  <c r="U44" i="7" s="1"/>
  <c r="Q33" i="7"/>
  <c r="S33" i="7" s="1"/>
  <c r="U33" i="7" s="1"/>
  <c r="Q26" i="7"/>
  <c r="S26" i="7" s="1"/>
  <c r="U26" i="7" s="1"/>
  <c r="Q34" i="7"/>
  <c r="S34" i="7" s="1"/>
  <c r="U34" i="7" s="1"/>
  <c r="Q11" i="7"/>
  <c r="S11" i="7" s="1"/>
  <c r="U11" i="7" s="1"/>
  <c r="Q58" i="7"/>
  <c r="S58" i="7" s="1"/>
  <c r="U58" i="7" s="1"/>
  <c r="Q32" i="7"/>
  <c r="S32" i="7" s="1"/>
  <c r="U32" i="7" s="1"/>
  <c r="Q22" i="7"/>
  <c r="S22" i="7" s="1"/>
  <c r="U22" i="7" s="1"/>
  <c r="Q24" i="7"/>
  <c r="S24" i="7" s="1"/>
  <c r="U24" i="7" s="1"/>
  <c r="Q19" i="7"/>
  <c r="S19" i="7" s="1"/>
  <c r="U19" i="7" s="1"/>
  <c r="O610" i="3"/>
  <c r="T610" i="3"/>
  <c r="T229" i="3"/>
  <c r="O229" i="3"/>
  <c r="M405" i="3"/>
  <c r="M402" i="3"/>
  <c r="M403" i="3"/>
  <c r="M404" i="3"/>
  <c r="M409" i="3"/>
  <c r="M422" i="3"/>
  <c r="T657" i="3"/>
  <c r="O657" i="3"/>
  <c r="T38" i="3"/>
  <c r="O38" i="3"/>
  <c r="O307" i="3"/>
  <c r="O309" i="3"/>
  <c r="O220" i="3"/>
  <c r="T220" i="3"/>
  <c r="O391" i="3"/>
  <c r="T391" i="3"/>
  <c r="M46" i="3"/>
  <c r="O46" i="3" s="1"/>
  <c r="O25" i="3"/>
  <c r="M69" i="3"/>
  <c r="O69" i="3" s="1"/>
  <c r="O175" i="3"/>
  <c r="O99" i="3"/>
  <c r="O97" i="3"/>
  <c r="O216" i="3"/>
  <c r="T216" i="3"/>
  <c r="T319" i="3"/>
  <c r="O319" i="3"/>
  <c r="T61" i="3"/>
  <c r="O61" i="3"/>
  <c r="T232" i="3"/>
  <c r="O232" i="3"/>
  <c r="T390" i="3"/>
  <c r="O390" i="3"/>
  <c r="M382" i="3" s="1"/>
  <c r="M392" i="3" s="1"/>
  <c r="O392" i="3" s="1"/>
  <c r="O607" i="3"/>
  <c r="M207" i="3"/>
  <c r="O218" i="3"/>
  <c r="T218" i="3"/>
  <c r="O161" i="3"/>
  <c r="M149" i="3"/>
  <c r="T149" i="3" s="1"/>
  <c r="M191" i="3"/>
  <c r="T191" i="3" s="1"/>
  <c r="W13" i="6"/>
  <c r="G25" i="6" s="1"/>
  <c r="I25" i="6" s="1"/>
  <c r="K25" i="6" s="1"/>
  <c r="T219" i="3"/>
  <c r="O219" i="3"/>
  <c r="O21" i="5"/>
  <c r="O26" i="5"/>
  <c r="O14" i="5"/>
  <c r="O16" i="5"/>
  <c r="O13" i="5"/>
  <c r="O17" i="5"/>
  <c r="O24" i="5"/>
  <c r="O25" i="5"/>
  <c r="O22" i="5"/>
  <c r="O20" i="5"/>
  <c r="O18" i="5"/>
  <c r="O11" i="5"/>
  <c r="O12" i="5"/>
  <c r="T231" i="3"/>
  <c r="O231" i="3"/>
  <c r="M780" i="3"/>
  <c r="M371" i="3"/>
  <c r="M811" i="3"/>
  <c r="M358" i="3"/>
  <c r="M727" i="3"/>
  <c r="Y14" i="8"/>
  <c r="M345" i="3"/>
  <c r="O332" i="3"/>
  <c r="M822" i="3"/>
  <c r="T332" i="3"/>
  <c r="T642" i="3"/>
  <c r="O642" i="3"/>
  <c r="S46" i="2"/>
  <c r="Q47" i="2"/>
  <c r="T215" i="3"/>
  <c r="O215" i="3"/>
  <c r="O672" i="3"/>
  <c r="T672" i="3"/>
  <c r="O233" i="3"/>
  <c r="T233" i="3"/>
  <c r="O632" i="3"/>
  <c r="O630" i="3"/>
  <c r="O51" i="2"/>
  <c r="U51" i="2" s="1"/>
  <c r="U47" i="2"/>
  <c r="O217" i="3"/>
  <c r="T217" i="3"/>
  <c r="O24" i="2"/>
  <c r="R292" i="3"/>
  <c r="R285" i="3"/>
  <c r="S14" i="4"/>
  <c r="S24" i="4"/>
  <c r="S18" i="4"/>
  <c r="S29" i="4"/>
  <c r="S32" i="4"/>
  <c r="S25" i="4"/>
  <c r="S11" i="4"/>
  <c r="S23" i="4"/>
  <c r="S22" i="4"/>
  <c r="S26" i="4"/>
  <c r="S19" i="4"/>
  <c r="S12" i="4"/>
  <c r="S31" i="4"/>
  <c r="S30" i="4"/>
  <c r="S15" i="4"/>
  <c r="S27" i="4"/>
  <c r="S28" i="4"/>
  <c r="S17" i="4"/>
  <c r="S16" i="4"/>
  <c r="S13" i="4"/>
  <c r="S20" i="4"/>
  <c r="O103" i="3"/>
  <c r="O382" i="3"/>
  <c r="O384" i="3" s="1"/>
  <c r="R385" i="3" s="1"/>
  <c r="T163" i="3"/>
  <c r="G11" i="6"/>
  <c r="I11" i="6" s="1"/>
  <c r="K11" i="6" s="1"/>
  <c r="G19" i="6"/>
  <c r="I19" i="6" s="1"/>
  <c r="K19" i="6" s="1"/>
  <c r="T711" i="3"/>
  <c r="T392" i="3"/>
  <c r="G15" i="6"/>
  <c r="I15" i="6" s="1"/>
  <c r="K15" i="6" s="1"/>
  <c r="G16" i="6"/>
  <c r="I16" i="6" s="1"/>
  <c r="K16" i="6" s="1"/>
  <c r="T131" i="3"/>
  <c r="T159" i="3"/>
  <c r="G29" i="6"/>
  <c r="I29" i="6" s="1"/>
  <c r="K29" i="6" s="1"/>
  <c r="G28" i="6"/>
  <c r="I28" i="6" s="1"/>
  <c r="K28" i="6" s="1"/>
  <c r="G24" i="6"/>
  <c r="I24" i="6" s="1"/>
  <c r="K24" i="6" s="1"/>
  <c r="G21" i="6"/>
  <c r="I21" i="6" s="1"/>
  <c r="K21" i="6" s="1"/>
  <c r="T764" i="3"/>
  <c r="T160" i="3"/>
  <c r="T104" i="3"/>
  <c r="T107" i="3"/>
  <c r="T174" i="3"/>
  <c r="O191" i="3"/>
  <c r="O145" i="3"/>
  <c r="O188" i="3"/>
  <c r="O149" i="3"/>
  <c r="T173" i="3"/>
  <c r="O707" i="3"/>
  <c r="T146" i="3"/>
  <c r="T761" i="3"/>
  <c r="T132" i="3"/>
  <c r="O394" i="3"/>
  <c r="W15" i="4" l="1"/>
  <c r="AF15" i="4"/>
  <c r="U15" i="4"/>
  <c r="Q18" i="5"/>
  <c r="S18" i="5"/>
  <c r="U30" i="4"/>
  <c r="AF32" i="4"/>
  <c r="W30" i="4"/>
  <c r="S26" i="5"/>
  <c r="Q26" i="5"/>
  <c r="O71" i="3"/>
  <c r="O73" i="3"/>
  <c r="X13" i="9"/>
  <c r="T404" i="3"/>
  <c r="O404" i="3"/>
  <c r="O177" i="3"/>
  <c r="T177" i="3"/>
  <c r="U16" i="4"/>
  <c r="AF16" i="4"/>
  <c r="W16" i="4"/>
  <c r="AF40" i="4"/>
  <c r="U18" i="4"/>
  <c r="AF18" i="4"/>
  <c r="W18" i="4"/>
  <c r="Q24" i="5"/>
  <c r="S24" i="5"/>
  <c r="O29" i="3"/>
  <c r="O27" i="3"/>
  <c r="U26" i="4"/>
  <c r="W26" i="4"/>
  <c r="AF27" i="4"/>
  <c r="O345" i="3"/>
  <c r="T345" i="3"/>
  <c r="O662" i="3"/>
  <c r="O660" i="3"/>
  <c r="G27" i="6"/>
  <c r="I27" i="6" s="1"/>
  <c r="K27" i="6" s="1"/>
  <c r="T382" i="3"/>
  <c r="G12" i="6"/>
  <c r="I12" i="6" s="1"/>
  <c r="K12" i="6" s="1"/>
  <c r="AF29" i="4"/>
  <c r="U28" i="4"/>
  <c r="W28" i="4"/>
  <c r="W22" i="4"/>
  <c r="AF22" i="4"/>
  <c r="U22" i="4"/>
  <c r="AF14" i="4"/>
  <c r="U14" i="4"/>
  <c r="W14" i="4"/>
  <c r="O32" i="2"/>
  <c r="R631" i="3"/>
  <c r="R620" i="3"/>
  <c r="Q51" i="2"/>
  <c r="S51" i="2" s="1"/>
  <c r="S47" i="2"/>
  <c r="I55" i="8"/>
  <c r="K55" i="8" s="1"/>
  <c r="M55" i="8" s="1"/>
  <c r="I54" i="8"/>
  <c r="K54" i="8" s="1"/>
  <c r="M54" i="8" s="1"/>
  <c r="I39" i="8"/>
  <c r="K39" i="8" s="1"/>
  <c r="M39" i="8" s="1"/>
  <c r="I12" i="8"/>
  <c r="K12" i="8" s="1"/>
  <c r="M12" i="8" s="1"/>
  <c r="I15" i="8"/>
  <c r="K15" i="8" s="1"/>
  <c r="M15" i="8" s="1"/>
  <c r="I37" i="8"/>
  <c r="K37" i="8" s="1"/>
  <c r="M37" i="8" s="1"/>
  <c r="Y22" i="8"/>
  <c r="I11" i="8"/>
  <c r="K11" i="8" s="1"/>
  <c r="M11" i="8" s="1"/>
  <c r="I32" i="8"/>
  <c r="K32" i="8" s="1"/>
  <c r="M32" i="8" s="1"/>
  <c r="I23" i="8"/>
  <c r="K23" i="8" s="1"/>
  <c r="M23" i="8" s="1"/>
  <c r="I33" i="8"/>
  <c r="K33" i="8" s="1"/>
  <c r="M33" i="8" s="1"/>
  <c r="I19" i="8"/>
  <c r="K19" i="8" s="1"/>
  <c r="M19" i="8" s="1"/>
  <c r="I36" i="8"/>
  <c r="K36" i="8" s="1"/>
  <c r="M36" i="8" s="1"/>
  <c r="I58" i="8"/>
  <c r="K58" i="8" s="1"/>
  <c r="M58" i="8" s="1"/>
  <c r="I27" i="8"/>
  <c r="K27" i="8" s="1"/>
  <c r="M27" i="8" s="1"/>
  <c r="I16" i="8"/>
  <c r="K16" i="8" s="1"/>
  <c r="M16" i="8" s="1"/>
  <c r="I34" i="8"/>
  <c r="K34" i="8" s="1"/>
  <c r="M34" i="8" s="1"/>
  <c r="I35" i="8"/>
  <c r="K35" i="8" s="1"/>
  <c r="M35" i="8" s="1"/>
  <c r="I14" i="8"/>
  <c r="K14" i="8" s="1"/>
  <c r="M14" i="8" s="1"/>
  <c r="I46" i="8"/>
  <c r="K46" i="8" s="1"/>
  <c r="M46" i="8" s="1"/>
  <c r="I44" i="8"/>
  <c r="K44" i="8" s="1"/>
  <c r="M44" i="8" s="1"/>
  <c r="I22" i="8"/>
  <c r="K22" i="8" s="1"/>
  <c r="M22" i="8" s="1"/>
  <c r="I17" i="8"/>
  <c r="K17" i="8" s="1"/>
  <c r="M17" i="8" s="1"/>
  <c r="I47" i="8"/>
  <c r="K47" i="8" s="1"/>
  <c r="M47" i="8" s="1"/>
  <c r="I18" i="8"/>
  <c r="K18" i="8" s="1"/>
  <c r="M18" i="8" s="1"/>
  <c r="I41" i="8"/>
  <c r="K41" i="8" s="1"/>
  <c r="M41" i="8" s="1"/>
  <c r="I21" i="8"/>
  <c r="K21" i="8" s="1"/>
  <c r="M21" i="8" s="1"/>
  <c r="I56" i="8"/>
  <c r="K56" i="8" s="1"/>
  <c r="M56" i="8" s="1"/>
  <c r="I13" i="8"/>
  <c r="K13" i="8" s="1"/>
  <c r="M13" i="8" s="1"/>
  <c r="I51" i="8"/>
  <c r="K51" i="8" s="1"/>
  <c r="M51" i="8" s="1"/>
  <c r="I52" i="8"/>
  <c r="K52" i="8" s="1"/>
  <c r="M52" i="8" s="1"/>
  <c r="I31" i="8"/>
  <c r="K31" i="8" s="1"/>
  <c r="M31" i="8" s="1"/>
  <c r="I28" i="8"/>
  <c r="K28" i="8" s="1"/>
  <c r="M28" i="8" s="1"/>
  <c r="I26" i="8"/>
  <c r="K26" i="8" s="1"/>
  <c r="M26" i="8" s="1"/>
  <c r="I48" i="8"/>
  <c r="K48" i="8" s="1"/>
  <c r="M48" i="8" s="1"/>
  <c r="I49" i="8"/>
  <c r="K49" i="8" s="1"/>
  <c r="M49" i="8" s="1"/>
  <c r="I25" i="8"/>
  <c r="K25" i="8" s="1"/>
  <c r="M25" i="8" s="1"/>
  <c r="I59" i="8"/>
  <c r="K59" i="8" s="1"/>
  <c r="M59" i="8" s="1"/>
  <c r="I38" i="8"/>
  <c r="K38" i="8" s="1"/>
  <c r="M38" i="8" s="1"/>
  <c r="I57" i="8"/>
  <c r="K57" i="8" s="1"/>
  <c r="M57" i="8" s="1"/>
  <c r="I24" i="8"/>
  <c r="K24" i="8" s="1"/>
  <c r="M24" i="8" s="1"/>
  <c r="I43" i="8"/>
  <c r="K43" i="8" s="1"/>
  <c r="M43" i="8" s="1"/>
  <c r="I29" i="8"/>
  <c r="K29" i="8" s="1"/>
  <c r="M29" i="8" s="1"/>
  <c r="I45" i="8"/>
  <c r="K45" i="8" s="1"/>
  <c r="M45" i="8" s="1"/>
  <c r="I42" i="8"/>
  <c r="K42" i="8" s="1"/>
  <c r="M42" i="8" s="1"/>
  <c r="I53" i="8"/>
  <c r="K53" i="8" s="1"/>
  <c r="M53" i="8" s="1"/>
  <c r="S12" i="5"/>
  <c r="Q12" i="5"/>
  <c r="S13" i="5"/>
  <c r="Q13" i="5"/>
  <c r="S14" i="5"/>
  <c r="Q14" i="5"/>
  <c r="U25" i="4"/>
  <c r="W25" i="4"/>
  <c r="AF26" i="4"/>
  <c r="Q20" i="5"/>
  <c r="S20" i="5"/>
  <c r="W20" i="4"/>
  <c r="AF20" i="4"/>
  <c r="U20" i="4"/>
  <c r="AF41" i="4"/>
  <c r="U19" i="4"/>
  <c r="W19" i="4"/>
  <c r="AF19" i="4"/>
  <c r="O336" i="3"/>
  <c r="O334" i="3"/>
  <c r="M612" i="3"/>
  <c r="T405" i="3"/>
  <c r="X14" i="9"/>
  <c r="O405" i="3"/>
  <c r="W17" i="4"/>
  <c r="AF17" i="4"/>
  <c r="U17" i="4"/>
  <c r="W24" i="4"/>
  <c r="AF25" i="4"/>
  <c r="U24" i="4"/>
  <c r="S17" i="5"/>
  <c r="Q17" i="5"/>
  <c r="G23" i="6"/>
  <c r="I23" i="6" s="1"/>
  <c r="K23" i="6" s="1"/>
  <c r="G20" i="6"/>
  <c r="I20" i="6" s="1"/>
  <c r="K20" i="6" s="1"/>
  <c r="W27" i="4"/>
  <c r="U27" i="4"/>
  <c r="AF28" i="4"/>
  <c r="U23" i="4"/>
  <c r="W23" i="4"/>
  <c r="AF23" i="4"/>
  <c r="R288" i="3"/>
  <c r="R287" i="3"/>
  <c r="T727" i="3"/>
  <c r="O727" i="3"/>
  <c r="Q11" i="5"/>
  <c r="S11" i="5"/>
  <c r="Q16" i="5"/>
  <c r="S16" i="5"/>
  <c r="R98" i="3"/>
  <c r="R97" i="3"/>
  <c r="T422" i="3"/>
  <c r="O422" i="3"/>
  <c r="U11" i="4"/>
  <c r="AF11" i="4"/>
  <c r="W11" i="4"/>
  <c r="O647" i="3"/>
  <c r="O645" i="3"/>
  <c r="T358" i="3"/>
  <c r="O358" i="3"/>
  <c r="T409" i="3"/>
  <c r="M427" i="3"/>
  <c r="X21" i="9"/>
  <c r="X22" i="9" s="1"/>
  <c r="P27" i="9" s="1"/>
  <c r="R27" i="9" s="1"/>
  <c r="T27" i="9" s="1"/>
  <c r="O409" i="3"/>
  <c r="O410" i="3" s="1"/>
  <c r="Q24" i="2"/>
  <c r="S24" i="2" s="1"/>
  <c r="Y28" i="7" s="1"/>
  <c r="W24" i="1"/>
  <c r="U24" i="2"/>
  <c r="T811" i="3"/>
  <c r="O811" i="3"/>
  <c r="O812" i="3" s="1"/>
  <c r="AF33" i="4"/>
  <c r="U31" i="4"/>
  <c r="W31" i="4"/>
  <c r="U32" i="4"/>
  <c r="W32" i="4"/>
  <c r="AF34" i="4"/>
  <c r="O371" i="3"/>
  <c r="T371" i="3"/>
  <c r="S22" i="5"/>
  <c r="Q22" i="5"/>
  <c r="S21" i="5"/>
  <c r="Q21" i="5"/>
  <c r="R305" i="3"/>
  <c r="R306" i="3"/>
  <c r="X12" i="9"/>
  <c r="O403" i="3"/>
  <c r="M421" i="3"/>
  <c r="T403" i="3"/>
  <c r="O396" i="3"/>
  <c r="G17" i="6"/>
  <c r="I17" i="6" s="1"/>
  <c r="K17" i="6" s="1"/>
  <c r="G13" i="6"/>
  <c r="I13" i="6" s="1"/>
  <c r="K13" i="6" s="1"/>
  <c r="U13" i="4"/>
  <c r="AF13" i="4"/>
  <c r="W13" i="4"/>
  <c r="W12" i="4"/>
  <c r="AF12" i="4"/>
  <c r="U12" i="4"/>
  <c r="AF31" i="4"/>
  <c r="U29" i="4"/>
  <c r="W29" i="4"/>
  <c r="O675" i="3"/>
  <c r="O677" i="3"/>
  <c r="T822" i="3"/>
  <c r="O822" i="3"/>
  <c r="O823" i="3" s="1"/>
  <c r="O780" i="3"/>
  <c r="O783" i="3" s="1"/>
  <c r="T780" i="3"/>
  <c r="Q25" i="5"/>
  <c r="S25" i="5"/>
  <c r="O207" i="3"/>
  <c r="T207" i="3"/>
  <c r="M235" i="3"/>
  <c r="M221" i="3"/>
  <c r="O323" i="3"/>
  <c r="O321" i="3"/>
  <c r="O48" i="3"/>
  <c r="O50" i="3"/>
  <c r="O402" i="3"/>
  <c r="X11" i="9"/>
  <c r="T402" i="3"/>
  <c r="M420" i="3"/>
  <c r="O386" i="3"/>
  <c r="O26" i="2"/>
  <c r="W26" i="1" s="1"/>
  <c r="M122" i="3"/>
  <c r="M765" i="3" s="1"/>
  <c r="P25" i="9"/>
  <c r="R25" i="9" s="1"/>
  <c r="T25" i="9" s="1"/>
  <c r="P16" i="9"/>
  <c r="R16" i="9" s="1"/>
  <c r="T16" i="9" s="1"/>
  <c r="P13" i="9"/>
  <c r="R13" i="9" s="1"/>
  <c r="T13" i="9" s="1"/>
  <c r="P23" i="9"/>
  <c r="R23" i="9" s="1"/>
  <c r="T23" i="9" s="1"/>
  <c r="R378" i="3"/>
  <c r="R380" i="3" s="1"/>
  <c r="P29" i="9"/>
  <c r="R29" i="9" s="1"/>
  <c r="T29" i="9" s="1"/>
  <c r="P31" i="9"/>
  <c r="R31" i="9" s="1"/>
  <c r="T31" i="9" s="1"/>
  <c r="P12" i="9"/>
  <c r="R12" i="9" s="1"/>
  <c r="T12" i="9" s="1"/>
  <c r="P21" i="9"/>
  <c r="R21" i="9" s="1"/>
  <c r="T21" i="9" s="1"/>
  <c r="P11" i="9"/>
  <c r="R11" i="9" s="1"/>
  <c r="T11" i="9" s="1"/>
  <c r="P24" i="9"/>
  <c r="R24" i="9" s="1"/>
  <c r="T24" i="9" s="1"/>
  <c r="P33" i="9"/>
  <c r="R33" i="9" s="1"/>
  <c r="T33" i="9" s="1"/>
  <c r="P15" i="9"/>
  <c r="R15" i="9" s="1"/>
  <c r="T15" i="9" s="1"/>
  <c r="P19" i="9"/>
  <c r="R19" i="9" s="1"/>
  <c r="T19" i="9" s="1"/>
  <c r="P20" i="9"/>
  <c r="R20" i="9" s="1"/>
  <c r="T20" i="9" s="1"/>
  <c r="P28" i="9"/>
  <c r="R28" i="9" s="1"/>
  <c r="T28" i="9" s="1"/>
  <c r="P17" i="9"/>
  <c r="R17" i="9" s="1"/>
  <c r="T17" i="9" s="1"/>
  <c r="P32" i="9"/>
  <c r="R32" i="9" s="1"/>
  <c r="T32" i="9" s="1"/>
  <c r="R392" i="3"/>
  <c r="R393" i="3"/>
  <c r="AH41" i="4" l="1"/>
  <c r="AJ41" i="4"/>
  <c r="AG41" i="4"/>
  <c r="T427" i="3"/>
  <c r="O427" i="3"/>
  <c r="O428" i="3" s="1"/>
  <c r="O406" i="3"/>
  <c r="O412" i="3" s="1"/>
  <c r="O414" i="3"/>
  <c r="O209" i="3"/>
  <c r="O211" i="3"/>
  <c r="R676" i="3"/>
  <c r="R675" i="3"/>
  <c r="O375" i="3"/>
  <c r="O373" i="3"/>
  <c r="O360" i="3"/>
  <c r="O362" i="3"/>
  <c r="AJ40" i="4"/>
  <c r="AG40" i="4"/>
  <c r="AH40" i="4"/>
  <c r="R42" i="3"/>
  <c r="R43" i="3"/>
  <c r="R645" i="3"/>
  <c r="R646" i="3"/>
  <c r="Q38" i="8"/>
  <c r="S38" i="8" s="1"/>
  <c r="U38" i="8" s="1"/>
  <c r="Q26" i="8"/>
  <c r="S26" i="8" s="1"/>
  <c r="U26" i="8" s="1"/>
  <c r="Q13" i="8"/>
  <c r="S13" i="8" s="1"/>
  <c r="U13" i="8" s="1"/>
  <c r="Q55" i="8"/>
  <c r="S55" i="8" s="1"/>
  <c r="U55" i="8" s="1"/>
  <c r="Q54" i="8"/>
  <c r="S54" i="8" s="1"/>
  <c r="U54" i="8" s="1"/>
  <c r="Q43" i="8"/>
  <c r="S43" i="8" s="1"/>
  <c r="U43" i="8" s="1"/>
  <c r="Q56" i="8"/>
  <c r="S56" i="8" s="1"/>
  <c r="U56" i="8" s="1"/>
  <c r="Q36" i="8"/>
  <c r="S36" i="8" s="1"/>
  <c r="U36" i="8" s="1"/>
  <c r="Q49" i="8"/>
  <c r="S49" i="8" s="1"/>
  <c r="U49" i="8" s="1"/>
  <c r="Q16" i="8"/>
  <c r="S16" i="8" s="1"/>
  <c r="U16" i="8" s="1"/>
  <c r="Q15" i="8"/>
  <c r="S15" i="8" s="1"/>
  <c r="U15" i="8" s="1"/>
  <c r="Q53" i="8"/>
  <c r="S53" i="8" s="1"/>
  <c r="U53" i="8" s="1"/>
  <c r="Q58" i="8"/>
  <c r="S58" i="8" s="1"/>
  <c r="U58" i="8" s="1"/>
  <c r="Q24" i="8"/>
  <c r="S24" i="8" s="1"/>
  <c r="U24" i="8" s="1"/>
  <c r="Q51" i="8"/>
  <c r="S51" i="8" s="1"/>
  <c r="U51" i="8" s="1"/>
  <c r="Q18" i="8"/>
  <c r="S18" i="8" s="1"/>
  <c r="U18" i="8" s="1"/>
  <c r="Q17" i="8"/>
  <c r="S17" i="8" s="1"/>
  <c r="U17" i="8" s="1"/>
  <c r="Q11" i="8"/>
  <c r="S11" i="8" s="1"/>
  <c r="U11" i="8" s="1"/>
  <c r="Q25" i="8"/>
  <c r="S25" i="8" s="1"/>
  <c r="U25" i="8" s="1"/>
  <c r="Q48" i="8"/>
  <c r="S48" i="8" s="1"/>
  <c r="U48" i="8" s="1"/>
  <c r="Q44" i="8"/>
  <c r="S44" i="8" s="1"/>
  <c r="U44" i="8" s="1"/>
  <c r="Q19" i="8"/>
  <c r="S19" i="8" s="1"/>
  <c r="U19" i="8" s="1"/>
  <c r="Q57" i="8"/>
  <c r="S57" i="8" s="1"/>
  <c r="U57" i="8" s="1"/>
  <c r="Q22" i="8"/>
  <c r="S22" i="8" s="1"/>
  <c r="U22" i="8" s="1"/>
  <c r="Q47" i="8"/>
  <c r="S47" i="8" s="1"/>
  <c r="U47" i="8" s="1"/>
  <c r="Q21" i="8"/>
  <c r="S21" i="8" s="1"/>
  <c r="U21" i="8" s="1"/>
  <c r="Q39" i="8"/>
  <c r="S39" i="8" s="1"/>
  <c r="U39" i="8" s="1"/>
  <c r="Q27" i="8"/>
  <c r="S27" i="8" s="1"/>
  <c r="U27" i="8" s="1"/>
  <c r="Q45" i="8"/>
  <c r="S45" i="8" s="1"/>
  <c r="U45" i="8" s="1"/>
  <c r="Q37" i="8"/>
  <c r="S37" i="8" s="1"/>
  <c r="U37" i="8" s="1"/>
  <c r="Q33" i="8"/>
  <c r="S33" i="8" s="1"/>
  <c r="U33" i="8" s="1"/>
  <c r="Q14" i="8"/>
  <c r="S14" i="8" s="1"/>
  <c r="U14" i="8" s="1"/>
  <c r="Q35" i="8"/>
  <c r="S35" i="8" s="1"/>
  <c r="U35" i="8" s="1"/>
  <c r="Q28" i="8"/>
  <c r="S28" i="8" s="1"/>
  <c r="U28" i="8" s="1"/>
  <c r="Q52" i="8"/>
  <c r="S52" i="8" s="1"/>
  <c r="U52" i="8" s="1"/>
  <c r="Q12" i="8"/>
  <c r="S12" i="8" s="1"/>
  <c r="U12" i="8" s="1"/>
  <c r="Q23" i="8"/>
  <c r="S23" i="8" s="1"/>
  <c r="U23" i="8" s="1"/>
  <c r="Q46" i="8"/>
  <c r="S46" i="8" s="1"/>
  <c r="U46" i="8" s="1"/>
  <c r="Q29" i="8"/>
  <c r="S29" i="8" s="1"/>
  <c r="U29" i="8" s="1"/>
  <c r="Q41" i="8"/>
  <c r="S41" i="8" s="1"/>
  <c r="U41" i="8" s="1"/>
  <c r="Q32" i="8"/>
  <c r="S32" i="8" s="1"/>
  <c r="U32" i="8" s="1"/>
  <c r="Q31" i="8"/>
  <c r="S31" i="8" s="1"/>
  <c r="U31" i="8" s="1"/>
  <c r="Q59" i="8"/>
  <c r="S59" i="8" s="1"/>
  <c r="U59" i="8" s="1"/>
  <c r="Q42" i="8"/>
  <c r="S42" i="8" s="1"/>
  <c r="U42" i="8" s="1"/>
  <c r="Q34" i="8"/>
  <c r="S34" i="8" s="1"/>
  <c r="U34" i="8" s="1"/>
  <c r="O15" i="2"/>
  <c r="R15" i="3"/>
  <c r="R22" i="3"/>
  <c r="R23" i="3"/>
  <c r="R320" i="3"/>
  <c r="R319" i="3"/>
  <c r="R623" i="3"/>
  <c r="R622" i="3"/>
  <c r="R660" i="3"/>
  <c r="R661" i="3"/>
  <c r="R68" i="3"/>
  <c r="R69" i="3"/>
  <c r="O16" i="2"/>
  <c r="O420" i="3"/>
  <c r="T420" i="3"/>
  <c r="T221" i="3"/>
  <c r="O221" i="3"/>
  <c r="Y37" i="1"/>
  <c r="Z37" i="1" s="1"/>
  <c r="AA37" i="1" s="1"/>
  <c r="O37" i="2"/>
  <c r="R824" i="3"/>
  <c r="R823" i="3"/>
  <c r="W32" i="1"/>
  <c r="U32" i="2"/>
  <c r="Q32" i="2"/>
  <c r="S32" i="2" s="1"/>
  <c r="W29" i="5" s="1"/>
  <c r="T235" i="3"/>
  <c r="O235" i="3"/>
  <c r="T421" i="3"/>
  <c r="O421" i="3"/>
  <c r="O612" i="3"/>
  <c r="T612" i="3"/>
  <c r="O349" i="3"/>
  <c r="O347" i="3"/>
  <c r="H31" i="9"/>
  <c r="J31" i="9" s="1"/>
  <c r="L31" i="9" s="1"/>
  <c r="H17" i="9"/>
  <c r="J17" i="9" s="1"/>
  <c r="L17" i="9" s="1"/>
  <c r="H28" i="9"/>
  <c r="J28" i="9" s="1"/>
  <c r="L28" i="9" s="1"/>
  <c r="H20" i="9"/>
  <c r="J20" i="9" s="1"/>
  <c r="L20" i="9" s="1"/>
  <c r="H27" i="9"/>
  <c r="J27" i="9" s="1"/>
  <c r="L27" i="9" s="1"/>
  <c r="H24" i="9"/>
  <c r="J24" i="9" s="1"/>
  <c r="L24" i="9" s="1"/>
  <c r="H25" i="9"/>
  <c r="J25" i="9" s="1"/>
  <c r="L25" i="9" s="1"/>
  <c r="H29" i="9"/>
  <c r="J29" i="9" s="1"/>
  <c r="L29" i="9" s="1"/>
  <c r="H23" i="9"/>
  <c r="J23" i="9" s="1"/>
  <c r="L23" i="9" s="1"/>
  <c r="H16" i="9"/>
  <c r="J16" i="9" s="1"/>
  <c r="L16" i="9" s="1"/>
  <c r="H33" i="9"/>
  <c r="J33" i="9" s="1"/>
  <c r="L33" i="9" s="1"/>
  <c r="H19" i="9"/>
  <c r="J19" i="9" s="1"/>
  <c r="L19" i="9" s="1"/>
  <c r="H12" i="9"/>
  <c r="J12" i="9" s="1"/>
  <c r="L12" i="9" s="1"/>
  <c r="H15" i="9"/>
  <c r="J15" i="9" s="1"/>
  <c r="L15" i="9" s="1"/>
  <c r="H11" i="9"/>
  <c r="J11" i="9" s="1"/>
  <c r="L11" i="9" s="1"/>
  <c r="H32" i="9"/>
  <c r="J32" i="9" s="1"/>
  <c r="L32" i="9" s="1"/>
  <c r="H21" i="9"/>
  <c r="J21" i="9" s="1"/>
  <c r="L21" i="9" s="1"/>
  <c r="H13" i="9"/>
  <c r="J13" i="9" s="1"/>
  <c r="L13" i="9" s="1"/>
  <c r="O36" i="2"/>
  <c r="Y36" i="1"/>
  <c r="Z36" i="1" s="1"/>
  <c r="AA36" i="1" s="1"/>
  <c r="R812" i="3"/>
  <c r="R813" i="3"/>
  <c r="O25" i="2"/>
  <c r="R326" i="3"/>
  <c r="R333" i="3"/>
  <c r="O27" i="2"/>
  <c r="U27" i="2" s="1"/>
  <c r="U26" i="2"/>
  <c r="Q26" i="2"/>
  <c r="S26" i="2" s="1"/>
  <c r="M164" i="3"/>
  <c r="O164" i="3" s="1"/>
  <c r="M178" i="3"/>
  <c r="O178" i="3" s="1"/>
  <c r="R381" i="3"/>
  <c r="M192" i="3"/>
  <c r="T192" i="3" s="1"/>
  <c r="M712" i="3"/>
  <c r="O712" i="3" s="1"/>
  <c r="M136" i="3"/>
  <c r="T136" i="3" s="1"/>
  <c r="W20" i="6"/>
  <c r="O25" i="6" s="1"/>
  <c r="Q25" i="6" s="1"/>
  <c r="S25" i="6" s="1"/>
  <c r="T122" i="3"/>
  <c r="M108" i="3"/>
  <c r="O108" i="3" s="1"/>
  <c r="O122" i="3"/>
  <c r="O127" i="3" s="1"/>
  <c r="M150" i="3"/>
  <c r="T150" i="3" s="1"/>
  <c r="T712" i="3"/>
  <c r="T765" i="3"/>
  <c r="O765" i="3"/>
  <c r="O781" i="3" s="1"/>
  <c r="R782" i="3" s="1"/>
  <c r="AC16" i="2" l="1"/>
  <c r="Q16" i="2"/>
  <c r="S16" i="2" s="1"/>
  <c r="U16" i="2"/>
  <c r="W16" i="1"/>
  <c r="O21" i="2"/>
  <c r="R200" i="3"/>
  <c r="R206" i="3"/>
  <c r="O237" i="3"/>
  <c r="O239" i="3"/>
  <c r="R411" i="3"/>
  <c r="O28" i="2"/>
  <c r="M423" i="3"/>
  <c r="R17" i="3"/>
  <c r="R18" i="3"/>
  <c r="R371" i="3"/>
  <c r="R372" i="3"/>
  <c r="O617" i="3"/>
  <c r="O614" i="3"/>
  <c r="O615" i="3" s="1"/>
  <c r="U36" i="2"/>
  <c r="Q36" i="2"/>
  <c r="R359" i="3"/>
  <c r="R358" i="3"/>
  <c r="Q37" i="2"/>
  <c r="U37" i="2"/>
  <c r="R329" i="3"/>
  <c r="R328" i="3"/>
  <c r="R345" i="3"/>
  <c r="R346" i="3"/>
  <c r="O223" i="3"/>
  <c r="O225" i="3"/>
  <c r="Q15" i="2"/>
  <c r="W15" i="1"/>
  <c r="U15" i="2"/>
  <c r="O18" i="2"/>
  <c r="AC15" i="2"/>
  <c r="Q25" i="2"/>
  <c r="S25" i="2" s="1"/>
  <c r="Y26" i="8" s="1"/>
  <c r="U25" i="2"/>
  <c r="W25" i="1"/>
  <c r="W27" i="1" s="1"/>
  <c r="O192" i="3"/>
  <c r="O24" i="6"/>
  <c r="Q24" i="6" s="1"/>
  <c r="S24" i="6" s="1"/>
  <c r="O20" i="6"/>
  <c r="Q20" i="6" s="1"/>
  <c r="S20" i="6" s="1"/>
  <c r="O136" i="3"/>
  <c r="O141" i="3" s="1"/>
  <c r="O27" i="6"/>
  <c r="Q27" i="6" s="1"/>
  <c r="S27" i="6" s="1"/>
  <c r="T164" i="3"/>
  <c r="O23" i="6"/>
  <c r="Q23" i="6" s="1"/>
  <c r="S23" i="6" s="1"/>
  <c r="T178" i="3"/>
  <c r="O150" i="3"/>
  <c r="O153" i="3" s="1"/>
  <c r="O16" i="6"/>
  <c r="Q16" i="6" s="1"/>
  <c r="S16" i="6" s="1"/>
  <c r="O21" i="6"/>
  <c r="Q21" i="6" s="1"/>
  <c r="S21" i="6" s="1"/>
  <c r="O17" i="6"/>
  <c r="Q17" i="6" s="1"/>
  <c r="S17" i="6" s="1"/>
  <c r="O28" i="6"/>
  <c r="Q28" i="6" s="1"/>
  <c r="S28" i="6" s="1"/>
  <c r="O15" i="6"/>
  <c r="Q15" i="6" s="1"/>
  <c r="S15" i="6" s="1"/>
  <c r="O13" i="6"/>
  <c r="Q13" i="6" s="1"/>
  <c r="S13" i="6" s="1"/>
  <c r="O19" i="6"/>
  <c r="Q19" i="6" s="1"/>
  <c r="S19" i="6" s="1"/>
  <c r="O11" i="6"/>
  <c r="Q11" i="6" s="1"/>
  <c r="S11" i="6" s="1"/>
  <c r="O12" i="6"/>
  <c r="Q12" i="6" s="1"/>
  <c r="S12" i="6" s="1"/>
  <c r="O29" i="6"/>
  <c r="Q29" i="6" s="1"/>
  <c r="S29" i="6" s="1"/>
  <c r="O125" i="3"/>
  <c r="R126" i="3" s="1"/>
  <c r="T108" i="3"/>
  <c r="O181" i="3"/>
  <c r="O183" i="3"/>
  <c r="O195" i="3"/>
  <c r="O197" i="3"/>
  <c r="O728" i="3"/>
  <c r="O730" i="3"/>
  <c r="O167" i="3"/>
  <c r="O169" i="3"/>
  <c r="O113" i="3"/>
  <c r="O111" i="3"/>
  <c r="S15" i="2" l="1"/>
  <c r="AA27" i="4" s="1"/>
  <c r="Q18" i="2"/>
  <c r="S18" i="2" s="1"/>
  <c r="S37" i="2"/>
  <c r="Q37" i="1"/>
  <c r="R202" i="3"/>
  <c r="R203" i="3"/>
  <c r="R221" i="3"/>
  <c r="R222" i="3"/>
  <c r="W21" i="1"/>
  <c r="Q21" i="2"/>
  <c r="S21" i="2" s="1"/>
  <c r="U21" i="2"/>
  <c r="Q36" i="1"/>
  <c r="S36" i="2"/>
  <c r="T423" i="3"/>
  <c r="O423" i="3"/>
  <c r="W18" i="1"/>
  <c r="AE15" i="2"/>
  <c r="AD15" i="2"/>
  <c r="U28" i="2"/>
  <c r="Q28" i="2"/>
  <c r="S28" i="2" s="1"/>
  <c r="X26" i="9" s="1"/>
  <c r="W28" i="1"/>
  <c r="R236" i="3"/>
  <c r="R235" i="3"/>
  <c r="AC18" i="2"/>
  <c r="U18" i="2"/>
  <c r="R615" i="3"/>
  <c r="R609" i="3"/>
  <c r="O31" i="2"/>
  <c r="Q27" i="2"/>
  <c r="S27" i="2" s="1"/>
  <c r="AE16" i="2"/>
  <c r="AD16" i="2"/>
  <c r="O139" i="3"/>
  <c r="R140" i="3" s="1"/>
  <c r="O155" i="3"/>
  <c r="R168" i="3"/>
  <c r="R167" i="3"/>
  <c r="R729" i="3"/>
  <c r="O33" i="2"/>
  <c r="R728" i="3"/>
  <c r="R193" i="3"/>
  <c r="R194" i="3"/>
  <c r="O22" i="2"/>
  <c r="R180" i="3"/>
  <c r="R179" i="3"/>
  <c r="R111" i="3"/>
  <c r="R119" i="3"/>
  <c r="R112" i="3"/>
  <c r="R154" i="3"/>
  <c r="R153" i="3"/>
  <c r="O20" i="2"/>
  <c r="AE18" i="2" l="1"/>
  <c r="AD18" i="2"/>
  <c r="O37" i="1"/>
  <c r="X37" i="1"/>
  <c r="S37" i="1"/>
  <c r="Q68" i="1" s="1"/>
  <c r="R612" i="3"/>
  <c r="R611" i="3"/>
  <c r="O424" i="3"/>
  <c r="O430" i="3" s="1"/>
  <c r="O432" i="3"/>
  <c r="U31" i="2"/>
  <c r="W31" i="1"/>
  <c r="Q31" i="2"/>
  <c r="S31" i="2" s="1"/>
  <c r="X36" i="1"/>
  <c r="S36" i="1"/>
  <c r="Q67" i="1" s="1"/>
  <c r="O36" i="1"/>
  <c r="R139" i="3"/>
  <c r="U20" i="2"/>
  <c r="Q20" i="2"/>
  <c r="W20" i="1"/>
  <c r="O23" i="2"/>
  <c r="U23" i="2" s="1"/>
  <c r="U22" i="2"/>
  <c r="Q22" i="2"/>
  <c r="S22" i="2" s="1"/>
  <c r="W22" i="1"/>
  <c r="Q33" i="2"/>
  <c r="Y33" i="1"/>
  <c r="Z33" i="1" s="1"/>
  <c r="AA33" i="1" s="1"/>
  <c r="U33" i="2"/>
  <c r="R121" i="3"/>
  <c r="R122" i="3"/>
  <c r="R405" i="3" l="1"/>
  <c r="O29" i="2"/>
  <c r="O854" i="3"/>
  <c r="O856" i="3" s="1"/>
  <c r="R429" i="3"/>
  <c r="W37" i="1"/>
  <c r="U37" i="1"/>
  <c r="U36" i="1"/>
  <c r="W36" i="1"/>
  <c r="S20" i="2"/>
  <c r="W24" i="6" s="1"/>
  <c r="Q23" i="2"/>
  <c r="S23" i="2" s="1"/>
  <c r="S33" i="2"/>
  <c r="Q33" i="1"/>
  <c r="W23" i="1"/>
  <c r="O30" i="2" l="1"/>
  <c r="U30" i="2" s="1"/>
  <c r="O39" i="2"/>
  <c r="Q29" i="2"/>
  <c r="U29" i="2"/>
  <c r="W29" i="1"/>
  <c r="W30" i="1" s="1"/>
  <c r="R409" i="3"/>
  <c r="R407" i="3"/>
  <c r="S33" i="1"/>
  <c r="O33" i="1"/>
  <c r="X33" i="1"/>
  <c r="Q39" i="1"/>
  <c r="S29" i="2" l="1"/>
  <c r="Q30" i="2"/>
  <c r="S30" i="2" s="1"/>
  <c r="Q39" i="2"/>
  <c r="O40" i="2"/>
  <c r="O52" i="2"/>
  <c r="U52" i="2" s="1"/>
  <c r="U39" i="2"/>
  <c r="Q40" i="1"/>
  <c r="S39" i="1"/>
  <c r="X39" i="1"/>
  <c r="Q52" i="1"/>
  <c r="U33" i="1"/>
  <c r="W33" i="1"/>
  <c r="W39" i="1" s="1"/>
  <c r="O39" i="1"/>
  <c r="O53" i="2" l="1"/>
  <c r="U53" i="2" s="1"/>
  <c r="U40" i="2"/>
  <c r="S39" i="2"/>
  <c r="Q40" i="2"/>
  <c r="Q52" i="2"/>
  <c r="W40" i="1"/>
  <c r="W52" i="1"/>
  <c r="W53" i="1" s="1"/>
  <c r="R630" i="3"/>
  <c r="S52" i="1"/>
  <c r="X52" i="1"/>
  <c r="O40" i="1"/>
  <c r="U39" i="1"/>
  <c r="O52" i="1"/>
  <c r="U52" i="1" s="1"/>
  <c r="X40" i="1"/>
  <c r="S40" i="1"/>
  <c r="Q53" i="1"/>
  <c r="R629" i="3" l="1"/>
  <c r="S52" i="2"/>
  <c r="S40" i="2"/>
  <c r="Q53" i="2"/>
  <c r="S53" i="2" s="1"/>
  <c r="O53" i="1"/>
  <c r="U53" i="1" s="1"/>
  <c r="U40" i="1"/>
  <c r="X53" i="1"/>
  <c r="S53" i="1"/>
  <c r="D6" i="25"/>
  <c r="L23" i="14"/>
  <c r="F6" i="25" s="1"/>
  <c r="K23" i="14"/>
  <c r="AA14" i="13"/>
  <c r="K25" i="14" l="1"/>
  <c r="K37" i="14" s="1"/>
  <c r="U14" i="17"/>
  <c r="J25" i="14" l="1"/>
  <c r="D8" i="25" s="1"/>
  <c r="K35" i="14"/>
  <c r="M27" i="14" s="1"/>
  <c r="G11" i="25" s="1"/>
  <c r="M30" i="14"/>
  <c r="M23" i="14"/>
  <c r="G6" i="25" s="1"/>
  <c r="M24" i="14"/>
  <c r="G7" i="25" s="1"/>
  <c r="M22" i="14"/>
  <c r="G5" i="25" s="1"/>
  <c r="M29" i="14"/>
  <c r="G13" i="25" s="1"/>
  <c r="L35" i="14"/>
  <c r="M21" i="14"/>
  <c r="G4" i="25" s="1"/>
  <c r="AA16" i="13"/>
  <c r="K32" i="13" s="1"/>
  <c r="E32" i="17" s="1"/>
  <c r="M20" i="14"/>
  <c r="G3" i="25" s="1"/>
  <c r="L25" i="14"/>
  <c r="F8" i="25" s="1"/>
  <c r="M26" i="14"/>
  <c r="G10" i="25" s="1"/>
  <c r="M28" i="14"/>
  <c r="G12" i="25" s="1"/>
  <c r="M25" i="14" l="1"/>
  <c r="G8" i="25" s="1"/>
  <c r="U16" i="17"/>
  <c r="K23" i="13"/>
  <c r="I16" i="15" s="1"/>
  <c r="J16" i="15" s="1"/>
  <c r="S16" i="15" s="1"/>
  <c r="K28" i="13"/>
  <c r="M28" i="13" s="1"/>
  <c r="D21" i="15" s="1"/>
  <c r="E21" i="15" s="1"/>
  <c r="M35" i="14"/>
  <c r="K30" i="13"/>
  <c r="M30" i="13" s="1"/>
  <c r="D23" i="15" s="1"/>
  <c r="E23" i="15" s="1"/>
  <c r="K13" i="13"/>
  <c r="AD13" i="13" s="1"/>
  <c r="K16" i="13"/>
  <c r="I12" i="15" s="1"/>
  <c r="J12" i="15" s="1"/>
  <c r="S12" i="15" s="1"/>
  <c r="K21" i="13"/>
  <c r="K22" i="13"/>
  <c r="I15" i="15" s="1"/>
  <c r="J15" i="15" s="1"/>
  <c r="S15" i="15" s="1"/>
  <c r="I25" i="15"/>
  <c r="J25" i="15" s="1"/>
  <c r="S25" i="15" s="1"/>
  <c r="K19" i="13"/>
  <c r="AD19" i="13" s="1"/>
  <c r="K26" i="13"/>
  <c r="I19" i="15" s="1"/>
  <c r="J19" i="15" s="1"/>
  <c r="S19" i="15" s="1"/>
  <c r="K24" i="13"/>
  <c r="I17" i="15" s="1"/>
  <c r="J17" i="15" s="1"/>
  <c r="S17" i="15" s="1"/>
  <c r="M32" i="13"/>
  <c r="D25" i="15" s="1"/>
  <c r="E25" i="15" s="1"/>
  <c r="K12" i="13"/>
  <c r="M12" i="13" s="1"/>
  <c r="D8" i="15" s="1"/>
  <c r="E8" i="15" s="1"/>
  <c r="K20" i="13"/>
  <c r="K25" i="13"/>
  <c r="O25" i="13" s="1"/>
  <c r="K29" i="13"/>
  <c r="I22" i="15" s="1"/>
  <c r="J22" i="15" s="1"/>
  <c r="S22" i="15" s="1"/>
  <c r="AD34" i="13"/>
  <c r="K14" i="13"/>
  <c r="E14" i="17" s="1"/>
  <c r="K31" i="13"/>
  <c r="AD33" i="13" s="1"/>
  <c r="K18" i="13"/>
  <c r="M18" i="13" s="1"/>
  <c r="D29" i="15" s="1"/>
  <c r="E29" i="15" s="1"/>
  <c r="O32" i="13"/>
  <c r="K27" i="13"/>
  <c r="K15" i="13"/>
  <c r="I11" i="15" s="1"/>
  <c r="J11" i="15" s="1"/>
  <c r="S11" i="15" s="1"/>
  <c r="K11" i="13"/>
  <c r="E11" i="17" s="1"/>
  <c r="M21" i="13"/>
  <c r="D14" i="15" s="1"/>
  <c r="E14" i="15" s="1"/>
  <c r="AD21" i="13"/>
  <c r="E21" i="17"/>
  <c r="I14" i="15"/>
  <c r="J14" i="15" s="1"/>
  <c r="S14" i="15" s="1"/>
  <c r="O21" i="13"/>
  <c r="M27" i="13"/>
  <c r="D20" i="15" s="1"/>
  <c r="E20" i="15" s="1"/>
  <c r="E27" i="17"/>
  <c r="O27" i="13"/>
  <c r="I20" i="15"/>
  <c r="J20" i="15" s="1"/>
  <c r="S20" i="15" s="1"/>
  <c r="AD28" i="13"/>
  <c r="X34" i="17"/>
  <c r="I32" i="17"/>
  <c r="G32" i="17"/>
  <c r="O20" i="13"/>
  <c r="E20" i="17"/>
  <c r="AF39" i="13"/>
  <c r="AD20" i="13"/>
  <c r="I30" i="15"/>
  <c r="J30" i="15" s="1"/>
  <c r="S30" i="15" s="1"/>
  <c r="M20" i="13"/>
  <c r="D30" i="15" s="1"/>
  <c r="E30" i="15" s="1"/>
  <c r="M13" i="13"/>
  <c r="D9" i="15" s="1"/>
  <c r="E9" i="15" s="1"/>
  <c r="AD16" i="13"/>
  <c r="I29" i="15" l="1"/>
  <c r="J29" i="15" s="1"/>
  <c r="S29" i="15" s="1"/>
  <c r="AF41" i="13"/>
  <c r="O16" i="13"/>
  <c r="AD18" i="13"/>
  <c r="E16" i="17"/>
  <c r="X16" i="17" s="1"/>
  <c r="E13" i="17"/>
  <c r="G13" i="17" s="1"/>
  <c r="O24" i="13"/>
  <c r="E30" i="17"/>
  <c r="I30" i="17" s="1"/>
  <c r="O12" i="13"/>
  <c r="I8" i="15"/>
  <c r="J8" i="15" s="1"/>
  <c r="S8" i="15" s="1"/>
  <c r="O30" i="13"/>
  <c r="M24" i="13"/>
  <c r="D17" i="15" s="1"/>
  <c r="E17" i="15" s="1"/>
  <c r="E12" i="17"/>
  <c r="G12" i="17" s="1"/>
  <c r="I23" i="15"/>
  <c r="J23" i="15" s="1"/>
  <c r="S23" i="15" s="1"/>
  <c r="AD32" i="13"/>
  <c r="O31" i="13"/>
  <c r="AD30" i="13"/>
  <c r="AD22" i="13"/>
  <c r="O29" i="13"/>
  <c r="AD26" i="13"/>
  <c r="I24" i="15"/>
  <c r="J24" i="15" s="1"/>
  <c r="S24" i="15" s="1"/>
  <c r="O15" i="13"/>
  <c r="O22" i="13"/>
  <c r="E29" i="17"/>
  <c r="X31" i="17" s="1"/>
  <c r="O26" i="13"/>
  <c r="M11" i="13"/>
  <c r="D7" i="15" s="1"/>
  <c r="E7" i="15" s="1"/>
  <c r="E22" i="17"/>
  <c r="G22" i="17" s="1"/>
  <c r="M22" i="13"/>
  <c r="D15" i="15" s="1"/>
  <c r="E15" i="15" s="1"/>
  <c r="AD23" i="13"/>
  <c r="E15" i="17"/>
  <c r="G15" i="17" s="1"/>
  <c r="M23" i="13"/>
  <c r="D16" i="15" s="1"/>
  <c r="E16" i="15" s="1"/>
  <c r="M15" i="13"/>
  <c r="D11" i="15" s="1"/>
  <c r="E11" i="15" s="1"/>
  <c r="O23" i="13"/>
  <c r="AD31" i="13"/>
  <c r="E24" i="17"/>
  <c r="X25" i="17" s="1"/>
  <c r="O11" i="13"/>
  <c r="E25" i="17"/>
  <c r="G25" i="17" s="1"/>
  <c r="AD15" i="13"/>
  <c r="E19" i="17"/>
  <c r="I19" i="17" s="1"/>
  <c r="M25" i="13"/>
  <c r="D18" i="15" s="1"/>
  <c r="E18" i="15" s="1"/>
  <c r="I18" i="15"/>
  <c r="J18" i="15" s="1"/>
  <c r="S18" i="15" s="1"/>
  <c r="E23" i="17"/>
  <c r="G23" i="17" s="1"/>
  <c r="M29" i="13"/>
  <c r="D22" i="15" s="1"/>
  <c r="E22" i="15" s="1"/>
  <c r="AD25" i="13"/>
  <c r="I7" i="15"/>
  <c r="J7" i="15" s="1"/>
  <c r="S7" i="15" s="1"/>
  <c r="AD11" i="13"/>
  <c r="AD14" i="13"/>
  <c r="E31" i="17"/>
  <c r="I31" i="17" s="1"/>
  <c r="E28" i="17"/>
  <c r="G28" i="17" s="1"/>
  <c r="O19" i="13"/>
  <c r="I13" i="15"/>
  <c r="J13" i="15" s="1"/>
  <c r="S13" i="15" s="1"/>
  <c r="O14" i="13"/>
  <c r="E18" i="17"/>
  <c r="X18" i="17" s="1"/>
  <c r="E26" i="17"/>
  <c r="G26" i="17" s="1"/>
  <c r="AD12" i="13"/>
  <c r="I10" i="15"/>
  <c r="J10" i="15" s="1"/>
  <c r="S10" i="15" s="1"/>
  <c r="M16" i="13"/>
  <c r="D12" i="15" s="1"/>
  <c r="E12" i="15" s="1"/>
  <c r="O13" i="13"/>
  <c r="M26" i="13"/>
  <c r="D19" i="15" s="1"/>
  <c r="E19" i="15" s="1"/>
  <c r="M31" i="13"/>
  <c r="D24" i="15" s="1"/>
  <c r="E24" i="15" s="1"/>
  <c r="I21" i="15"/>
  <c r="J21" i="15" s="1"/>
  <c r="S21" i="15" s="1"/>
  <c r="O28" i="13"/>
  <c r="O18" i="13"/>
  <c r="M14" i="13"/>
  <c r="D10" i="15" s="1"/>
  <c r="E10" i="15" s="1"/>
  <c r="M19" i="13"/>
  <c r="D13" i="15" s="1"/>
  <c r="E13" i="15" s="1"/>
  <c r="I9" i="15"/>
  <c r="J9" i="15" s="1"/>
  <c r="S9" i="15" s="1"/>
  <c r="AD24" i="13"/>
  <c r="AD29" i="13"/>
  <c r="AD27" i="13"/>
  <c r="G21" i="17"/>
  <c r="X21" i="17"/>
  <c r="I21" i="17"/>
  <c r="Z39" i="17"/>
  <c r="Z41" i="17"/>
  <c r="I20" i="17"/>
  <c r="G20" i="17"/>
  <c r="X20" i="17"/>
  <c r="I27" i="17"/>
  <c r="X28" i="17"/>
  <c r="G27" i="17"/>
  <c r="AJ41" i="13"/>
  <c r="AG41" i="13"/>
  <c r="AH41" i="13"/>
  <c r="I14" i="17"/>
  <c r="G14" i="17"/>
  <c r="X14" i="17"/>
  <c r="AJ39" i="13"/>
  <c r="AH39" i="13"/>
  <c r="AG39" i="13"/>
  <c r="G11" i="17"/>
  <c r="X11" i="17"/>
  <c r="I11" i="17"/>
  <c r="G16" i="17" l="1"/>
  <c r="I16" i="17"/>
  <c r="X32" i="17"/>
  <c r="X13" i="17"/>
  <c r="I13" i="17"/>
  <c r="G30" i="17"/>
  <c r="X33" i="17"/>
  <c r="X30" i="17"/>
  <c r="I22" i="17"/>
  <c r="X22" i="17"/>
  <c r="I24" i="17"/>
  <c r="G31" i="17"/>
  <c r="X12" i="17"/>
  <c r="I29" i="17"/>
  <c r="X26" i="17"/>
  <c r="G29" i="17"/>
  <c r="I12" i="17"/>
  <c r="G19" i="17"/>
  <c r="I23" i="17"/>
  <c r="G24" i="17"/>
  <c r="I25" i="17"/>
  <c r="X24" i="17"/>
  <c r="X19" i="17"/>
  <c r="I15" i="17"/>
  <c r="I26" i="17"/>
  <c r="X23" i="17"/>
  <c r="X15" i="17"/>
  <c r="X27" i="17"/>
  <c r="I28" i="17"/>
  <c r="G18" i="17"/>
  <c r="X29" i="17"/>
  <c r="I18" i="17"/>
  <c r="AD41" i="17"/>
  <c r="AA41" i="17"/>
  <c r="AB41" i="17"/>
  <c r="AB39" i="17"/>
  <c r="AA39" i="17"/>
  <c r="AD39" i="17"/>
</calcChain>
</file>

<file path=xl/comments1.xml><?xml version="1.0" encoding="utf-8"?>
<comments xmlns="http://schemas.openxmlformats.org/spreadsheetml/2006/main">
  <authors>
    <author>Author</author>
  </authors>
  <commentList>
    <comment ref="Q59" authorId="0" shapeId="0">
      <text>
        <r>
          <rPr>
            <sz val="12"/>
            <color indexed="81"/>
            <rFont val="Times New Roman"/>
            <family val="1"/>
          </rPr>
          <t>Change this number to get the target revenue requirement</t>
        </r>
      </text>
    </comment>
  </commentList>
</comments>
</file>

<file path=xl/comments2.xml><?xml version="1.0" encoding="utf-8"?>
<comments xmlns="http://schemas.openxmlformats.org/spreadsheetml/2006/main">
  <authors>
    <author>James Zhang</author>
  </authors>
  <commentList>
    <comment ref="Q24" authorId="0" shape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Q25" authorId="0" shape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Q26" authorId="0" shape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R627" authorId="0" shape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  <comment ref="R628" authorId="0" shape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</commentList>
</comments>
</file>

<file path=xl/sharedStrings.xml><?xml version="1.0" encoding="utf-8"?>
<sst xmlns="http://schemas.openxmlformats.org/spreadsheetml/2006/main" count="4065" uniqueCount="699">
  <si>
    <t>TABLE  A</t>
  </si>
  <si>
    <t>Rocky Mountain Power</t>
  </si>
  <si>
    <t>Estimated Effect of Proposed Changes</t>
  </si>
  <si>
    <t>on Revenues from Electric Sales to Ultimate Consumers in Utah</t>
  </si>
  <si>
    <t>Pre.</t>
  </si>
  <si>
    <t>Pro.</t>
  </si>
  <si>
    <t>No. of</t>
  </si>
  <si>
    <t xml:space="preserve">Present </t>
  </si>
  <si>
    <t>Proposed</t>
  </si>
  <si>
    <t>Line</t>
  </si>
  <si>
    <t>Sch</t>
  </si>
  <si>
    <t>Customers</t>
  </si>
  <si>
    <t>MWh</t>
  </si>
  <si>
    <t>Revenues</t>
  </si>
  <si>
    <t xml:space="preserve">Avg </t>
  </si>
  <si>
    <t>No.</t>
  </si>
  <si>
    <t>Description</t>
  </si>
  <si>
    <t>Forecast</t>
  </si>
  <si>
    <t>($000)</t>
  </si>
  <si>
    <t>Change</t>
  </si>
  <si>
    <t>(%)</t>
  </si>
  <si>
    <t>¢/kWh</t>
  </si>
  <si>
    <t>Diff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</si>
  <si>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</si>
  <si>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</si>
  <si>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</si>
  <si>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</si>
  <si>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</si>
  <si>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</si>
  <si>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</si>
  <si>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</si>
  <si>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</si>
  <si>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</si>
  <si>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</si>
  <si>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</si>
  <si>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</si>
  <si>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</si>
  <si>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</si>
  <si>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</si>
  <si>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</si>
  <si>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</si>
  <si>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</si>
  <si>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</si>
  <si>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</si>
  <si>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</si>
  <si>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</si>
  <si>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</si>
  <si>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Table A</t>
  </si>
  <si>
    <t>%</t>
  </si>
  <si>
    <t>Back-up, Maintenance, &amp; Supplementary</t>
  </si>
  <si>
    <t>Contract 1</t>
  </si>
  <si>
    <t>Contract 2</t>
  </si>
  <si>
    <t>Contract 3</t>
  </si>
  <si>
    <t>Contract 4</t>
  </si>
  <si>
    <t>Total Commercial &amp; Industrial</t>
  </si>
  <si>
    <t>Total C &amp; I (excl. Special Contracts 1, 2 &amp; AGA)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</si>
  <si>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</si>
  <si>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</si>
  <si>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</si>
  <si>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</si>
  <si>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</si>
  <si>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</si>
  <si>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</si>
  <si>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</si>
  <si>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 77</t>
  </si>
  <si>
    <t>Total Public Street Lighting</t>
  </si>
  <si>
    <t>Total Sales to Ultimate Customers</t>
  </si>
  <si>
    <t>Total Sales to Ultimate Customers 
(excluding special contracts 1, 2, AGA)</t>
  </si>
  <si>
    <t>Adj</t>
  </si>
  <si>
    <t>Target Increase</t>
  </si>
  <si>
    <t>Target Increase ($000)</t>
  </si>
  <si>
    <t>Total Utah Overall</t>
  </si>
  <si>
    <t>Tariff Overall Including Contracts 3&amp;4</t>
  </si>
  <si>
    <t>Tariff Excluding Lightings Overall</t>
  </si>
  <si>
    <t>Res, 8, 15T, 21,31</t>
  </si>
  <si>
    <t>6, 23</t>
  </si>
  <si>
    <t>9, 21</t>
  </si>
  <si>
    <t>7,11,12,15M</t>
  </si>
  <si>
    <t>Contract 3-Kennecott</t>
  </si>
  <si>
    <t>Contract 4-Praxair</t>
  </si>
  <si>
    <t>Table  A</t>
  </si>
  <si>
    <t>Present</t>
  </si>
  <si>
    <t>DSM</t>
  </si>
  <si>
    <t>Monthly Average</t>
  </si>
  <si>
    <t>Pres Rev</t>
  </si>
  <si>
    <t>kWh</t>
  </si>
  <si>
    <t>$</t>
  </si>
  <si>
    <t>∆</t>
  </si>
  <si>
    <t>Total Commercial &amp; Industrial &amp; OSPA</t>
  </si>
  <si>
    <t>Total Commercial &amp; Industrial 
(excluding Contracts 1, 2, AGA)</t>
  </si>
  <si>
    <t>Street Lighting-Contract (77)</t>
  </si>
  <si>
    <t>Total Sales to Ultimate Customers 
(excluding Contracts 1, 2, AGA)</t>
  </si>
  <si>
    <t>Rocky Mountain Power - State of Utah</t>
  </si>
  <si>
    <t>Blocking Based on Adjusted Actuals and Forecasted Loads</t>
  </si>
  <si>
    <t>T47</t>
  </si>
  <si>
    <t>T48</t>
  </si>
  <si>
    <t>Forecasted</t>
  </si>
  <si>
    <t>Adjusted</t>
  </si>
  <si>
    <t>Revenue</t>
  </si>
  <si>
    <t>Actual Units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</si>
  <si>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</si>
  <si>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</si>
  <si>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</si>
  <si>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</si>
  <si>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</si>
  <si>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</si>
  <si>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</si>
  <si>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</si>
  <si>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</si>
  <si>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</si>
  <si>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</si>
  <si>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</si>
  <si>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</si>
  <si>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</si>
  <si>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</si>
  <si>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</si>
  <si>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</si>
  <si>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>In Rate Change</t>
  </si>
  <si>
    <t xml:space="preserve">  Minimum 3 Phase</t>
  </si>
  <si>
    <t>Target Change</t>
  </si>
  <si>
    <t xml:space="preserve">  Minimum Seasonal</t>
  </si>
  <si>
    <t>Energy %</t>
  </si>
  <si>
    <t xml:space="preserve">  kWh in Minimum</t>
  </si>
  <si>
    <t>Basic Charge</t>
  </si>
  <si>
    <t xml:space="preserve">      kWh in Minimum 1 Phase - Summer</t>
  </si>
  <si>
    <t>Sch 1</t>
  </si>
  <si>
    <t xml:space="preserve">      kWh in Minimum 1 Phase - Winter</t>
  </si>
  <si>
    <t>Sch 1 Net</t>
  </si>
  <si>
    <t xml:space="preserve">      kWh in Minimum 3 Phase - Summer</t>
  </si>
  <si>
    <t xml:space="preserve">Annual Avg Usage </t>
  </si>
  <si>
    <t xml:space="preserve">      kWh in Minimum 3 Phase - Winter</t>
  </si>
  <si>
    <t xml:space="preserve">Summer Avg Usage </t>
  </si>
  <si>
    <t xml:space="preserve">  Unbilled</t>
  </si>
  <si>
    <t xml:space="preserve">Winter Avg Usage </t>
  </si>
  <si>
    <t xml:space="preserve">  Total</t>
  </si>
  <si>
    <t xml:space="preserve">  Schedule 40</t>
  </si>
  <si>
    <t xml:space="preserve">  DSM</t>
  </si>
  <si>
    <t>Schedule No. 3- Residential Service</t>
  </si>
  <si>
    <t>Net Change</t>
  </si>
  <si>
    <t>Avg Usage - A</t>
  </si>
  <si>
    <t>Avg Usage - S</t>
  </si>
  <si>
    <t>Avg Usage - W</t>
  </si>
  <si>
    <t>Schedule No. 2 - Residential Service Optional Time-of-Day</t>
  </si>
  <si>
    <t xml:space="preserve">  On-Peak kWh (May - Sept)</t>
  </si>
  <si>
    <t xml:space="preserve">  Off-Peak kWh (May - Sept)</t>
  </si>
  <si>
    <t>Avg Usage</t>
  </si>
  <si>
    <t>Schedule No. 25 - Mobile Home and House Trailer Park Service</t>
  </si>
  <si>
    <t xml:space="preserve">  All kW</t>
  </si>
  <si>
    <t xml:space="preserve">  Voltage Discount All kW</t>
  </si>
  <si>
    <t xml:space="preserve">  All kWh</t>
  </si>
  <si>
    <t xml:space="preserve">  Minimum Per Home</t>
  </si>
  <si>
    <t>Schedule No. 25 - Move to Schedule 23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</si>
  <si>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</si>
  <si>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</si>
  <si>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</si>
  <si>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</si>
  <si>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</si>
  <si>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</si>
  <si>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</si>
  <si>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</si>
  <si>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>Schedule No. 25 - Move to Schedule 6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</si>
  <si>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</si>
  <si>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</si>
  <si>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</si>
  <si>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</si>
  <si>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</si>
  <si>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</si>
  <si>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</si>
  <si>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Non-Basic Change</t>
  </si>
  <si>
    <t>Schedule No. 6 - Commercial</t>
  </si>
  <si>
    <t>Schedule No. 6 - Industrial</t>
  </si>
  <si>
    <t>Schedule No. 6 - OSPA</t>
  </si>
  <si>
    <t>Schedule No. 6B - Demand Time-of-Day Option - Commercial</t>
  </si>
  <si>
    <t xml:space="preserve">  All On-peak kW (May - Sept)</t>
  </si>
  <si>
    <t xml:space="preserve">  All On-peak kW (Oct - Apr)</t>
  </si>
  <si>
    <t>Schedule No. 6B - Demand Time-of-Day Option - Industrial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</si>
  <si>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</si>
  <si>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</si>
  <si>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</si>
  <si>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</si>
  <si>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</si>
  <si>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Summer Ratio</t>
  </si>
  <si>
    <t>Winter Ratio</t>
  </si>
  <si>
    <t>Avg kW</t>
  </si>
  <si>
    <t>Schedule No. 6A - Energy Time-of-Day Option - Commercial</t>
  </si>
  <si>
    <t>Schedule No. 6A - Energy Time-of-Day Option - Industrial</t>
  </si>
  <si>
    <t>Schedule No. 7 - Security Area Lighting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</si>
  <si>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</si>
  <si>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</si>
  <si>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</si>
  <si>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</si>
  <si>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</si>
  <si>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</si>
  <si>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</si>
  <si>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</si>
  <si>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</si>
  <si>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</si>
  <si>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</si>
  <si>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</si>
  <si>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</si>
  <si>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</si>
  <si>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</si>
  <si>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</si>
  <si>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</si>
  <si>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</si>
  <si>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</si>
  <si>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</si>
  <si>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</si>
  <si>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</si>
  <si>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</si>
  <si>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</si>
  <si>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</si>
  <si>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</si>
  <si>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</si>
  <si>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</si>
  <si>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</si>
  <si>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</si>
  <si>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Rate Change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</si>
  <si>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</si>
  <si>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</si>
  <si>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</si>
  <si>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</si>
  <si>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</si>
  <si>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</si>
  <si>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8 - Commercial</t>
  </si>
  <si>
    <t>Schedule No. 8 - Industrial</t>
  </si>
  <si>
    <t>Schedule No. 9 - Composite</t>
  </si>
  <si>
    <t>Sch 9</t>
  </si>
  <si>
    <t xml:space="preserve">  On-Peak kWh (May-Sept)</t>
  </si>
  <si>
    <t xml:space="preserve">  On-Peak kWh (Oct-Apr)</t>
  </si>
  <si>
    <t>Schedule No. 9 - Commercial</t>
  </si>
  <si>
    <t>Schedule No. 9 - Industrial</t>
  </si>
  <si>
    <t>Schedule No. 9 - OSPA</t>
  </si>
  <si>
    <t>Schedule No. 9A - Energy TOD - Commercial</t>
  </si>
  <si>
    <t xml:space="preserve">  Customer Charge (LM)</t>
  </si>
  <si>
    <t xml:space="preserve">  Facilities Charge per kW</t>
  </si>
  <si>
    <t xml:space="preserve">  On-Peak kWh</t>
  </si>
  <si>
    <t>Schedule No. 9A - Energy TOD - Industrial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</si>
  <si>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</si>
  <si>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</si>
  <si>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</si>
  <si>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</si>
  <si>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</si>
  <si>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</si>
  <si>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>Sch 10, 10TOD</t>
  </si>
  <si>
    <t xml:space="preserve">  All add'l kWh</t>
  </si>
  <si>
    <t>Total On Season</t>
  </si>
  <si>
    <t xml:space="preserve">  Post Season</t>
  </si>
  <si>
    <t xml:space="preserve">   Customers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</si>
  <si>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</si>
  <si>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</si>
  <si>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</si>
  <si>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</si>
  <si>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</si>
  <si>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</si>
  <si>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</si>
  <si>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</si>
  <si>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</si>
  <si>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</si>
  <si>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</si>
  <si>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</si>
  <si>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</si>
  <si>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</si>
  <si>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</si>
  <si>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</si>
  <si>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</si>
  <si>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</si>
  <si>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</si>
  <si>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</si>
  <si>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</si>
  <si>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</si>
  <si>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</si>
  <si>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</si>
  <si>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</si>
  <si>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</si>
  <si>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</si>
  <si>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</si>
  <si>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</si>
  <si>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</si>
  <si>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</si>
  <si>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</si>
  <si>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</si>
  <si>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</si>
  <si>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</si>
  <si>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</si>
  <si>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</si>
  <si>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</si>
  <si>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</si>
  <si>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</si>
  <si>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</si>
  <si>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</si>
  <si>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</si>
  <si>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</si>
  <si>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</si>
  <si>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</si>
  <si>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</si>
  <si>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</si>
  <si>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</si>
  <si>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</si>
  <si>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</si>
  <si>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</si>
  <si>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</si>
  <si>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</si>
  <si>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</si>
  <si>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</si>
  <si>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</si>
  <si>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</si>
  <si>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</si>
  <si>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</si>
  <si>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</si>
  <si>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</si>
  <si>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</si>
  <si>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</si>
  <si>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</si>
  <si>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</si>
  <si>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</si>
  <si>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</si>
  <si>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</si>
  <si>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 2,500 Lumen or Less @ 85%</t>
  </si>
  <si>
    <t xml:space="preserve">  Mercury Vapor Lamps</t>
  </si>
  <si>
    <t xml:space="preserve">   54,000 Lumen</t>
  </si>
  <si>
    <t xml:space="preserve">  High Pressure Sodium Vapor Lamps</t>
  </si>
  <si>
    <t xml:space="preserve">   9,500 Lumen @ 85%</t>
  </si>
  <si>
    <t xml:space="preserve">   9,500 Lumen - Decorative</t>
  </si>
  <si>
    <t xml:space="preserve">   16,000 Lumen @ 85%</t>
  </si>
  <si>
    <t xml:space="preserve">   16,000 Lumen - Decorative</t>
  </si>
  <si>
    <t xml:space="preserve">   22,000 Lumen </t>
  </si>
  <si>
    <t xml:space="preserve">   27,500 Lumen @ 85%</t>
  </si>
  <si>
    <t xml:space="preserve">   27,500 Lumen - Decorative</t>
  </si>
  <si>
    <t xml:space="preserve">   50,000 Lumen @ 85%</t>
  </si>
  <si>
    <t xml:space="preserve">   50,000 Lumen - Decorative</t>
  </si>
  <si>
    <t xml:space="preserve">   9,000 Lumen - Decorative</t>
  </si>
  <si>
    <t xml:space="preserve">   12,000 Lumen @ 85%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</si>
  <si>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</si>
  <si>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</si>
  <si>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</si>
  <si>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</si>
  <si>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</si>
  <si>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</si>
  <si>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</si>
  <si>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9,500 Lumen @ 90%</t>
  </si>
  <si>
    <t xml:space="preserve">   16,000 Lumen @ 90%</t>
  </si>
  <si>
    <t xml:space="preserve">   50,000 Lumen @ 90%</t>
  </si>
  <si>
    <t xml:space="preserve">   107,000 Lumen </t>
  </si>
  <si>
    <t>kWh Street Lighting</t>
  </si>
  <si>
    <t>Schedule 15.1 - Metered Outdoor Nighttime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</si>
  <si>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</si>
  <si>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</si>
  <si>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</si>
  <si>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</si>
  <si>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</si>
  <si>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</si>
  <si>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</si>
  <si>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</si>
  <si>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</si>
  <si>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</si>
  <si>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</si>
  <si>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</si>
  <si>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</si>
  <si>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</si>
  <si>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kW Change</t>
  </si>
  <si>
    <t>Ratio</t>
  </si>
  <si>
    <t>Schedule No. 23 - Distribution Voltage - Small Customer - Composite</t>
  </si>
  <si>
    <t>Adj (Sch 23)</t>
  </si>
  <si>
    <t>Adj (Sch 6)</t>
  </si>
  <si>
    <t>Schedule No. 23 - Distribution Voltage - Small Customer - Commercial</t>
  </si>
  <si>
    <t>Schedule No. 23 - Distribution Voltage - Small Customer - Industrial</t>
  </si>
  <si>
    <t>Schedule No. 23 - Distribution Voltage - Small Customer - OSPA</t>
  </si>
  <si>
    <t>Schedule No.31 - Back-Up, Maintenance, and Supplementary Power - Commercial</t>
  </si>
  <si>
    <t>Secondary Voltage</t>
  </si>
  <si>
    <t xml:space="preserve">     Customer Charge per month</t>
  </si>
  <si>
    <t xml:space="preserve">     Facilities Charge, per kW month</t>
  </si>
  <si>
    <t>Combined Non-Suppl</t>
  </si>
  <si>
    <t xml:space="preserve">     Back-up Power Charge</t>
  </si>
  <si>
    <t>Sch 40</t>
  </si>
  <si>
    <t xml:space="preserve">         Regular, per On-Peak kW day</t>
  </si>
  <si>
    <t>Avg.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</si>
  <si>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</si>
  <si>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</si>
  <si>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</si>
  <si>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</si>
  <si>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</si>
  <si>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6</t>
  </si>
  <si>
    <t xml:space="preserve">  Schedule 8</t>
  </si>
  <si>
    <t xml:space="preserve">  Schedule 9</t>
  </si>
  <si>
    <t xml:space="preserve">  Total (Aggregated)</t>
  </si>
  <si>
    <t xml:space="preserve">  Schedule 40 (Aggregated)</t>
  </si>
  <si>
    <t xml:space="preserve">  DSM (Aggregated)</t>
  </si>
  <si>
    <t>Schedule No. 31 - Back-Up, Maintenance, and Supplementary Power - Industrial</t>
  </si>
  <si>
    <t>SPCL0001</t>
  </si>
  <si>
    <t xml:space="preserve">  kW High Load Hours</t>
  </si>
  <si>
    <t xml:space="preserve">  kW Low Load Hours</t>
  </si>
  <si>
    <t xml:space="preserve">  kWh High Load Hours</t>
  </si>
  <si>
    <t xml:space="preserve">  kWh Low Load Hours</t>
  </si>
  <si>
    <t>SPCL0002</t>
  </si>
  <si>
    <t xml:space="preserve">  Non-firm kWh</t>
  </si>
  <si>
    <t>SPCL0003 - Move to Sch 31/9</t>
  </si>
  <si>
    <t>Sch 40 Ratio</t>
  </si>
  <si>
    <t>Kennecott</t>
  </si>
  <si>
    <t xml:space="preserve">  kW Back-Up</t>
  </si>
  <si>
    <t>Praxair</t>
  </si>
  <si>
    <t>Load Factor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</si>
  <si>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</si>
  <si>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</si>
  <si>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</si>
  <si>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</si>
  <si>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</si>
  <si>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</si>
  <si>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</si>
  <si>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</si>
  <si>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</si>
  <si>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SPCL0005 - Move to Sch 9</t>
  </si>
  <si>
    <t>Rate No. 77 - Security Lighting, 08THIK0077</t>
  </si>
  <si>
    <t xml:space="preserve">  Customer</t>
  </si>
  <si>
    <t xml:space="preserve">  20,000 Mercury Vapor</t>
  </si>
  <si>
    <t xml:space="preserve">  50,000 Lumen</t>
  </si>
  <si>
    <t>Lighting Contract - Post Top Lighting - 08PTLD000N/08PTLD000R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</si>
  <si>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</si>
  <si>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</si>
  <si>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</si>
  <si>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</si>
  <si>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</si>
  <si>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</si>
  <si>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</si>
  <si>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</si>
  <si>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</si>
  <si>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</si>
  <si>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Interdepartmental</t>
  </si>
  <si>
    <t xml:space="preserve">  Total AGA</t>
  </si>
  <si>
    <t>TOTAL - ALL CLASSES</t>
  </si>
  <si>
    <t xml:space="preserve">    Schedule 40</t>
  </si>
  <si>
    <t>TOTAL - Including Schedule 40</t>
  </si>
  <si>
    <t>Monthly Billing Comparison</t>
  </si>
  <si>
    <t>Schedule 1 - State of Utah</t>
  </si>
  <si>
    <t>Residential Service</t>
  </si>
  <si>
    <r>
      <t>Monthly Energy Charge</t>
    </r>
    <r>
      <rPr>
        <b/>
        <vertAlign val="superscript"/>
        <sz val="10"/>
        <rFont val="Times New Roman"/>
        <family val="1"/>
      </rPr>
      <t>1</t>
    </r>
  </si>
  <si>
    <t>Average Rate</t>
  </si>
  <si>
    <t>Monthly Customer Charge</t>
  </si>
  <si>
    <t>Summer</t>
  </si>
  <si>
    <t>Winter</t>
  </si>
  <si>
    <r>
      <t xml:space="preserve">$ </t>
    </r>
    <r>
      <rPr>
        <sz val="10"/>
        <rFont val="Century Schoolbook"/>
        <family val="1"/>
      </rPr>
      <t>Δ</t>
    </r>
  </si>
  <si>
    <r>
      <t xml:space="preserve">% </t>
    </r>
    <r>
      <rPr>
        <sz val="10"/>
        <rFont val="Century Schoolbook"/>
        <family val="1"/>
      </rPr>
      <t>Δ</t>
    </r>
  </si>
  <si>
    <t>08GRC</t>
  </si>
  <si>
    <t>Basic</t>
  </si>
  <si>
    <t>kWh1</t>
  </si>
  <si>
    <t>kWh2</t>
  </si>
  <si>
    <t>kWh3</t>
  </si>
  <si>
    <t>Minimum</t>
  </si>
  <si>
    <t>a</t>
  </si>
  <si>
    <t>HELP</t>
  </si>
  <si>
    <t>b</t>
  </si>
  <si>
    <t>c</t>
  </si>
  <si>
    <t>Table A Price Change</t>
  </si>
  <si>
    <t>Sch 97</t>
  </si>
  <si>
    <t>Sch 98</t>
  </si>
  <si>
    <t>Net</t>
  </si>
  <si>
    <r>
      <t>1</t>
    </r>
    <r>
      <rPr>
        <sz val="10"/>
        <rFont val="Times New Roman"/>
        <family val="1"/>
      </rPr>
      <t xml:space="preserve">  Including HELP, DSM and applicable adjustment.</t>
    </r>
  </si>
  <si>
    <t>a: Winter average usage; b:  Annual average usage; c: Summer average usage.</t>
  </si>
  <si>
    <t xml:space="preserve">Proposed </t>
  </si>
  <si>
    <t>Annual</t>
  </si>
  <si>
    <t>Schedule 23 - State of Utah</t>
  </si>
  <si>
    <t>General Service - Distribution Voltage</t>
  </si>
  <si>
    <t>kW</t>
  </si>
  <si>
    <r>
      <t>Monthly Billing</t>
    </r>
    <r>
      <rPr>
        <vertAlign val="superscript"/>
        <sz val="10"/>
        <rFont val="Times New Roman"/>
        <family val="1"/>
      </rPr>
      <t>1</t>
    </r>
  </si>
  <si>
    <t>Load Size</t>
  </si>
  <si>
    <t>0 to 15</t>
  </si>
  <si>
    <t>Sch 23</t>
  </si>
  <si>
    <t>Demand</t>
  </si>
  <si>
    <t>Voltage</t>
  </si>
  <si>
    <t>kWh-1st 1,500</t>
  </si>
  <si>
    <t>All other kWh</t>
  </si>
  <si>
    <t>HELP Charge</t>
  </si>
  <si>
    <t>Surcharge</t>
  </si>
  <si>
    <t>Schedule 6 - State of Utah</t>
  </si>
  <si>
    <t>Sch 6</t>
  </si>
  <si>
    <t>All kWh</t>
  </si>
  <si>
    <t>Schedule 8 - State of Utah</t>
  </si>
  <si>
    <t>General Service - Distribution Voltage &gt; 1 MW</t>
  </si>
  <si>
    <t>Sch 8</t>
  </si>
  <si>
    <t>On-Peak</t>
  </si>
  <si>
    <r>
      <t>Load Size</t>
    </r>
    <r>
      <rPr>
        <vertAlign val="superscript"/>
        <sz val="10"/>
        <rFont val="Times New Roman"/>
        <family val="1"/>
      </rPr>
      <t>2</t>
    </r>
  </si>
  <si>
    <t>kWh %</t>
  </si>
  <si>
    <t>Facilities kW</t>
  </si>
  <si>
    <t>On-Peak kW</t>
  </si>
  <si>
    <t>On-Peak kWh</t>
  </si>
  <si>
    <t>Off-Peak kWh</t>
  </si>
  <si>
    <r>
      <t>2</t>
    </r>
    <r>
      <rPr>
        <sz val="10"/>
        <rFont val="Times New Roman"/>
        <family val="1"/>
      </rPr>
      <t xml:space="preserve">  Assumes customer monthly peak occurs during On-Peak hours.</t>
    </r>
  </si>
  <si>
    <t>Schedule 9 - State of Utah</t>
  </si>
  <si>
    <t>General Service - Transmission Voltage</t>
  </si>
  <si>
    <t>Schedule 10 - State of Utah</t>
  </si>
  <si>
    <t>Irrigation and Soil Drainage Pumping Power Service - Distribution Voltage</t>
  </si>
  <si>
    <t>Irrigation Season</t>
  </si>
  <si>
    <t>Post-Irrigation Season</t>
  </si>
  <si>
    <t>Sch 10</t>
  </si>
  <si>
    <t>On-Season</t>
  </si>
  <si>
    <t>1st 30,000 kWh</t>
  </si>
  <si>
    <t>All add'l kWh</t>
  </si>
  <si>
    <t>Off-Season</t>
  </si>
  <si>
    <r>
      <t>1</t>
    </r>
    <r>
      <rPr>
        <sz val="10"/>
        <rFont val="Times New Roman"/>
        <family val="1"/>
      </rPr>
      <t xml:space="preserve">  Including HELP, DSM and applicable adjustment. Not including annual customer service charge.</t>
    </r>
  </si>
  <si>
    <t>Blocking Based on Adjusted Actual and Forecasted Loads</t>
  </si>
  <si>
    <t>Historical Test Period 12 Months Ending December, 2008</t>
  </si>
  <si>
    <t>Forecast Test Period 12 Months Ending June 2010</t>
  </si>
  <si>
    <t>Proposed Sch 40</t>
  </si>
  <si>
    <t>Proposed Sch 97</t>
  </si>
  <si>
    <t>Proposed Sch 98</t>
  </si>
  <si>
    <t>Dollars (8 Months)</t>
  </si>
  <si>
    <t>Checking</t>
  </si>
  <si>
    <t>Sch 1, 2, 3</t>
  </si>
  <si>
    <t>Rev Target</t>
  </si>
  <si>
    <t>Rev In Rate</t>
  </si>
  <si>
    <t>Rate %</t>
  </si>
  <si>
    <t>Sch 25</t>
  </si>
  <si>
    <t>Sch 6, 6B</t>
  </si>
  <si>
    <t>Sch 6A</t>
  </si>
  <si>
    <t>Sch 7</t>
  </si>
  <si>
    <t>Sch 8, 31</t>
  </si>
  <si>
    <t>Sch 9, Contracts A, D</t>
  </si>
  <si>
    <t>Schedule No. 9A - Energy TOD</t>
  </si>
  <si>
    <t>Sch 9A</t>
  </si>
  <si>
    <t>Sch 11</t>
  </si>
  <si>
    <t>Sch 12</t>
  </si>
  <si>
    <t>Sch 15.1</t>
  </si>
  <si>
    <t>Sch 15.2</t>
  </si>
  <si>
    <t xml:space="preserve">  Charge per kW</t>
  </si>
  <si>
    <t>Sch 21</t>
  </si>
  <si>
    <t xml:space="preserve">  Total High Load Hours</t>
  </si>
  <si>
    <t xml:space="preserve">  Total Low Load Hours</t>
  </si>
  <si>
    <t xml:space="preserve">  Non-firm kW</t>
  </si>
  <si>
    <t xml:space="preserve">  Pass Through kWh</t>
  </si>
  <si>
    <t>SPCL0003</t>
  </si>
  <si>
    <t>Sch 9/31 Rev</t>
  </si>
  <si>
    <t xml:space="preserve">  kW Maintenance</t>
  </si>
  <si>
    <t>SPCL0005</t>
  </si>
  <si>
    <t xml:space="preserve">  kW Facility</t>
  </si>
  <si>
    <t xml:space="preserve">  kW Firm</t>
  </si>
  <si>
    <t xml:space="preserve">  kWh Firm</t>
  </si>
  <si>
    <t xml:space="preserve">  Total Firm</t>
  </si>
  <si>
    <t>Rate No. 60 - Street Lighting, 08HAXT0060</t>
  </si>
  <si>
    <t>Bills</t>
  </si>
  <si>
    <t xml:space="preserve">  40 Watt Incandescent Lamps</t>
  </si>
  <si>
    <t>Historical Test Period 12 Months Ending June 2010</t>
  </si>
  <si>
    <t>Forecast Test Period 12 Months Ending June 2012</t>
  </si>
  <si>
    <t>State of Utah</t>
  </si>
  <si>
    <t>Monthly Wgt Factors</t>
  </si>
  <si>
    <t>12 Months Ended Jun 2012</t>
  </si>
  <si>
    <t>Distribution -</t>
  </si>
  <si>
    <t>Meters</t>
  </si>
  <si>
    <t>Service</t>
  </si>
  <si>
    <t>P&amp;C</t>
  </si>
  <si>
    <t>Transformer</t>
  </si>
  <si>
    <t>Retail</t>
  </si>
  <si>
    <t>Total Customer Rev Req</t>
  </si>
  <si>
    <t>Average Customers</t>
  </si>
  <si>
    <t>100% Cost Based Rates</t>
  </si>
  <si>
    <t>Customer Charge</t>
  </si>
  <si>
    <t>Residential - Sch 1</t>
  </si>
  <si>
    <t>after tax</t>
  </si>
  <si>
    <t>before tax</t>
  </si>
  <si>
    <t>Transformers - customer related *</t>
  </si>
  <si>
    <t>Retail *</t>
  </si>
  <si>
    <t>Meter Reading, (Account 902.1)</t>
  </si>
  <si>
    <t>Meters - Depreciation Expense</t>
  </si>
  <si>
    <t>Service Drop - Depreciation Expense</t>
  </si>
  <si>
    <t>Service Drop Plant, Account 369</t>
  </si>
  <si>
    <t>Meter Plant, Account 370</t>
  </si>
  <si>
    <t xml:space="preserve">Meters - Accumulated Depreciation </t>
  </si>
  <si>
    <t xml:space="preserve">Service Drop - Accumulated Depreciation </t>
  </si>
  <si>
    <t>Total Rate Base</t>
  </si>
  <si>
    <t>Total Costs (less Billing Service Revenues)</t>
  </si>
  <si>
    <t>Embedded COS Study</t>
  </si>
  <si>
    <t>Capital</t>
  </si>
  <si>
    <t>Embedded</t>
  </si>
  <si>
    <t>Wgt Costs</t>
  </si>
  <si>
    <t>Structure</t>
  </si>
  <si>
    <t>Costs</t>
  </si>
  <si>
    <t>After-Tax</t>
  </si>
  <si>
    <t>Before-Tax</t>
  </si>
  <si>
    <t>Debt</t>
  </si>
  <si>
    <t>Preferred</t>
  </si>
  <si>
    <t>Common</t>
  </si>
  <si>
    <t>Target ROR (Rate Base)</t>
  </si>
  <si>
    <t xml:space="preserve">Effective Total Tax % = </t>
  </si>
  <si>
    <t>Utah Marginal COS Study</t>
  </si>
  <si>
    <t xml:space="preserve">    Transmission marginal costs: </t>
  </si>
  <si>
    <t xml:space="preserve">        Demand Related =</t>
  </si>
  <si>
    <t xml:space="preserve">       Customer Related =</t>
  </si>
  <si>
    <t xml:space="preserve">       Total =</t>
  </si>
  <si>
    <t>Customer Charge Calculation - 100% Cost Based</t>
  </si>
  <si>
    <t>Unit Costs @ 8.28% Target Return on Rate Base</t>
  </si>
  <si>
    <t>Customer Charge Calculation - UPSC Methodology Modified</t>
  </si>
  <si>
    <t>* new categories to UPSC Methodology</t>
  </si>
  <si>
    <t>Return on Rate Base @ target ROR</t>
  </si>
  <si>
    <t>Schedule 1 base revenues:</t>
  </si>
  <si>
    <t>Raise the second summer block kWh charge by:</t>
  </si>
  <si>
    <t>% of Total</t>
  </si>
  <si>
    <t>% change</t>
  </si>
  <si>
    <t>Increase</t>
  </si>
  <si>
    <t>Monthly Customer Charge Change</t>
  </si>
  <si>
    <r>
      <t>Monthly Summer Energy Charge</t>
    </r>
    <r>
      <rPr>
        <vertAlign val="superscript"/>
        <sz val="10"/>
        <rFont val="Times New Roman"/>
        <family val="1"/>
      </rPr>
      <t>1</t>
    </r>
  </si>
  <si>
    <t>Monthly Summer Total Billing Change ($)</t>
  </si>
  <si>
    <r>
      <t>Monthly Winter Energy Charge</t>
    </r>
    <r>
      <rPr>
        <vertAlign val="superscript"/>
        <sz val="10"/>
        <rFont val="Times New Roman"/>
        <family val="1"/>
      </rPr>
      <t>1</t>
    </r>
  </si>
  <si>
    <t>Monthly Winter Total Billing Change ($)</t>
  </si>
  <si>
    <t>Percentage Change for Summer Months</t>
  </si>
  <si>
    <t>Percentage Change for Winter Months</t>
  </si>
  <si>
    <t>Weighted Annual Bill</t>
  </si>
  <si>
    <t>Customer charge - 1 Phase</t>
  </si>
  <si>
    <t>Customer charge - 3 Phase</t>
  </si>
  <si>
    <t>Total Bill</t>
  </si>
  <si>
    <t>Exhibit OCS 5.2, pg. 2 of 3</t>
  </si>
  <si>
    <t xml:space="preserve">  First 400 kWh (Oct-Apr)</t>
  </si>
  <si>
    <t>&gt;401 kWh (Oct - Apr)</t>
  </si>
  <si>
    <t>Raise the first winter block kWh charge by:</t>
  </si>
  <si>
    <t>Raise the second winter block kWh charge by:</t>
  </si>
  <si>
    <t>Net Metering Facilities Charge</t>
  </si>
  <si>
    <t>11GRC</t>
  </si>
  <si>
    <t>Calculation of Residential Rate Schedules 1 &amp; 3</t>
  </si>
  <si>
    <t>Elements of CCS Proposal for Schedule 1 &amp; 3:</t>
  </si>
  <si>
    <t>Table A - Price Change</t>
  </si>
  <si>
    <t>Sch 94</t>
  </si>
  <si>
    <t>Price Summary</t>
  </si>
  <si>
    <t xml:space="preserve">  Net Metering Facilities Charge</t>
  </si>
  <si>
    <t xml:space="preserve">      First 400 kWh (Oct-Apr)</t>
  </si>
  <si>
    <t xml:space="preserve">      All add'l kWh (Oct-Apr)</t>
  </si>
  <si>
    <t>Schedule No. 3- Residential Service - Low Income Lifeline Program</t>
  </si>
  <si>
    <t xml:space="preserve">  Low Income Lifeline Credit</t>
  </si>
  <si>
    <t xml:space="preserve">  Life Support Assistance Credit</t>
  </si>
  <si>
    <t>Schedule No. 2 - Residential Service - Optional Time-of-Day</t>
  </si>
  <si>
    <t>Schedule No. 6</t>
  </si>
  <si>
    <t>Schedule No. 6B - Demand Time-of-Day Option</t>
  </si>
  <si>
    <t>Schedule No. 6A - Energy Time-of-Day Option</t>
  </si>
  <si>
    <t>Schedule No. 8</t>
  </si>
  <si>
    <t>Schedule No. 9</t>
  </si>
  <si>
    <t xml:space="preserve">   Customer Charge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</si>
  <si>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</si>
  <si>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</si>
  <si>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</si>
  <si>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</si>
  <si>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</si>
  <si>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Schedule No. 21 - Electric Furnace Operations - Limited Service</t>
  </si>
  <si>
    <t>Schedule No. 23 - Composite</t>
  </si>
  <si>
    <t>Schedule No.31 - Composite</t>
  </si>
  <si>
    <t xml:space="preserve">              May - Sept</t>
  </si>
  <si>
    <t xml:space="preserve">              Oct - Apr</t>
  </si>
  <si>
    <t xml:space="preserve">  Interruptible kWh</t>
  </si>
  <si>
    <t xml:space="preserve">  Facilities Charge per kW - Back-Up</t>
  </si>
  <si>
    <t>Lighting Contract - Post Top Lighting</t>
  </si>
  <si>
    <t>Base Period 12 Months Ending June 2013</t>
  </si>
  <si>
    <t>Forecast Test Period 12 Months Ending June 2015</t>
  </si>
  <si>
    <t xml:space="preserve">  Total Customer</t>
  </si>
  <si>
    <t xml:space="preserve">      kWh in Minimum - Summer</t>
  </si>
  <si>
    <t xml:space="preserve">      kWh in Minimum - Winter</t>
  </si>
  <si>
    <t>Schedule No. 6B - Demand Time-of-Day Option - Composite</t>
  </si>
  <si>
    <t>Schedule No. 7 - Security Area Lighting - Composite</t>
  </si>
  <si>
    <t>Schedule No. 9A - Energy TOD - Composite</t>
  </si>
  <si>
    <t>Customer</t>
  </si>
  <si>
    <t>Schedule 15.1 - Metered Outdoor Nighttime Lighting - Composite</t>
  </si>
  <si>
    <t>Schedule 15.2 - Traffic Signal Systems - Composite</t>
  </si>
  <si>
    <t>Lighting Contract - Post Top Lighting - Composite</t>
  </si>
  <si>
    <t>(6)-(5)</t>
  </si>
  <si>
    <t>(7)/(5)</t>
  </si>
  <si>
    <t>Total Commercial &amp; Industrial 
(excluding Contracts 2, AGA)</t>
  </si>
  <si>
    <t>Total Sales to Ultimate Customers 
(excluding Contract 2, AGA)</t>
  </si>
  <si>
    <t>9, 21, 31, Contract 3</t>
  </si>
  <si>
    <t>Sch 195 Solar</t>
  </si>
  <si>
    <t>15T</t>
  </si>
  <si>
    <t>8 (base point)</t>
  </si>
  <si>
    <t>Rate Spread Rules and Assumptions</t>
  </si>
  <si>
    <t>COS Study shows required changes for tariff customers vary from -32% to +20%.</t>
  </si>
  <si>
    <t>To reduce the rate spread differences among schedules, the deviation from</t>
  </si>
  <si>
    <t>Tariff Overall with Contracts 1&amp;3</t>
  </si>
  <si>
    <t xml:space="preserve"> average increase in the COS Study is divided by 4 for each schedule (D-Value).</t>
  </si>
  <si>
    <t>Tariff Overall w/o Lightings</t>
  </si>
  <si>
    <t>Select the schedule with near zero D-Value as Base Schedule (Schedule 8)</t>
  </si>
  <si>
    <t>Select the average increase as the Middle Point for the Base Schedule (4.16%).</t>
  </si>
  <si>
    <t>6</t>
  </si>
  <si>
    <t>For each schedule, the increase is set to the Middle Point plus</t>
  </si>
  <si>
    <t xml:space="preserve"> the corresponding D-Value.</t>
  </si>
  <si>
    <t>Floor increase is set to zero for any schedule with D-Value less than -3.</t>
  </si>
  <si>
    <t>Maximum increase for any schedule is capped at less than 8%.</t>
  </si>
  <si>
    <t xml:space="preserve">The increase for Contract 1 is set to the overall Utah average increase based on </t>
  </si>
  <si>
    <t>23</t>
  </si>
  <si>
    <t>the terms of the contract (4.05%).</t>
  </si>
  <si>
    <t>The increase for Contract 2 is set to zero based on the terms of the contract.</t>
  </si>
  <si>
    <t>For schedules not in COS Study, the increase is set same as Schedule 9.</t>
  </si>
  <si>
    <t>Adjusting the Middle Point to obtain the required revenue increase.</t>
  </si>
  <si>
    <t>% Revenue</t>
  </si>
  <si>
    <t xml:space="preserve">Note:  </t>
  </si>
  <si>
    <t>Energy Rates = Cents/kWh</t>
  </si>
  <si>
    <t>Current</t>
  </si>
  <si>
    <t>Collected</t>
  </si>
  <si>
    <r>
      <t>Summer &amp; Winter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Block = (0-400 kWh)</t>
    </r>
  </si>
  <si>
    <r>
      <t>Winter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Block = (&gt;400 kWh)</t>
    </r>
  </si>
  <si>
    <r>
      <t>Summer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Block = (401-1000 kWh)</t>
    </r>
  </si>
  <si>
    <r>
      <t>Summer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Block = (&gt; 1000 kWh)</t>
    </r>
    <r>
      <rPr>
        <sz val="10"/>
        <rFont val="Times New Roman"/>
        <family val="1"/>
      </rPr>
      <t> </t>
    </r>
  </si>
  <si>
    <t>OCS Proposed</t>
  </si>
  <si>
    <t>Raise the first summer block kWh charge by:</t>
  </si>
  <si>
    <t>Set summer third block charge as the residual charge</t>
  </si>
  <si>
    <t>Note - $686.79 Million = Sch. 1 base revenues at $71.304 M rev. req. increase  per Office rate spread proposal</t>
  </si>
  <si>
    <t>Exhibit OCS 7.4, p.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</si>
</sst>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.00"/>
    <numFmt numFmtId="169" formatCode="&quot;$&quot;#,##0.0000_);\(&quot;$&quot;#,##0.0000\)"/>
    <numFmt numFmtId="170" formatCode="&quot;$&quot;#,##0"/>
    <numFmt numFmtId="171" formatCode="#,##0.000_);\(#,##0.000\)"/>
    <numFmt numFmtId="172" formatCode="0.0000_);[Red]\(0.0000\)"/>
    <numFmt numFmtId="173" formatCode="0.0000_)"/>
    <numFmt numFmtId="174" formatCode="#,##0.0000"/>
    <numFmt numFmtId="175" formatCode="#,##0.00000_);\(#,##0.00000\)"/>
    <numFmt numFmtId="176" formatCode="0.000000000000%"/>
    <numFmt numFmtId="177" formatCode="#,##0.0000_);\(#,##0.0000\)"/>
    <numFmt numFmtId="178" formatCode="_(* #,##0.0000_);_(* \(#,##0.0000\);_(* &quot;-&quot;??_);_(@_)"/>
    <numFmt numFmtId="179" formatCode="0.0000"/>
    <numFmt numFmtId="180" formatCode="0.0"/>
    <numFmt numFmtId="181" formatCode="#,##0.0_);\(#,##0.0\)"/>
    <numFmt numFmtId="182" formatCode="&quot;$&quot;#,##0.000_);\(&quot;$&quot;#,##0.000\)"/>
    <numFmt numFmtId="183" formatCode="0.0%;\-0.0%"/>
    <numFmt numFmtId="184" formatCode="0.00%;\-0.00%"/>
    <numFmt numFmtId="185" formatCode="0.0000%"/>
    <numFmt numFmtId="186" formatCode="0.000%"/>
    <numFmt numFmtId="187" formatCode="&quot;$&quot;#,##0.0_);[Red]\(&quot;$&quot;#,##0.0\)"/>
    <numFmt numFmtId="188" formatCode="_(* #,##0.000_);_(* \(#,##0.000\);_(* &quot;-&quot;_);_(@_)"/>
    <numFmt numFmtId="189" formatCode="[$$-409]#,##0.00"/>
    <numFmt numFmtId="190" formatCode="&quot;$&quot;#,##0.00000"/>
    <numFmt numFmtId="191" formatCode="&quot;$&quot;###0;[Red]\(&quot;$&quot;###0\)"/>
    <numFmt numFmtId="192" formatCode="mmm\ dd\,\ yyyy"/>
    <numFmt numFmtId="193" formatCode="_(&quot;$&quot;* #,##0.0_);_(&quot;$&quot;* \(#,##0.0\);_(&quot;$&quot;* &quot;-&quot;??_);_(@_)"/>
  </numFmts>
  <fonts count="100">
    <font>
      <sz val="12"/>
      <name val="Times New Roman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20"/>
      <name val="Times New Roman"/>
      <family val="1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Symbol"/>
      <family val="1"/>
      <charset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12"/>
      <color indexed="81"/>
      <name val="Tahoma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0"/>
      <name val="Times New Roman"/>
      <family val="1"/>
    </font>
    <font>
      <sz val="10"/>
      <name val="Century Schoolbook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u/>
      <sz val="13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0"/>
      <name val="LinePrinter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Swiss"/>
      <family val="2"/>
    </font>
    <font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2"/>
      <name val="Arial MT"/>
    </font>
    <font>
      <b/>
      <sz val="18"/>
      <name val="Arial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MS Sans Serif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rgb="FF0000FF"/>
      <name val="Times New Roman"/>
      <family val="1"/>
    </font>
    <font>
      <sz val="12"/>
      <color indexed="81"/>
      <name val="Times New Roman"/>
      <family val="1"/>
    </font>
    <font>
      <b/>
      <sz val="14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15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32">
    <xf numFmtId="0" fontId="0" fillId="0" borderId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left"/>
    </xf>
    <xf numFmtId="165" fontId="5" fillId="0" borderId="0" applyFont="0" applyAlignment="0" applyProtection="0"/>
    <xf numFmtId="0" fontId="4" fillId="0" borderId="0">
      <alignment wrapText="1"/>
    </xf>
    <xf numFmtId="0" fontId="2" fillId="0" borderId="0"/>
    <xf numFmtId="41" fontId="45" fillId="0" borderId="0" applyFont="0" applyFill="0" applyBorder="0" applyAlignment="0" applyProtection="0"/>
    <xf numFmtId="168" fontId="46" fillId="0" borderId="0"/>
    <xf numFmtId="0" fontId="47" fillId="0" borderId="0"/>
    <xf numFmtId="0" fontId="72" fillId="0" borderId="0"/>
    <xf numFmtId="0" fontId="2" fillId="0" borderId="0"/>
    <xf numFmtId="0" fontId="4" fillId="0" borderId="0"/>
    <xf numFmtId="164" fontId="2" fillId="0" borderId="0"/>
    <xf numFmtId="164" fontId="2" fillId="0" borderId="0"/>
    <xf numFmtId="164" fontId="2" fillId="0" borderId="0"/>
    <xf numFmtId="0" fontId="20" fillId="0" borderId="0"/>
    <xf numFmtId="0" fontId="39" fillId="0" borderId="0"/>
    <xf numFmtId="0" fontId="4" fillId="0" borderId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164" fontId="48" fillId="0" borderId="0">
      <alignment horizontal="left"/>
    </xf>
    <xf numFmtId="164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2" fillId="0" borderId="0"/>
    <xf numFmtId="0" fontId="79" fillId="0" borderId="0"/>
    <xf numFmtId="0" fontId="79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4" fontId="53" fillId="7" borderId="0" applyNumberFormat="0" applyProtection="0">
      <alignment horizontal="left" vertical="center" indent="1"/>
    </xf>
    <xf numFmtId="4" fontId="80" fillId="0" borderId="0" applyNumberFormat="0" applyProtection="0">
      <alignment horizontal="left" vertical="center"/>
    </xf>
    <xf numFmtId="43" fontId="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72" fillId="0" borderId="0" applyFont="0" applyFill="0" applyBorder="0" applyAlignment="0" applyProtection="0"/>
    <xf numFmtId="191" fontId="84" fillId="0" borderId="0" applyFont="0" applyFill="0" applyBorder="0" applyProtection="0">
      <alignment horizontal="right"/>
    </xf>
    <xf numFmtId="180" fontId="85" fillId="0" borderId="0" applyNumberFormat="0" applyFill="0" applyBorder="0" applyAlignment="0" applyProtection="0"/>
    <xf numFmtId="0" fontId="86" fillId="0" borderId="32" applyNumberFormat="0" applyBorder="0" applyAlignment="0"/>
    <xf numFmtId="0" fontId="2" fillId="0" borderId="0"/>
    <xf numFmtId="0" fontId="2" fillId="0" borderId="0"/>
    <xf numFmtId="0" fontId="46" fillId="0" borderId="0"/>
    <xf numFmtId="0" fontId="72" fillId="0" borderId="0"/>
    <xf numFmtId="164" fontId="87" fillId="0" borderId="0"/>
    <xf numFmtId="0" fontId="83" fillId="0" borderId="0"/>
    <xf numFmtId="0" fontId="72" fillId="0" borderId="0"/>
    <xf numFmtId="0" fontId="72" fillId="0" borderId="0"/>
    <xf numFmtId="41" fontId="45" fillId="0" borderId="0" applyFont="0" applyFill="0" applyBorder="0" applyAlignment="0" applyProtection="0"/>
    <xf numFmtId="0" fontId="4" fillId="0" borderId="0"/>
    <xf numFmtId="0" fontId="72" fillId="0" borderId="0"/>
    <xf numFmtId="0" fontId="72" fillId="0" borderId="0"/>
    <xf numFmtId="0" fontId="72" fillId="6" borderId="31" applyNumberFormat="0" applyFont="0" applyAlignment="0" applyProtection="0"/>
    <xf numFmtId="0" fontId="72" fillId="6" borderId="31" applyNumberFormat="0" applyFont="0" applyAlignment="0" applyProtection="0"/>
    <xf numFmtId="12" fontId="11" fillId="8" borderId="21">
      <alignment horizontal="left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7" fillId="0" borderId="0" applyFont="0" applyFill="0" applyBorder="0" applyAlignment="0" applyProtection="0"/>
    <xf numFmtId="4" fontId="53" fillId="9" borderId="33" applyNumberFormat="0" applyProtection="0">
      <alignment vertical="center"/>
    </xf>
    <xf numFmtId="4" fontId="88" fillId="10" borderId="33" applyNumberFormat="0" applyProtection="0">
      <alignment vertical="center"/>
    </xf>
    <xf numFmtId="4" fontId="53" fillId="10" borderId="33" applyNumberFormat="0" applyProtection="0">
      <alignment vertical="center"/>
    </xf>
    <xf numFmtId="0" fontId="53" fillId="10" borderId="33" applyNumberFormat="0" applyProtection="0">
      <alignment horizontal="left" vertical="top" indent="1"/>
    </xf>
    <xf numFmtId="4" fontId="52" fillId="11" borderId="33" applyNumberFormat="0" applyProtection="0">
      <alignment horizontal="right" vertical="center"/>
    </xf>
    <xf numFmtId="4" fontId="52" fillId="12" borderId="33" applyNumberFormat="0" applyProtection="0">
      <alignment horizontal="right" vertical="center"/>
    </xf>
    <xf numFmtId="4" fontId="52" fillId="13" borderId="33" applyNumberFormat="0" applyProtection="0">
      <alignment horizontal="right" vertical="center"/>
    </xf>
    <xf numFmtId="4" fontId="52" fillId="14" borderId="33" applyNumberFormat="0" applyProtection="0">
      <alignment horizontal="right" vertical="center"/>
    </xf>
    <xf numFmtId="4" fontId="52" fillId="15" borderId="33" applyNumberFormat="0" applyProtection="0">
      <alignment horizontal="right" vertical="center"/>
    </xf>
    <xf numFmtId="4" fontId="52" fillId="16" borderId="33" applyNumberFormat="0" applyProtection="0">
      <alignment horizontal="right" vertical="center"/>
    </xf>
    <xf numFmtId="4" fontId="52" fillId="17" borderId="33" applyNumberFormat="0" applyProtection="0">
      <alignment horizontal="right" vertical="center"/>
    </xf>
    <xf numFmtId="4" fontId="52" fillId="18" borderId="33" applyNumberFormat="0" applyProtection="0">
      <alignment horizontal="right" vertical="center"/>
    </xf>
    <xf numFmtId="4" fontId="52" fillId="19" borderId="33" applyNumberFormat="0" applyProtection="0">
      <alignment horizontal="right" vertical="center"/>
    </xf>
    <xf numFmtId="4" fontId="53" fillId="20" borderId="34" applyNumberFormat="0" applyProtection="0">
      <alignment horizontal="left" vertical="center" indent="1"/>
    </xf>
    <xf numFmtId="4" fontId="52" fillId="21" borderId="0" applyNumberFormat="0" applyProtection="0">
      <alignment horizontal="left" vertical="center" indent="1"/>
    </xf>
    <xf numFmtId="4" fontId="89" fillId="22" borderId="0" applyNumberFormat="0" applyProtection="0">
      <alignment horizontal="left" vertical="center" indent="1"/>
    </xf>
    <xf numFmtId="4" fontId="52" fillId="23" borderId="33" applyNumberFormat="0" applyProtection="0">
      <alignment horizontal="right" vertical="center"/>
    </xf>
    <xf numFmtId="4" fontId="90" fillId="0" borderId="0" applyNumberFormat="0" applyProtection="0">
      <alignment horizontal="left" vertical="center" indent="1"/>
    </xf>
    <xf numFmtId="4" fontId="91" fillId="0" borderId="0" applyNumberFormat="0" applyProtection="0">
      <alignment horizontal="left" vertical="center" indent="1"/>
    </xf>
    <xf numFmtId="0" fontId="4" fillId="22" borderId="33" applyNumberFormat="0" applyProtection="0">
      <alignment horizontal="left" vertical="center" indent="1"/>
    </xf>
    <xf numFmtId="0" fontId="4" fillId="22" borderId="33" applyNumberFormat="0" applyProtection="0">
      <alignment horizontal="left" vertical="top" indent="1"/>
    </xf>
    <xf numFmtId="0" fontId="4" fillId="7" borderId="33" applyNumberFormat="0" applyProtection="0">
      <alignment horizontal="left" vertical="center" indent="1"/>
    </xf>
    <xf numFmtId="0" fontId="4" fillId="7" borderId="33" applyNumberFormat="0" applyProtection="0">
      <alignment horizontal="left" vertical="top" indent="1"/>
    </xf>
    <xf numFmtId="0" fontId="4" fillId="24" borderId="33" applyNumberFormat="0" applyProtection="0">
      <alignment horizontal="left" vertical="center" indent="1"/>
    </xf>
    <xf numFmtId="0" fontId="4" fillId="24" borderId="33" applyNumberFormat="0" applyProtection="0">
      <alignment horizontal="left" vertical="top" indent="1"/>
    </xf>
    <xf numFmtId="0" fontId="4" fillId="25" borderId="33" applyNumberFormat="0" applyProtection="0">
      <alignment horizontal="left" vertical="center" indent="1"/>
    </xf>
    <xf numFmtId="0" fontId="4" fillId="25" borderId="33" applyNumberFormat="0" applyProtection="0">
      <alignment horizontal="left" vertical="top" indent="1"/>
    </xf>
    <xf numFmtId="4" fontId="52" fillId="26" borderId="33" applyNumberFormat="0" applyProtection="0">
      <alignment vertical="center"/>
    </xf>
    <xf numFmtId="4" fontId="92" fillId="26" borderId="33" applyNumberFormat="0" applyProtection="0">
      <alignment vertical="center"/>
    </xf>
    <xf numFmtId="4" fontId="52" fillId="26" borderId="33" applyNumberFormat="0" applyProtection="0">
      <alignment horizontal="left" vertical="center" indent="1"/>
    </xf>
    <xf numFmtId="0" fontId="52" fillId="26" borderId="33" applyNumberFormat="0" applyProtection="0">
      <alignment horizontal="left" vertical="top" indent="1"/>
    </xf>
    <xf numFmtId="4" fontId="52" fillId="27" borderId="35" applyNumberFormat="0" applyProtection="0">
      <alignment horizontal="right" vertical="center"/>
    </xf>
    <xf numFmtId="4" fontId="92" fillId="21" borderId="33" applyNumberFormat="0" applyProtection="0">
      <alignment horizontal="right" vertical="center"/>
    </xf>
    <xf numFmtId="4" fontId="52" fillId="27" borderId="33" applyNumberFormat="0" applyProtection="0">
      <alignment horizontal="left" vertical="center" indent="1"/>
    </xf>
    <xf numFmtId="0" fontId="52" fillId="7" borderId="33" applyNumberFormat="0" applyProtection="0">
      <alignment horizontal="center" vertical="top"/>
    </xf>
    <xf numFmtId="4" fontId="93" fillId="21" borderId="33" applyNumberFormat="0" applyProtection="0">
      <alignment horizontal="right" vertical="center"/>
    </xf>
    <xf numFmtId="192" fontId="4" fillId="0" borderId="0" applyFill="0" applyBorder="0" applyAlignment="0" applyProtection="0">
      <alignment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37" fontId="86" fillId="10" borderId="0" applyNumberFormat="0" applyBorder="0" applyAlignment="0" applyProtection="0"/>
    <xf numFmtId="37" fontId="86" fillId="0" borderId="0"/>
    <xf numFmtId="3" fontId="94" fillId="28" borderId="36" applyProtection="0"/>
    <xf numFmtId="0" fontId="72" fillId="29" borderId="0" applyNumberFormat="0" applyBorder="0" applyAlignment="0" applyProtection="0"/>
    <xf numFmtId="0" fontId="72" fillId="31" borderId="0" applyNumberFormat="0" applyBorder="0" applyAlignment="0" applyProtection="0"/>
    <xf numFmtId="0" fontId="72" fillId="33" borderId="0" applyNumberFormat="0" applyBorder="0" applyAlignment="0" applyProtection="0"/>
    <xf numFmtId="0" fontId="72" fillId="35" borderId="0" applyNumberFormat="0" applyBorder="0" applyAlignment="0" applyProtection="0"/>
    <xf numFmtId="0" fontId="72" fillId="37" borderId="0" applyNumberFormat="0" applyBorder="0" applyAlignment="0" applyProtection="0"/>
    <xf numFmtId="0" fontId="72" fillId="39" borderId="0" applyNumberFormat="0" applyBorder="0" applyAlignment="0" applyProtection="0"/>
    <xf numFmtId="0" fontId="72" fillId="30" borderId="0" applyNumberFormat="0" applyBorder="0" applyAlignment="0" applyProtection="0"/>
    <xf numFmtId="0" fontId="72" fillId="32" borderId="0" applyNumberFormat="0" applyBorder="0" applyAlignment="0" applyProtection="0"/>
    <xf numFmtId="0" fontId="72" fillId="34" borderId="0" applyNumberFormat="0" applyBorder="0" applyAlignment="0" applyProtection="0"/>
    <xf numFmtId="0" fontId="72" fillId="36" borderId="0" applyNumberFormat="0" applyBorder="0" applyAlignment="0" applyProtection="0"/>
    <xf numFmtId="0" fontId="72" fillId="38" borderId="0" applyNumberFormat="0" applyBorder="0" applyAlignment="0" applyProtection="0"/>
    <xf numFmtId="0" fontId="72" fillId="40" borderId="0" applyNumberFormat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2" fillId="0" borderId="0"/>
    <xf numFmtId="0" fontId="2" fillId="0" borderId="0"/>
    <xf numFmtId="0" fontId="4" fillId="0" borderId="0">
      <alignment wrapText="1"/>
    </xf>
    <xf numFmtId="41" fontId="45" fillId="0" borderId="0" applyFont="0" applyFill="0" applyBorder="0" applyAlignment="0" applyProtection="0"/>
    <xf numFmtId="4" fontId="53" fillId="7" borderId="33" applyNumberFormat="0" applyProtection="0"/>
    <xf numFmtId="4" fontId="97" fillId="41" borderId="0" applyNumberFormat="0" applyProtection="0">
      <alignment horizontal="left"/>
    </xf>
  </cellStyleXfs>
  <cellXfs count="1117">
    <xf numFmtId="0" fontId="0" fillId="0" borderId="0" xfId="0"/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Fill="1" applyAlignment="1">
      <alignment horizontal="centerContinuous"/>
    </xf>
    <xf numFmtId="164" fontId="2" fillId="0" borderId="0" xfId="15" applyNumberFormat="1" applyFill="1" applyAlignment="1">
      <alignment horizontal="centerContinuous"/>
    </xf>
    <xf numFmtId="10" fontId="2" fillId="0" borderId="0" xfId="15" applyNumberFormat="1" applyFill="1" applyAlignment="1">
      <alignment horizontal="centerContinuous"/>
    </xf>
    <xf numFmtId="2" fontId="2" fillId="0" borderId="0" xfId="15" applyNumberFormat="1" applyFill="1" applyAlignment="1">
      <alignment horizontal="centerContinuous"/>
    </xf>
    <xf numFmtId="164" fontId="2" fillId="0" borderId="0" xfId="15" applyNumberFormat="1"/>
    <xf numFmtId="0" fontId="0" fillId="0" borderId="0" xfId="0" applyAlignment="1">
      <alignment horizontal="centerContinuous"/>
    </xf>
    <xf numFmtId="0" fontId="0" fillId="0" borderId="0" xfId="0" applyAlignment="1"/>
    <xf numFmtId="164" fontId="2" fillId="0" borderId="0" xfId="15" applyNumberFormat="1" applyAlignment="1">
      <alignment horizontal="centerContinuous"/>
    </xf>
    <xf numFmtId="164" fontId="3" fillId="0" borderId="0" xfId="15" applyNumberFormat="1" applyFont="1" applyFill="1" applyAlignment="1">
      <alignment horizontal="center"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 horizontal="centerContinuous"/>
    </xf>
    <xf numFmtId="2" fontId="2" fillId="0" borderId="0" xfId="15" applyNumberFormat="1" applyFill="1" applyBorder="1" applyAlignment="1">
      <alignment horizontal="centerContinuous"/>
    </xf>
    <xf numFmtId="164" fontId="3" fillId="0" borderId="0" xfId="15" applyNumberFormat="1" applyFont="1"/>
    <xf numFmtId="10" fontId="3" fillId="0" borderId="0" xfId="15" applyNumberFormat="1" applyFont="1" applyFill="1" applyBorder="1" applyAlignment="1">
      <alignment horizontal="centerContinuous"/>
    </xf>
    <xf numFmtId="2" fontId="3" fillId="0" borderId="0" xfId="15" applyNumberFormat="1" applyFont="1" applyFill="1" applyBorder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1" xfId="15" applyNumberFormat="1" applyFont="1" applyFill="1" applyBorder="1" applyAlignment="1">
      <alignment horizontal="center"/>
    </xf>
    <xf numFmtId="164" fontId="3" fillId="0" borderId="1" xfId="15" quotePrefix="1" applyNumberFormat="1" applyFont="1" applyFill="1" applyBorder="1" applyAlignment="1">
      <alignment horizontal="center"/>
    </xf>
    <xf numFmtId="10" fontId="3" fillId="0" borderId="1" xfId="15" applyNumberFormat="1" applyFont="1" applyFill="1" applyBorder="1" applyAlignment="1">
      <alignment horizontal="center"/>
    </xf>
    <xf numFmtId="2" fontId="3" fillId="0" borderId="1" xfId="15" applyNumberFormat="1" applyFont="1" applyFill="1" applyBorder="1" applyAlignment="1">
      <alignment horizontal="center"/>
    </xf>
    <xf numFmtId="37" fontId="3" fillId="0" borderId="0" xfId="15" quotePrefix="1" applyNumberFormat="1" applyFont="1" applyAlignment="1">
      <alignment horizontal="center"/>
    </xf>
    <xf numFmtId="37" fontId="3" fillId="0" borderId="0" xfId="15" quotePrefix="1" applyNumberFormat="1" applyFont="1" applyFill="1" applyAlignment="1">
      <alignment horizontal="center"/>
    </xf>
    <xf numFmtId="164" fontId="3" fillId="0" borderId="0" xfId="15" applyNumberFormat="1" applyFont="1" applyFill="1"/>
    <xf numFmtId="164" fontId="2" fillId="0" borderId="0" xfId="15" applyNumberFormat="1" applyFill="1"/>
    <xf numFmtId="10" fontId="2" fillId="0" borderId="0" xfId="15" applyNumberFormat="1" applyFill="1"/>
    <xf numFmtId="2" fontId="2" fillId="0" borderId="0" xfId="15" applyNumberFormat="1" applyFill="1"/>
    <xf numFmtId="164" fontId="2" fillId="0" borderId="0" xfId="15" applyNumberFormat="1" applyFont="1" applyAlignment="1">
      <alignment horizontal="right"/>
    </xf>
    <xf numFmtId="165" fontId="2" fillId="0" borderId="0" xfId="1" applyNumberFormat="1" applyFont="1" applyFill="1"/>
    <xf numFmtId="5" fontId="2" fillId="0" borderId="0" xfId="3" applyNumberFormat="1" applyFont="1" applyFill="1"/>
    <xf numFmtId="5" fontId="2" fillId="0" borderId="0" xfId="15" applyNumberFormat="1" applyFill="1"/>
    <xf numFmtId="10" fontId="5" fillId="0" borderId="0" xfId="3" applyNumberFormat="1" applyFont="1" applyFill="1"/>
    <xf numFmtId="8" fontId="2" fillId="0" borderId="0" xfId="15" applyNumberFormat="1"/>
    <xf numFmtId="164" fontId="2" fillId="0" borderId="0" xfId="15" applyNumberFormat="1" applyAlignment="1">
      <alignment horizontal="right"/>
    </xf>
    <xf numFmtId="164" fontId="2" fillId="0" borderId="0" xfId="15" applyNumberFormat="1" applyFont="1"/>
    <xf numFmtId="164" fontId="2" fillId="0" borderId="0" xfId="15" applyNumberFormat="1" applyBorder="1" applyAlignment="1">
      <alignment horizontal="right"/>
    </xf>
    <xf numFmtId="164" fontId="2" fillId="0" borderId="0" xfId="15" applyNumberFormat="1" applyFill="1" applyBorder="1"/>
    <xf numFmtId="164" fontId="2" fillId="0" borderId="1" xfId="15" applyNumberFormat="1" applyFill="1" applyBorder="1" applyAlignment="1">
      <alignment horizontal="right"/>
    </xf>
    <xf numFmtId="5" fontId="2" fillId="0" borderId="1" xfId="3" applyNumberFormat="1" applyFont="1" applyFill="1" applyBorder="1"/>
    <xf numFmtId="5" fontId="5" fillId="0" borderId="1" xfId="3" applyNumberFormat="1" applyFont="1" applyFill="1" applyBorder="1"/>
    <xf numFmtId="10" fontId="5" fillId="0" borderId="1" xfId="3" applyNumberFormat="1" applyFont="1" applyFill="1" applyBorder="1"/>
    <xf numFmtId="2" fontId="2" fillId="0" borderId="1" xfId="15" applyNumberFormat="1" applyFill="1" applyBorder="1"/>
    <xf numFmtId="8" fontId="2" fillId="0" borderId="1" xfId="15" applyNumberFormat="1" applyBorder="1"/>
    <xf numFmtId="10" fontId="2" fillId="0" borderId="0" xfId="3" applyNumberFormat="1" applyFont="1" applyFill="1"/>
    <xf numFmtId="164" fontId="2" fillId="0" borderId="0" xfId="15" quotePrefix="1" applyNumberFormat="1" applyAlignment="1">
      <alignment horizontal="right"/>
    </xf>
    <xf numFmtId="165" fontId="2" fillId="0" borderId="1" xfId="1" applyNumberFormat="1" applyFont="1" applyFill="1" applyBorder="1"/>
    <xf numFmtId="10" fontId="2" fillId="0" borderId="1" xfId="3" applyNumberFormat="1" applyFont="1" applyFill="1" applyBorder="1"/>
    <xf numFmtId="164" fontId="6" fillId="0" borderId="0" xfId="15" applyNumberFormat="1" applyFont="1" applyAlignment="1">
      <alignment horizontal="right"/>
    </xf>
    <xf numFmtId="164" fontId="2" fillId="0" borderId="1" xfId="15" applyNumberFormat="1" applyFont="1" applyBorder="1" applyAlignment="1">
      <alignment horizontal="center"/>
    </xf>
    <xf numFmtId="5" fontId="7" fillId="0" borderId="0" xfId="3" applyNumberFormat="1" applyFont="1" applyFill="1"/>
    <xf numFmtId="5" fontId="7" fillId="0" borderId="1" xfId="3" applyNumberFormat="1" applyFont="1" applyFill="1" applyBorder="1"/>
    <xf numFmtId="3" fontId="2" fillId="0" borderId="0" xfId="15" applyNumberFormat="1" applyFill="1"/>
    <xf numFmtId="165" fontId="2" fillId="0" borderId="0" xfId="1" applyNumberFormat="1" applyFont="1" applyFill="1" applyBorder="1"/>
    <xf numFmtId="5" fontId="2" fillId="0" borderId="0" xfId="3" applyNumberFormat="1" applyFont="1" applyFill="1" applyBorder="1"/>
    <xf numFmtId="5" fontId="2" fillId="0" borderId="0" xfId="15" applyNumberFormat="1" applyFill="1" applyBorder="1"/>
    <xf numFmtId="10" fontId="5" fillId="0" borderId="0" xfId="3" applyNumberFormat="1" applyFont="1" applyFill="1" applyBorder="1"/>
    <xf numFmtId="2" fontId="2" fillId="0" borderId="0" xfId="15" applyNumberFormat="1" applyFill="1" applyBorder="1"/>
    <xf numFmtId="164" fontId="6" fillId="0" borderId="0" xfId="15" applyNumberFormat="1" applyFont="1"/>
    <xf numFmtId="166" fontId="2" fillId="0" borderId="0" xfId="3" applyNumberFormat="1" applyFont="1" applyFill="1"/>
    <xf numFmtId="164" fontId="0" fillId="0" borderId="0" xfId="15" applyNumberFormat="1" applyFont="1"/>
    <xf numFmtId="166" fontId="2" fillId="0" borderId="0" xfId="15" applyNumberFormat="1" applyFill="1"/>
    <xf numFmtId="165" fontId="2" fillId="0" borderId="1" xfId="1" applyNumberFormat="1" applyFont="1" applyFill="1" applyBorder="1" applyAlignment="1">
      <alignment horizontal="right"/>
    </xf>
    <xf numFmtId="164" fontId="2" fillId="0" borderId="0" xfId="15" applyNumberFormat="1" applyBorder="1"/>
    <xf numFmtId="5" fontId="2" fillId="0" borderId="1" xfId="1" applyNumberFormat="1" applyFont="1" applyFill="1" applyBorder="1"/>
    <xf numFmtId="165" fontId="2" fillId="0" borderId="2" xfId="1" applyNumberFormat="1" applyFont="1" applyFill="1" applyBorder="1"/>
    <xf numFmtId="5" fontId="2" fillId="0" borderId="2" xfId="3" applyNumberFormat="1" applyFont="1" applyFill="1" applyBorder="1"/>
    <xf numFmtId="10" fontId="2" fillId="0" borderId="2" xfId="3" applyNumberFormat="1" applyFont="1" applyFill="1" applyBorder="1"/>
    <xf numFmtId="2" fontId="2" fillId="0" borderId="2" xfId="15" applyNumberFormat="1" applyFill="1" applyBorder="1"/>
    <xf numFmtId="8" fontId="2" fillId="0" borderId="2" xfId="15" applyNumberFormat="1" applyBorder="1"/>
    <xf numFmtId="164" fontId="3" fillId="0" borderId="0" xfId="15" applyNumberFormat="1" applyFont="1" applyAlignment="1">
      <alignment horizontal="left" wrapText="1"/>
    </xf>
    <xf numFmtId="10" fontId="2" fillId="0" borderId="0" xfId="15" applyNumberFormat="1" applyFont="1" applyFill="1" applyAlignment="1">
      <alignment horizontal="center"/>
    </xf>
    <xf numFmtId="164" fontId="2" fillId="0" borderId="0" xfId="15" applyNumberFormat="1" applyFont="1" applyFill="1" applyAlignment="1">
      <alignment horizontal="right"/>
    </xf>
    <xf numFmtId="166" fontId="8" fillId="0" borderId="0" xfId="3" applyNumberFormat="1" applyFont="1" applyFill="1" applyBorder="1"/>
    <xf numFmtId="164" fontId="2" fillId="0" borderId="0" xfId="15" applyNumberFormat="1" applyFont="1" applyFill="1"/>
    <xf numFmtId="10" fontId="8" fillId="0" borderId="0" xfId="15" applyNumberFormat="1" applyFont="1" applyFill="1" applyBorder="1"/>
    <xf numFmtId="10" fontId="2" fillId="0" borderId="0" xfId="15" applyNumberFormat="1" applyFont="1" applyFill="1" applyAlignment="1">
      <alignment horizontal="right"/>
    </xf>
    <xf numFmtId="10" fontId="9" fillId="2" borderId="0" xfId="15" quotePrefix="1" applyNumberFormat="1" applyFont="1" applyFill="1"/>
    <xf numFmtId="10" fontId="9" fillId="0" borderId="0" xfId="15" quotePrefix="1" applyNumberFormat="1" applyFont="1" applyFill="1"/>
    <xf numFmtId="10" fontId="5" fillId="0" borderId="0" xfId="15" applyNumberFormat="1" applyFont="1" applyFill="1" applyBorder="1"/>
    <xf numFmtId="10" fontId="8" fillId="0" borderId="0" xfId="15" applyNumberFormat="1" applyFont="1" applyFill="1"/>
    <xf numFmtId="10" fontId="2" fillId="0" borderId="0" xfId="15" quotePrefix="1" applyNumberFormat="1" applyFont="1" applyFill="1"/>
    <xf numFmtId="164" fontId="9" fillId="0" borderId="0" xfId="15" applyNumberFormat="1" applyFont="1" applyFill="1"/>
    <xf numFmtId="10" fontId="2" fillId="0" borderId="0" xfId="15" applyNumberFormat="1" applyFont="1" applyFill="1"/>
    <xf numFmtId="164" fontId="3" fillId="0" borderId="0" xfId="15" applyFont="1" applyAlignment="1">
      <alignment horizontal="centerContinuous"/>
    </xf>
    <xf numFmtId="164" fontId="3" fillId="0" borderId="0" xfId="15" applyFont="1" applyFill="1" applyAlignment="1">
      <alignment horizontal="centerContinuous"/>
    </xf>
    <xf numFmtId="164" fontId="2" fillId="0" borderId="0" xfId="15" applyFill="1" applyAlignment="1">
      <alignment horizontal="centerContinuous"/>
    </xf>
    <xf numFmtId="167" fontId="2" fillId="0" borderId="0" xfId="15" applyNumberFormat="1" applyFill="1" applyAlignment="1">
      <alignment horizontal="centerContinuous"/>
    </xf>
    <xf numFmtId="164" fontId="2" fillId="0" borderId="0" xfId="15"/>
    <xf numFmtId="164" fontId="10" fillId="0" borderId="0" xfId="15" applyFont="1" applyFill="1" applyBorder="1" applyAlignment="1">
      <alignment horizontal="right" textRotation="180"/>
    </xf>
    <xf numFmtId="164" fontId="2" fillId="0" borderId="0" xfId="15" applyFill="1"/>
    <xf numFmtId="167" fontId="0" fillId="0" borderId="0" xfId="0" applyNumberFormat="1" applyAlignment="1">
      <alignment horizontal="centerContinuous"/>
    </xf>
    <xf numFmtId="164" fontId="2" fillId="0" borderId="0" xfId="15" applyAlignment="1">
      <alignment horizontal="centerContinuous"/>
    </xf>
    <xf numFmtId="167" fontId="2" fillId="0" borderId="0" xfId="15" applyNumberFormat="1" applyAlignment="1">
      <alignment horizontal="centerContinuous"/>
    </xf>
    <xf numFmtId="164" fontId="3" fillId="0" borderId="0" xfId="15" applyFont="1" applyFill="1" applyBorder="1" applyAlignment="1">
      <alignment horizontal="left"/>
    </xf>
    <xf numFmtId="164" fontId="3" fillId="0" borderId="0" xfId="15" applyFont="1" applyFill="1" applyAlignment="1">
      <alignment horizontal="center"/>
    </xf>
    <xf numFmtId="167" fontId="2" fillId="0" borderId="0" xfId="15" applyNumberFormat="1" applyFill="1"/>
    <xf numFmtId="164" fontId="3" fillId="0" borderId="0" xfId="15" applyFont="1" applyFill="1" applyBorder="1" applyAlignment="1">
      <alignment horizontal="center"/>
    </xf>
    <xf numFmtId="164" fontId="3" fillId="0" borderId="0" xfId="15" applyFont="1" applyAlignment="1">
      <alignment horizontal="center"/>
    </xf>
    <xf numFmtId="164" fontId="3" fillId="0" borderId="1" xfId="15" applyFont="1" applyFill="1" applyBorder="1" applyAlignment="1">
      <alignment horizontal="centerContinuous"/>
    </xf>
    <xf numFmtId="167" fontId="3" fillId="0" borderId="1" xfId="15" applyNumberFormat="1" applyFont="1" applyFill="1" applyBorder="1" applyAlignment="1">
      <alignment horizontal="centerContinuous"/>
    </xf>
    <xf numFmtId="2" fontId="2" fillId="0" borderId="1" xfId="15" applyNumberFormat="1" applyFill="1" applyBorder="1" applyAlignment="1">
      <alignment horizontal="centerContinuous"/>
    </xf>
    <xf numFmtId="164" fontId="3" fillId="0" borderId="0" xfId="15" applyFont="1"/>
    <xf numFmtId="2" fontId="3" fillId="0" borderId="0" xfId="15" applyNumberFormat="1" applyFont="1" applyFill="1" applyAlignment="1">
      <alignment horizontal="center"/>
    </xf>
    <xf numFmtId="164" fontId="3" fillId="0" borderId="0" xfId="15" applyFont="1" applyFill="1"/>
    <xf numFmtId="164" fontId="3" fillId="0" borderId="1" xfId="15" applyFont="1" applyBorder="1" applyAlignment="1">
      <alignment horizontal="center"/>
    </xf>
    <xf numFmtId="164" fontId="3" fillId="0" borderId="1" xfId="15" applyFont="1" applyFill="1" applyBorder="1" applyAlignment="1">
      <alignment horizontal="center"/>
    </xf>
    <xf numFmtId="164" fontId="3" fillId="0" borderId="1" xfId="15" quotePrefix="1" applyFont="1" applyFill="1" applyBorder="1" applyAlignment="1">
      <alignment horizontal="center"/>
    </xf>
    <xf numFmtId="167" fontId="3" fillId="0" borderId="1" xfId="15" applyNumberFormat="1" applyFont="1" applyFill="1" applyBorder="1" applyAlignment="1">
      <alignment horizontal="center"/>
    </xf>
    <xf numFmtId="164" fontId="3" fillId="0" borderId="3" xfId="15" applyFont="1" applyBorder="1" applyAlignment="1">
      <alignment horizontal="centerContinuous"/>
    </xf>
    <xf numFmtId="164" fontId="3" fillId="0" borderId="4" xfId="15" applyFont="1" applyBorder="1" applyAlignment="1">
      <alignment horizontal="centerContinuous"/>
    </xf>
    <xf numFmtId="164" fontId="3" fillId="0" borderId="5" xfId="15" applyFont="1" applyBorder="1" applyAlignment="1">
      <alignment horizontal="centerContinuous"/>
    </xf>
    <xf numFmtId="37" fontId="3" fillId="0" borderId="0" xfId="15" applyNumberFormat="1" applyFont="1" applyAlignment="1">
      <alignment horizontal="center"/>
    </xf>
    <xf numFmtId="164" fontId="3" fillId="0" borderId="6" xfId="15" applyFont="1" applyBorder="1" applyAlignment="1">
      <alignment horizontal="center"/>
    </xf>
    <xf numFmtId="164" fontId="3" fillId="0" borderId="0" xfId="15" applyFont="1" applyBorder="1"/>
    <xf numFmtId="164" fontId="3" fillId="0" borderId="7" xfId="15" applyFont="1" applyBorder="1"/>
    <xf numFmtId="167" fontId="3" fillId="0" borderId="0" xfId="15" applyNumberFormat="1" applyFont="1" applyFill="1" applyAlignment="1">
      <alignment horizontal="center"/>
    </xf>
    <xf numFmtId="164" fontId="3" fillId="0" borderId="0" xfId="15" applyFont="1" applyBorder="1" applyAlignment="1">
      <alignment horizontal="center"/>
    </xf>
    <xf numFmtId="164" fontId="11" fillId="0" borderId="0" xfId="15" applyFont="1" applyBorder="1" applyAlignment="1">
      <alignment horizontal="center"/>
    </xf>
    <xf numFmtId="164" fontId="3" fillId="0" borderId="7" xfId="15" applyFont="1" applyBorder="1" applyAlignment="1">
      <alignment horizontal="center"/>
    </xf>
    <xf numFmtId="164" fontId="2" fillId="0" borderId="6" xfId="15" applyBorder="1"/>
    <xf numFmtId="164" fontId="2" fillId="0" borderId="0" xfId="15" applyBorder="1"/>
    <xf numFmtId="164" fontId="2" fillId="0" borderId="7" xfId="15" applyBorder="1"/>
    <xf numFmtId="164" fontId="2" fillId="0" borderId="0" xfId="15" applyFont="1" applyAlignment="1">
      <alignment horizontal="right"/>
    </xf>
    <xf numFmtId="167" fontId="2" fillId="0" borderId="0" xfId="3" applyNumberFormat="1" applyFont="1" applyFill="1"/>
    <xf numFmtId="164" fontId="7" fillId="0" borderId="0" xfId="15" applyFont="1" applyFill="1"/>
    <xf numFmtId="2" fontId="7" fillId="0" borderId="0" xfId="15" applyNumberFormat="1" applyFont="1" applyFill="1"/>
    <xf numFmtId="168" fontId="2" fillId="0" borderId="0" xfId="15" applyNumberFormat="1" applyBorder="1"/>
    <xf numFmtId="10" fontId="2" fillId="0" borderId="7" xfId="15" applyNumberFormat="1" applyBorder="1"/>
    <xf numFmtId="164" fontId="2" fillId="0" borderId="0" xfId="15" applyAlignment="1">
      <alignment horizontal="right"/>
    </xf>
    <xf numFmtId="164" fontId="2" fillId="0" borderId="0" xfId="15" applyFont="1"/>
    <xf numFmtId="164" fontId="2" fillId="0" borderId="0" xfId="15" applyBorder="1" applyAlignment="1">
      <alignment horizontal="right"/>
    </xf>
    <xf numFmtId="164" fontId="2" fillId="0" borderId="0" xfId="15" applyFill="1" applyBorder="1"/>
    <xf numFmtId="164" fontId="2" fillId="0" borderId="1" xfId="15" applyFill="1" applyBorder="1" applyAlignment="1">
      <alignment horizontal="right"/>
    </xf>
    <xf numFmtId="167" fontId="2" fillId="0" borderId="1" xfId="3" applyNumberFormat="1" applyFont="1" applyFill="1" applyBorder="1"/>
    <xf numFmtId="164" fontId="2" fillId="0" borderId="8" xfId="15" applyBorder="1"/>
    <xf numFmtId="168" fontId="2" fillId="0" borderId="1" xfId="15" applyNumberFormat="1" applyBorder="1"/>
    <xf numFmtId="10" fontId="2" fillId="0" borderId="9" xfId="15" applyNumberFormat="1" applyBorder="1"/>
    <xf numFmtId="169" fontId="2" fillId="0" borderId="0" xfId="3" applyNumberFormat="1" applyFont="1" applyFill="1"/>
    <xf numFmtId="164" fontId="2" fillId="0" borderId="0" xfId="15" quotePrefix="1" applyAlignment="1">
      <alignment horizontal="right"/>
    </xf>
    <xf numFmtId="164" fontId="6" fillId="0" borderId="0" xfId="15" applyFont="1"/>
    <xf numFmtId="164" fontId="3" fillId="0" borderId="0" xfId="15" applyFont="1" applyAlignment="1">
      <alignment wrapText="1"/>
    </xf>
    <xf numFmtId="164" fontId="2" fillId="0" borderId="0" xfId="15" quotePrefix="1" applyFont="1" applyAlignment="1">
      <alignment horizontal="right"/>
    </xf>
    <xf numFmtId="167" fontId="2" fillId="0" borderId="0" xfId="3" applyNumberFormat="1" applyFont="1" applyFill="1" applyBorder="1"/>
    <xf numFmtId="164" fontId="0" fillId="0" borderId="0" xfId="15" applyFont="1"/>
    <xf numFmtId="167" fontId="2" fillId="0" borderId="2" xfId="3" applyNumberFormat="1" applyFont="1" applyFill="1" applyBorder="1"/>
    <xf numFmtId="164" fontId="3" fillId="0" borderId="0" xfId="15" applyFont="1" applyAlignment="1">
      <alignment horizontal="left" wrapText="1"/>
    </xf>
    <xf numFmtId="3" fontId="12" fillId="0" borderId="0" xfId="0" applyNumberFormat="1" applyFont="1" applyAlignment="1">
      <alignment horizontal="centerContinuous"/>
    </xf>
    <xf numFmtId="164" fontId="13" fillId="0" borderId="0" xfId="16" applyNumberFormat="1" applyFont="1" applyFill="1" applyAlignment="1">
      <alignment horizontal="centerContinuous"/>
    </xf>
    <xf numFmtId="164" fontId="13" fillId="0" borderId="0" xfId="16" applyNumberFormat="1" applyFont="1" applyFill="1" applyBorder="1" applyAlignment="1">
      <alignment horizontal="centerContinuous"/>
    </xf>
    <xf numFmtId="164" fontId="14" fillId="0" borderId="0" xfId="16" applyNumberFormat="1" applyFont="1" applyFill="1" applyAlignment="1">
      <alignment horizontal="centerContinuous"/>
    </xf>
    <xf numFmtId="164" fontId="2" fillId="0" borderId="0" xfId="16" applyNumberFormat="1" applyFill="1" applyAlignment="1">
      <alignment horizontal="centerContinuous"/>
    </xf>
    <xf numFmtId="164" fontId="13" fillId="0" borderId="0" xfId="16" applyNumberFormat="1" applyFont="1" applyFill="1" applyBorder="1" applyAlignment="1">
      <alignment horizontal="center"/>
    </xf>
    <xf numFmtId="164" fontId="3" fillId="0" borderId="0" xfId="16" applyNumberFormat="1" applyFont="1" applyFill="1" applyBorder="1" applyAlignment="1">
      <alignment horizontal="right"/>
    </xf>
    <xf numFmtId="9" fontId="3" fillId="0" borderId="0" xfId="16" applyNumberFormat="1" applyFont="1" applyBorder="1" applyAlignment="1">
      <alignment horizontal="right"/>
    </xf>
    <xf numFmtId="164" fontId="2" fillId="0" borderId="0" xfId="16" applyNumberFormat="1" applyAlignment="1">
      <alignment horizontal="centerContinuous"/>
    </xf>
    <xf numFmtId="164" fontId="2" fillId="0" borderId="0" xfId="16" applyNumberFormat="1"/>
    <xf numFmtId="164" fontId="3" fillId="0" borderId="0" xfId="16" applyNumberFormat="1" applyFont="1" applyFill="1" applyBorder="1" applyAlignment="1">
      <alignment horizontal="center"/>
    </xf>
    <xf numFmtId="164" fontId="3" fillId="0" borderId="0" xfId="16" applyNumberFormat="1" applyFont="1" applyFill="1" applyBorder="1" applyAlignment="1">
      <alignment horizontal="left"/>
    </xf>
    <xf numFmtId="170" fontId="3" fillId="0" borderId="0" xfId="16" applyNumberFormat="1" applyFont="1" applyBorder="1" applyAlignment="1">
      <alignment horizontal="right"/>
    </xf>
    <xf numFmtId="164" fontId="7" fillId="0" borderId="0" xfId="16" applyNumberFormat="1" applyFont="1" applyFill="1"/>
    <xf numFmtId="164" fontId="2" fillId="0" borderId="0" xfId="16" applyNumberFormat="1" applyFill="1"/>
    <xf numFmtId="37" fontId="2" fillId="0" borderId="0" xfId="16" applyNumberFormat="1" applyFill="1" applyProtection="1"/>
    <xf numFmtId="164" fontId="2" fillId="0" borderId="0" xfId="16" applyNumberFormat="1" applyFill="1" applyBorder="1"/>
    <xf numFmtId="164" fontId="3" fillId="0" borderId="0" xfId="16" applyNumberFormat="1" applyFont="1" applyFill="1" applyBorder="1"/>
    <xf numFmtId="170" fontId="3" fillId="0" borderId="0" xfId="16" applyNumberFormat="1" applyFont="1" applyBorder="1"/>
    <xf numFmtId="37" fontId="3" fillId="0" borderId="0" xfId="16" applyNumberFormat="1" applyFont="1" applyFill="1" applyProtection="1"/>
    <xf numFmtId="164" fontId="3" fillId="0" borderId="0" xfId="16" applyNumberFormat="1" applyFont="1" applyFill="1" applyAlignment="1">
      <alignment horizontal="center"/>
    </xf>
    <xf numFmtId="37" fontId="3" fillId="0" borderId="0" xfId="16" applyNumberFormat="1" applyFont="1" applyFill="1" applyAlignment="1" applyProtection="1">
      <alignment horizontal="center"/>
    </xf>
    <xf numFmtId="164" fontId="15" fillId="0" borderId="0" xfId="16" applyNumberFormat="1" applyFont="1" applyFill="1" applyAlignment="1">
      <alignment horizontal="center"/>
    </xf>
    <xf numFmtId="164" fontId="2" fillId="0" borderId="0" xfId="16" applyNumberFormat="1" applyFont="1" applyFill="1"/>
    <xf numFmtId="5" fontId="2" fillId="0" borderId="0" xfId="16" applyNumberFormat="1" applyFill="1" applyProtection="1"/>
    <xf numFmtId="37" fontId="3" fillId="0" borderId="0" xfId="16" applyNumberFormat="1" applyFont="1" applyFill="1" applyBorder="1" applyAlignment="1" applyProtection="1">
      <alignment horizontal="center"/>
    </xf>
    <xf numFmtId="10" fontId="2" fillId="0" borderId="0" xfId="16" quotePrefix="1" applyNumberFormat="1" applyFont="1" applyFill="1"/>
    <xf numFmtId="37" fontId="3" fillId="0" borderId="1" xfId="16" quotePrefix="1" applyNumberFormat="1" applyFont="1" applyFill="1" applyBorder="1" applyAlignment="1" applyProtection="1">
      <alignment horizontal="center"/>
    </xf>
    <xf numFmtId="164" fontId="15" fillId="0" borderId="10" xfId="16" quotePrefix="1" applyNumberFormat="1" applyFont="1" applyFill="1" applyBorder="1" applyAlignment="1">
      <alignment horizontal="center"/>
    </xf>
    <xf numFmtId="164" fontId="3" fillId="0" borderId="10" xfId="16" applyNumberFormat="1" applyFont="1" applyFill="1" applyBorder="1" applyAlignment="1">
      <alignment horizontal="center"/>
    </xf>
    <xf numFmtId="10" fontId="5" fillId="0" borderId="0" xfId="21" quotePrefix="1" applyNumberFormat="1" applyFont="1" applyFill="1"/>
    <xf numFmtId="37" fontId="5" fillId="0" borderId="0" xfId="16" applyNumberFormat="1" applyFont="1" applyFill="1" applyProtection="1">
      <protection locked="0"/>
    </xf>
    <xf numFmtId="10" fontId="5" fillId="0" borderId="0" xfId="21" applyNumberFormat="1" applyFont="1" applyFill="1"/>
    <xf numFmtId="164" fontId="15" fillId="0" borderId="0" xfId="16" applyNumberFormat="1" applyFont="1" applyFill="1" applyAlignment="1">
      <alignment horizontal="left"/>
    </xf>
    <xf numFmtId="171" fontId="2" fillId="0" borderId="0" xfId="16" applyNumberFormat="1" applyFill="1" applyProtection="1"/>
    <xf numFmtId="164" fontId="2" fillId="0" borderId="0" xfId="16" applyNumberFormat="1" applyFont="1" applyBorder="1"/>
    <xf numFmtId="164" fontId="2" fillId="0" borderId="0" xfId="16" applyNumberFormat="1" applyBorder="1"/>
    <xf numFmtId="164" fontId="7" fillId="0" borderId="0" xfId="16" applyNumberFormat="1" applyFont="1" applyFill="1" applyAlignment="1">
      <alignment horizontal="left"/>
    </xf>
    <xf numFmtId="37" fontId="5" fillId="0" borderId="0" xfId="16" applyNumberFormat="1" applyFont="1" applyFill="1" applyProtection="1"/>
    <xf numFmtId="7" fontId="7" fillId="0" borderId="0" xfId="16" applyNumberFormat="1" applyFont="1" applyFill="1" applyProtection="1">
      <protection locked="0"/>
    </xf>
    <xf numFmtId="7" fontId="5" fillId="0" borderId="0" xfId="16" applyNumberFormat="1" applyFont="1" applyFill="1" applyBorder="1" applyProtection="1">
      <protection locked="0"/>
    </xf>
    <xf numFmtId="7" fontId="5" fillId="0" borderId="0" xfId="16" applyNumberFormat="1" applyFont="1" applyFill="1" applyProtection="1">
      <protection locked="0"/>
    </xf>
    <xf numFmtId="167" fontId="2" fillId="0" borderId="0" xfId="21" applyNumberFormat="1" applyFont="1" applyBorder="1"/>
    <xf numFmtId="37" fontId="5" fillId="0" borderId="0" xfId="16" applyNumberFormat="1" applyFont="1" applyFill="1" applyBorder="1" applyProtection="1"/>
    <xf numFmtId="172" fontId="7" fillId="0" borderId="0" xfId="16" applyNumberFormat="1" applyFont="1" applyFill="1" applyProtection="1">
      <protection locked="0"/>
    </xf>
    <xf numFmtId="0" fontId="0" fillId="0" borderId="0" xfId="0" applyBorder="1"/>
    <xf numFmtId="164" fontId="2" fillId="0" borderId="3" xfId="16" applyNumberFormat="1" applyFont="1" applyFill="1" applyBorder="1"/>
    <xf numFmtId="164" fontId="2" fillId="0" borderId="5" xfId="16" applyNumberFormat="1" applyBorder="1"/>
    <xf numFmtId="164" fontId="2" fillId="0" borderId="0" xfId="16" applyNumberFormat="1" applyBorder="1" applyAlignment="1">
      <alignment horizontal="centerContinuous"/>
    </xf>
    <xf numFmtId="9" fontId="2" fillId="0" borderId="0" xfId="21" applyFont="1" applyBorder="1" applyAlignment="1">
      <alignment horizontal="centerContinuous"/>
    </xf>
    <xf numFmtId="164" fontId="2" fillId="0" borderId="11" xfId="16" applyNumberFormat="1" applyFont="1" applyBorder="1"/>
    <xf numFmtId="5" fontId="2" fillId="0" borderId="12" xfId="16" applyNumberFormat="1" applyFill="1" applyBorder="1" applyProtection="1"/>
    <xf numFmtId="164" fontId="2" fillId="0" borderId="0" xfId="16" applyNumberFormat="1" applyFont="1" applyBorder="1" applyAlignment="1">
      <alignment horizontal="centerContinuous"/>
    </xf>
    <xf numFmtId="9" fontId="2" fillId="0" borderId="0" xfId="21" applyFont="1" applyBorder="1" applyAlignment="1">
      <alignment horizontal="center"/>
    </xf>
    <xf numFmtId="164" fontId="2" fillId="0" borderId="6" xfId="16" applyNumberFormat="1" applyFont="1" applyBorder="1"/>
    <xf numFmtId="5" fontId="2" fillId="0" borderId="7" xfId="16" applyNumberFormat="1" applyFill="1" applyBorder="1" applyProtection="1"/>
    <xf numFmtId="167" fontId="2" fillId="0" borderId="0" xfId="16" applyNumberFormat="1" applyBorder="1"/>
    <xf numFmtId="173" fontId="7" fillId="0" borderId="0" xfId="16" applyNumberFormat="1" applyFont="1" applyFill="1" applyProtection="1">
      <protection locked="0"/>
    </xf>
    <xf numFmtId="173" fontId="16" fillId="0" borderId="0" xfId="16" applyNumberFormat="1" applyFont="1" applyFill="1" applyProtection="1">
      <protection locked="0"/>
    </xf>
    <xf numFmtId="164" fontId="17" fillId="0" borderId="8" xfId="16" applyNumberFormat="1" applyFont="1" applyBorder="1"/>
    <xf numFmtId="5" fontId="2" fillId="0" borderId="9" xfId="16" applyNumberFormat="1" applyFill="1" applyBorder="1" applyProtection="1"/>
    <xf numFmtId="167" fontId="0" fillId="0" borderId="0" xfId="0" applyNumberFormat="1" applyBorder="1"/>
    <xf numFmtId="164" fontId="2" fillId="0" borderId="11" xfId="16" applyNumberFormat="1" applyFont="1" applyFill="1" applyBorder="1"/>
    <xf numFmtId="167" fontId="2" fillId="0" borderId="12" xfId="16" applyNumberFormat="1" applyBorder="1"/>
    <xf numFmtId="7" fontId="2" fillId="0" borderId="0" xfId="16" applyNumberFormat="1" applyFont="1" applyFill="1" applyBorder="1" applyProtection="1"/>
    <xf numFmtId="7" fontId="7" fillId="0" borderId="0" xfId="16" applyNumberFormat="1" applyFont="1" applyFill="1" applyProtection="1"/>
    <xf numFmtId="164" fontId="2" fillId="0" borderId="6" xfId="16" applyNumberFormat="1" applyFont="1" applyFill="1" applyBorder="1"/>
    <xf numFmtId="167" fontId="2" fillId="0" borderId="7" xfId="16" applyNumberFormat="1" applyBorder="1"/>
    <xf numFmtId="167" fontId="2" fillId="0" borderId="0" xfId="16" applyNumberFormat="1" applyFont="1" applyBorder="1"/>
    <xf numFmtId="7" fontId="5" fillId="0" borderId="0" xfId="16" applyNumberFormat="1" applyFont="1" applyFill="1" applyBorder="1" applyProtection="1"/>
    <xf numFmtId="5" fontId="2" fillId="0" borderId="0" xfId="16" applyNumberFormat="1" applyFill="1" applyBorder="1" applyProtection="1"/>
    <xf numFmtId="167" fontId="18" fillId="0" borderId="7" xfId="1" applyNumberFormat="1" applyFont="1" applyBorder="1"/>
    <xf numFmtId="164" fontId="7" fillId="0" borderId="0" xfId="16" applyNumberFormat="1" applyFont="1" applyFill="1" applyBorder="1" applyAlignment="1">
      <alignment horizontal="left"/>
    </xf>
    <xf numFmtId="37" fontId="7" fillId="0" borderId="0" xfId="16" applyNumberFormat="1" applyFont="1" applyFill="1" applyBorder="1" applyProtection="1"/>
    <xf numFmtId="9" fontId="2" fillId="0" borderId="7" xfId="16" applyNumberFormat="1" applyBorder="1"/>
    <xf numFmtId="164" fontId="2" fillId="0" borderId="0" xfId="16" applyNumberFormat="1" applyFont="1" applyFill="1" applyBorder="1"/>
    <xf numFmtId="164" fontId="2" fillId="0" borderId="0" xfId="16" applyNumberFormat="1" applyFont="1"/>
    <xf numFmtId="3" fontId="0" fillId="0" borderId="12" xfId="0" applyNumberFormat="1" applyBorder="1"/>
    <xf numFmtId="3" fontId="0" fillId="0" borderId="7" xfId="0" applyNumberFormat="1" applyBorder="1"/>
    <xf numFmtId="37" fontId="5" fillId="0" borderId="10" xfId="16" applyNumberFormat="1" applyFont="1" applyFill="1" applyBorder="1" applyProtection="1"/>
    <xf numFmtId="5" fontId="2" fillId="0" borderId="10" xfId="16" applyNumberFormat="1" applyFill="1" applyBorder="1" applyProtection="1"/>
    <xf numFmtId="5" fontId="5" fillId="0" borderId="10" xfId="16" applyNumberFormat="1" applyFont="1" applyFill="1" applyBorder="1" applyProtection="1"/>
    <xf numFmtId="164" fontId="2" fillId="0" borderId="8" xfId="16" applyNumberFormat="1" applyFont="1" applyFill="1" applyBorder="1"/>
    <xf numFmtId="3" fontId="0" fillId="0" borderId="9" xfId="0" applyNumberFormat="1" applyBorder="1"/>
    <xf numFmtId="37" fontId="2" fillId="0" borderId="2" xfId="16" applyNumberFormat="1" applyFill="1" applyBorder="1" applyProtection="1"/>
    <xf numFmtId="37" fontId="2" fillId="0" borderId="2" xfId="16" applyNumberFormat="1" applyFont="1" applyFill="1" applyBorder="1" applyProtection="1"/>
    <xf numFmtId="164" fontId="7" fillId="0" borderId="2" xfId="16" applyNumberFormat="1" applyFont="1" applyFill="1" applyBorder="1"/>
    <xf numFmtId="5" fontId="2" fillId="0" borderId="2" xfId="16" applyNumberFormat="1" applyFill="1" applyBorder="1" applyProtection="1"/>
    <xf numFmtId="164" fontId="2" fillId="0" borderId="2" xfId="16" applyNumberFormat="1" applyFill="1" applyBorder="1"/>
    <xf numFmtId="174" fontId="5" fillId="0" borderId="9" xfId="16" applyNumberFormat="1" applyFont="1" applyBorder="1"/>
    <xf numFmtId="10" fontId="7" fillId="0" borderId="0" xfId="21" applyNumberFormat="1" applyFont="1" applyFill="1"/>
    <xf numFmtId="10" fontId="5" fillId="0" borderId="0" xfId="21" applyNumberFormat="1" applyFont="1" applyFill="1" applyBorder="1"/>
    <xf numFmtId="175" fontId="2" fillId="0" borderId="0" xfId="16" applyNumberFormat="1" applyFill="1" applyProtection="1"/>
    <xf numFmtId="7" fontId="2" fillId="0" borderId="0" xfId="16" applyNumberFormat="1" applyFont="1" applyFill="1" applyBorder="1" applyProtection="1">
      <protection locked="0"/>
    </xf>
    <xf numFmtId="7" fontId="2" fillId="0" borderId="0" xfId="16" applyNumberFormat="1" applyFont="1" applyFill="1" applyProtection="1">
      <protection locked="0"/>
    </xf>
    <xf numFmtId="173" fontId="2" fillId="0" borderId="0" xfId="16" applyNumberFormat="1" applyFont="1" applyFill="1" applyProtection="1">
      <protection locked="0"/>
    </xf>
    <xf numFmtId="167" fontId="5" fillId="0" borderId="0" xfId="16" applyNumberFormat="1" applyFont="1" applyBorder="1"/>
    <xf numFmtId="164" fontId="7" fillId="0" borderId="0" xfId="16" applyNumberFormat="1" applyFont="1" applyFill="1" applyBorder="1"/>
    <xf numFmtId="173" fontId="7" fillId="0" borderId="0" xfId="16" applyNumberFormat="1" applyFont="1" applyFill="1" applyBorder="1" applyProtection="1">
      <protection locked="0"/>
    </xf>
    <xf numFmtId="173" fontId="2" fillId="0" borderId="0" xfId="16" applyNumberFormat="1" applyFont="1" applyFill="1" applyBorder="1" applyProtection="1">
      <protection locked="0"/>
    </xf>
    <xf numFmtId="10" fontId="2" fillId="0" borderId="0" xfId="16" applyNumberFormat="1"/>
    <xf numFmtId="176" fontId="7" fillId="0" borderId="0" xfId="21" applyNumberFormat="1" applyFont="1" applyFill="1"/>
    <xf numFmtId="3" fontId="0" fillId="0" borderId="0" xfId="0" applyNumberFormat="1"/>
    <xf numFmtId="177" fontId="7" fillId="0" borderId="0" xfId="16" applyNumberFormat="1" applyFont="1" applyFill="1" applyProtection="1">
      <protection locked="0"/>
    </xf>
    <xf numFmtId="177" fontId="5" fillId="0" borderId="0" xfId="16" applyNumberFormat="1" applyFont="1" applyFill="1" applyProtection="1">
      <protection locked="0"/>
    </xf>
    <xf numFmtId="10" fontId="2" fillId="0" borderId="0" xfId="21" applyNumberFormat="1" applyFont="1"/>
    <xf numFmtId="164" fontId="7" fillId="0" borderId="13" xfId="16" applyNumberFormat="1" applyFont="1" applyFill="1" applyBorder="1"/>
    <xf numFmtId="5" fontId="2" fillId="0" borderId="13" xfId="16" applyNumberFormat="1" applyFill="1" applyBorder="1" applyProtection="1"/>
    <xf numFmtId="164" fontId="2" fillId="0" borderId="13" xfId="16" applyNumberFormat="1" applyFill="1" applyBorder="1"/>
    <xf numFmtId="9" fontId="2" fillId="0" borderId="0" xfId="21" applyFont="1"/>
    <xf numFmtId="10" fontId="2" fillId="0" borderId="0" xfId="21" applyNumberFormat="1" applyFont="1" applyFill="1" applyBorder="1"/>
    <xf numFmtId="10" fontId="2" fillId="0" borderId="0" xfId="21" applyNumberFormat="1" applyFont="1" applyFill="1"/>
    <xf numFmtId="37" fontId="2" fillId="0" borderId="0" xfId="16" applyNumberFormat="1" applyFont="1" applyFill="1" applyProtection="1"/>
    <xf numFmtId="37" fontId="2" fillId="0" borderId="0" xfId="16" applyNumberFormat="1" applyFont="1" applyFill="1" applyBorder="1" applyProtection="1"/>
    <xf numFmtId="173" fontId="18" fillId="0" borderId="0" xfId="16" applyNumberFormat="1" applyFont="1" applyFill="1" applyProtection="1">
      <protection locked="0"/>
    </xf>
    <xf numFmtId="164" fontId="17" fillId="0" borderId="0" xfId="16" applyNumberFormat="1" applyFont="1" applyBorder="1"/>
    <xf numFmtId="10" fontId="2" fillId="0" borderId="0" xfId="16" applyNumberFormat="1" applyBorder="1"/>
    <xf numFmtId="37" fontId="2" fillId="0" borderId="13" xfId="16" applyNumberFormat="1" applyFill="1" applyBorder="1" applyProtection="1"/>
    <xf numFmtId="173" fontId="7" fillId="0" borderId="13" xfId="16" applyNumberFormat="1" applyFont="1" applyFill="1" applyBorder="1" applyProtection="1"/>
    <xf numFmtId="173" fontId="2" fillId="0" borderId="0" xfId="16" applyNumberFormat="1" applyFill="1" applyBorder="1" applyProtection="1"/>
    <xf numFmtId="173" fontId="2" fillId="0" borderId="13" xfId="16" applyNumberFormat="1" applyFill="1" applyBorder="1" applyProtection="1"/>
    <xf numFmtId="173" fontId="7" fillId="0" borderId="0" xfId="16" applyNumberFormat="1" applyFont="1" applyFill="1" applyProtection="1"/>
    <xf numFmtId="173" fontId="2" fillId="0" borderId="0" xfId="16" applyNumberFormat="1" applyFill="1" applyProtection="1"/>
    <xf numFmtId="7" fontId="2" fillId="0" borderId="0" xfId="16" applyNumberFormat="1" applyFont="1" applyFill="1" applyProtection="1"/>
    <xf numFmtId="7" fontId="2" fillId="0" borderId="0" xfId="16" applyNumberFormat="1" applyFill="1" applyBorder="1" applyProtection="1"/>
    <xf numFmtId="7" fontId="2" fillId="0" borderId="0" xfId="16" applyNumberFormat="1" applyFill="1" applyProtection="1"/>
    <xf numFmtId="164" fontId="3" fillId="0" borderId="0" xfId="16" applyNumberFormat="1" applyFont="1" applyFill="1"/>
    <xf numFmtId="178" fontId="2" fillId="0" borderId="0" xfId="1" applyNumberFormat="1" applyFont="1"/>
    <xf numFmtId="10" fontId="2" fillId="0" borderId="0" xfId="21" applyNumberFormat="1" applyFont="1" applyFill="1" applyProtection="1"/>
    <xf numFmtId="10" fontId="9" fillId="0" borderId="0" xfId="21" applyNumberFormat="1" applyFont="1" applyFill="1"/>
    <xf numFmtId="37" fontId="7" fillId="0" borderId="0" xfId="16" applyNumberFormat="1" applyFont="1" applyFill="1" applyProtection="1"/>
    <xf numFmtId="173" fontId="18" fillId="0" borderId="0" xfId="16" applyNumberFormat="1" applyFont="1" applyFill="1" applyProtection="1"/>
    <xf numFmtId="10" fontId="2" fillId="0" borderId="12" xfId="16" applyNumberFormat="1" applyBorder="1"/>
    <xf numFmtId="10" fontId="2" fillId="0" borderId="7" xfId="16" applyNumberFormat="1" applyBorder="1"/>
    <xf numFmtId="37" fontId="2" fillId="0" borderId="10" xfId="16" applyNumberFormat="1" applyFont="1" applyFill="1" applyBorder="1" applyProtection="1"/>
    <xf numFmtId="164" fontId="7" fillId="0" borderId="8" xfId="16" applyNumberFormat="1" applyFont="1" applyFill="1" applyBorder="1"/>
    <xf numFmtId="10" fontId="2" fillId="0" borderId="9" xfId="16" applyNumberFormat="1" applyBorder="1"/>
    <xf numFmtId="7" fontId="7" fillId="0" borderId="0" xfId="16" applyNumberFormat="1" applyFont="1" applyFill="1" applyBorder="1" applyProtection="1">
      <protection locked="0"/>
    </xf>
    <xf numFmtId="49" fontId="7" fillId="0" borderId="0" xfId="16" applyNumberFormat="1" applyFont="1" applyFill="1" applyAlignment="1">
      <alignment horizontal="left"/>
    </xf>
    <xf numFmtId="164" fontId="5" fillId="0" borderId="0" xfId="16" applyNumberFormat="1" applyFont="1"/>
    <xf numFmtId="165" fontId="2" fillId="0" borderId="0" xfId="1" applyNumberFormat="1" applyFont="1"/>
    <xf numFmtId="164" fontId="7" fillId="0" borderId="11" xfId="16" applyNumberFormat="1" applyFont="1" applyFill="1" applyBorder="1"/>
    <xf numFmtId="177" fontId="18" fillId="0" borderId="0" xfId="16" applyNumberFormat="1" applyFont="1" applyFill="1" applyProtection="1">
      <protection locked="0"/>
    </xf>
    <xf numFmtId="37" fontId="2" fillId="0" borderId="7" xfId="16" applyNumberFormat="1" applyFill="1" applyBorder="1" applyProtection="1"/>
    <xf numFmtId="37" fontId="2" fillId="0" borderId="9" xfId="16" applyNumberFormat="1" applyFill="1" applyBorder="1" applyProtection="1"/>
    <xf numFmtId="177" fontId="7" fillId="0" borderId="0" xfId="16" applyNumberFormat="1" applyFont="1" applyFill="1" applyProtection="1"/>
    <xf numFmtId="177" fontId="2" fillId="0" borderId="0" xfId="16" applyNumberFormat="1" applyFill="1" applyProtection="1"/>
    <xf numFmtId="164" fontId="19" fillId="0" borderId="0" xfId="16" applyNumberFormat="1" applyFont="1" applyFill="1" applyAlignment="1">
      <alignment horizontal="left"/>
    </xf>
    <xf numFmtId="5" fontId="2" fillId="0" borderId="0" xfId="16" applyNumberFormat="1" applyFont="1" applyFill="1" applyProtection="1"/>
    <xf numFmtId="5" fontId="2" fillId="0" borderId="0" xfId="16" applyNumberFormat="1" applyFont="1" applyFill="1" applyBorder="1" applyProtection="1"/>
    <xf numFmtId="164" fontId="2" fillId="0" borderId="0" xfId="16" quotePrefix="1" applyNumberFormat="1" applyFont="1"/>
    <xf numFmtId="0" fontId="20" fillId="0" borderId="0" xfId="18"/>
    <xf numFmtId="37" fontId="7" fillId="0" borderId="0" xfId="16" applyNumberFormat="1" applyFont="1" applyFill="1" applyProtection="1">
      <protection locked="0"/>
    </xf>
    <xf numFmtId="164" fontId="7" fillId="0" borderId="3" xfId="16" applyNumberFormat="1" applyFont="1" applyFill="1" applyBorder="1"/>
    <xf numFmtId="10" fontId="2" fillId="0" borderId="5" xfId="16" applyNumberFormat="1" applyBorder="1"/>
    <xf numFmtId="37" fontId="5" fillId="0" borderId="1" xfId="16" applyNumberFormat="1" applyFont="1" applyFill="1" applyBorder="1" applyProtection="1">
      <protection locked="0"/>
    </xf>
    <xf numFmtId="164" fontId="7" fillId="0" borderId="1" xfId="16" applyNumberFormat="1" applyFont="1" applyFill="1" applyBorder="1"/>
    <xf numFmtId="5" fontId="2" fillId="0" borderId="1" xfId="16" applyNumberFormat="1" applyFont="1" applyFill="1" applyBorder="1" applyProtection="1"/>
    <xf numFmtId="37" fontId="2" fillId="0" borderId="2" xfId="16" applyNumberFormat="1" applyFont="1" applyFill="1" applyBorder="1" applyProtection="1">
      <protection locked="0"/>
    </xf>
    <xf numFmtId="5" fontId="2" fillId="0" borderId="2" xfId="16" applyNumberFormat="1" applyFont="1" applyFill="1" applyBorder="1" applyProtection="1"/>
    <xf numFmtId="174" fontId="7" fillId="0" borderId="0" xfId="16" applyNumberFormat="1" applyFont="1" applyFill="1" applyProtection="1">
      <protection locked="0"/>
    </xf>
    <xf numFmtId="167" fontId="2" fillId="0" borderId="9" xfId="16" applyNumberFormat="1" applyBorder="1"/>
    <xf numFmtId="37" fontId="2" fillId="0" borderId="13" xfId="16" applyNumberFormat="1" applyFont="1" applyFill="1" applyBorder="1" applyProtection="1"/>
    <xf numFmtId="173" fontId="5" fillId="0" borderId="0" xfId="16" applyNumberFormat="1" applyFont="1" applyFill="1" applyProtection="1"/>
    <xf numFmtId="164" fontId="5" fillId="0" borderId="0" xfId="16" applyNumberFormat="1" applyFont="1" applyFill="1" applyBorder="1"/>
    <xf numFmtId="164" fontId="5" fillId="0" borderId="0" xfId="16" applyNumberFormat="1" applyFont="1" applyFill="1"/>
    <xf numFmtId="0" fontId="21" fillId="0" borderId="0" xfId="18" applyFont="1"/>
    <xf numFmtId="0" fontId="20" fillId="0" borderId="0" xfId="18" applyFill="1"/>
    <xf numFmtId="0" fontId="20" fillId="0" borderId="0" xfId="18" applyBorder="1"/>
    <xf numFmtId="164" fontId="7" fillId="0" borderId="0" xfId="16" applyNumberFormat="1" applyFont="1" applyFill="1" applyProtection="1">
      <protection locked="0"/>
    </xf>
    <xf numFmtId="179" fontId="7" fillId="0" borderId="0" xfId="16" applyNumberFormat="1" applyFont="1" applyFill="1" applyProtection="1">
      <protection locked="0"/>
    </xf>
    <xf numFmtId="167" fontId="5" fillId="0" borderId="9" xfId="16" applyNumberFormat="1" applyFont="1" applyBorder="1"/>
    <xf numFmtId="167" fontId="2" fillId="0" borderId="0" xfId="21" applyNumberFormat="1" applyFont="1" applyFill="1"/>
    <xf numFmtId="37" fontId="2" fillId="0" borderId="10" xfId="16" applyNumberFormat="1" applyFill="1" applyBorder="1" applyProtection="1"/>
    <xf numFmtId="37" fontId="2" fillId="0" borderId="14" xfId="16" applyNumberFormat="1" applyFont="1" applyFill="1" applyBorder="1" applyProtection="1"/>
    <xf numFmtId="164" fontId="7" fillId="0" borderId="10" xfId="16" applyNumberFormat="1" applyFont="1" applyFill="1" applyBorder="1"/>
    <xf numFmtId="170" fontId="2" fillId="0" borderId="9" xfId="16" applyNumberFormat="1" applyFill="1" applyBorder="1" applyProtection="1"/>
    <xf numFmtId="7" fontId="7" fillId="0" borderId="0" xfId="16" applyNumberFormat="1" applyFont="1" applyFill="1" applyBorder="1" applyProtection="1"/>
    <xf numFmtId="5" fontId="2" fillId="0" borderId="1" xfId="16" applyNumberFormat="1" applyFill="1" applyBorder="1" applyProtection="1"/>
    <xf numFmtId="164" fontId="2" fillId="0" borderId="10" xfId="16" applyNumberFormat="1" applyFill="1" applyBorder="1"/>
    <xf numFmtId="37" fontId="2" fillId="0" borderId="0" xfId="16" applyNumberFormat="1" applyFill="1" applyBorder="1" applyProtection="1"/>
    <xf numFmtId="164" fontId="7" fillId="0" borderId="0" xfId="16" applyNumberFormat="1" applyFont="1"/>
    <xf numFmtId="5" fontId="7" fillId="0" borderId="0" xfId="16" applyNumberFormat="1" applyFont="1" applyFill="1" applyBorder="1" applyProtection="1"/>
    <xf numFmtId="5" fontId="7" fillId="0" borderId="0" xfId="16" applyNumberFormat="1" applyFont="1" applyFill="1" applyProtection="1"/>
    <xf numFmtId="180" fontId="7" fillId="0" borderId="0" xfId="16" applyNumberFormat="1" applyFont="1"/>
    <xf numFmtId="180" fontId="7" fillId="0" borderId="0" xfId="16" applyNumberFormat="1" applyFont="1" applyFill="1"/>
    <xf numFmtId="37" fontId="7" fillId="0" borderId="10" xfId="16" applyNumberFormat="1" applyFont="1" applyFill="1" applyBorder="1" applyProtection="1"/>
    <xf numFmtId="5" fontId="7" fillId="0" borderId="10" xfId="16" applyNumberFormat="1" applyFont="1" applyFill="1" applyBorder="1" applyProtection="1"/>
    <xf numFmtId="37" fontId="7" fillId="0" borderId="13" xfId="16" applyNumberFormat="1" applyFont="1" applyFill="1" applyBorder="1" applyProtection="1">
      <protection locked="0"/>
    </xf>
    <xf numFmtId="0" fontId="7" fillId="0" borderId="0" xfId="0" applyFont="1"/>
    <xf numFmtId="37" fontId="7" fillId="0" borderId="10" xfId="16" applyNumberFormat="1" applyFont="1" applyFill="1" applyBorder="1" applyProtection="1">
      <protection locked="0"/>
    </xf>
    <xf numFmtId="170" fontId="7" fillId="0" borderId="13" xfId="1" applyNumberFormat="1" applyFont="1" applyFill="1" applyBorder="1"/>
    <xf numFmtId="170" fontId="7" fillId="0" borderId="0" xfId="1" applyNumberFormat="1" applyFont="1" applyFill="1" applyBorder="1"/>
    <xf numFmtId="10" fontId="7" fillId="0" borderId="0" xfId="16" applyNumberFormat="1" applyFont="1"/>
    <xf numFmtId="10" fontId="7" fillId="0" borderId="0" xfId="21" applyNumberFormat="1" applyFont="1" applyFill="1" applyBorder="1"/>
    <xf numFmtId="164" fontId="22" fillId="0" borderId="0" xfId="16" applyNumberFormat="1" applyFont="1" applyFill="1" applyAlignment="1">
      <alignment horizontal="left"/>
    </xf>
    <xf numFmtId="167" fontId="2" fillId="0" borderId="5" xfId="16" applyNumberFormat="1" applyBorder="1"/>
    <xf numFmtId="178" fontId="7" fillId="0" borderId="0" xfId="1" applyNumberFormat="1" applyFont="1" applyFill="1" applyBorder="1" applyProtection="1">
      <protection locked="0"/>
    </xf>
    <xf numFmtId="0" fontId="7" fillId="0" borderId="0" xfId="0" applyFont="1" applyBorder="1"/>
    <xf numFmtId="49" fontId="15" fillId="0" borderId="0" xfId="16" applyNumberFormat="1" applyFont="1" applyFill="1"/>
    <xf numFmtId="7" fontId="7" fillId="0" borderId="1" xfId="16" applyNumberFormat="1" applyFont="1" applyFill="1" applyBorder="1" applyProtection="1">
      <protection locked="0"/>
    </xf>
    <xf numFmtId="5" fontId="7" fillId="0" borderId="1" xfId="16" applyNumberFormat="1" applyFont="1" applyFill="1" applyBorder="1" applyProtection="1"/>
    <xf numFmtId="178" fontId="7" fillId="0" borderId="0" xfId="1" applyNumberFormat="1" applyFont="1"/>
    <xf numFmtId="37" fontId="7" fillId="0" borderId="0" xfId="16" applyNumberFormat="1" applyFont="1" applyFill="1" applyBorder="1" applyProtection="1">
      <protection locked="0"/>
    </xf>
    <xf numFmtId="181" fontId="7" fillId="0" borderId="0" xfId="16" applyNumberFormat="1" applyFont="1" applyFill="1" applyProtection="1"/>
    <xf numFmtId="37" fontId="7" fillId="0" borderId="13" xfId="16" applyNumberFormat="1" applyFont="1" applyFill="1" applyBorder="1" applyProtection="1"/>
    <xf numFmtId="5" fontId="7" fillId="0" borderId="13" xfId="16" applyNumberFormat="1" applyFont="1" applyFill="1" applyBorder="1" applyProtection="1"/>
    <xf numFmtId="37" fontId="7" fillId="0" borderId="1" xfId="16" applyNumberFormat="1" applyFont="1" applyFill="1" applyBorder="1" applyProtection="1"/>
    <xf numFmtId="164" fontId="23" fillId="0" borderId="0" xfId="16" applyNumberFormat="1" applyFont="1" applyFill="1" applyAlignment="1">
      <alignment horizontal="left"/>
    </xf>
    <xf numFmtId="178" fontId="7" fillId="0" borderId="0" xfId="1" applyNumberFormat="1" applyFont="1" applyFill="1" applyProtection="1">
      <protection locked="0"/>
    </xf>
    <xf numFmtId="178" fontId="5" fillId="0" borderId="0" xfId="1" applyNumberFormat="1" applyFont="1" applyFill="1" applyBorder="1" applyProtection="1">
      <protection locked="0"/>
    </xf>
    <xf numFmtId="178" fontId="2" fillId="0" borderId="0" xfId="1" applyNumberFormat="1" applyFont="1" applyFill="1" applyBorder="1" applyProtection="1">
      <protection locked="0"/>
    </xf>
    <xf numFmtId="9" fontId="2" fillId="0" borderId="0" xfId="21" applyNumberFormat="1" applyFont="1"/>
    <xf numFmtId="9" fontId="2" fillId="0" borderId="0" xfId="16" applyNumberFormat="1"/>
    <xf numFmtId="180" fontId="9" fillId="0" borderId="0" xfId="21" applyNumberFormat="1" applyFont="1" applyBorder="1"/>
    <xf numFmtId="7" fontId="9" fillId="0" borderId="0" xfId="16" applyNumberFormat="1" applyFont="1" applyFill="1" applyProtection="1">
      <protection locked="0"/>
    </xf>
    <xf numFmtId="7" fontId="8" fillId="0" borderId="0" xfId="16" applyNumberFormat="1" applyFont="1" applyFill="1" applyProtection="1">
      <protection locked="0"/>
    </xf>
    <xf numFmtId="164" fontId="18" fillId="3" borderId="3" xfId="16" applyNumberFormat="1" applyFont="1" applyFill="1" applyBorder="1"/>
    <xf numFmtId="164" fontId="18" fillId="3" borderId="5" xfId="16" applyNumberFormat="1" applyFont="1" applyFill="1" applyBorder="1"/>
    <xf numFmtId="182" fontId="2" fillId="0" borderId="12" xfId="16" applyNumberFormat="1" applyFill="1" applyBorder="1" applyProtection="1"/>
    <xf numFmtId="182" fontId="2" fillId="0" borderId="7" xfId="16" applyNumberFormat="1" applyFill="1" applyBorder="1" applyProtection="1"/>
    <xf numFmtId="9" fontId="2" fillId="0" borderId="0" xfId="21" applyNumberFormat="1" applyFont="1" applyProtection="1"/>
    <xf numFmtId="169" fontId="7" fillId="0" borderId="0" xfId="16" applyNumberFormat="1" applyFont="1" applyFill="1" applyProtection="1">
      <protection locked="0"/>
    </xf>
    <xf numFmtId="169" fontId="5" fillId="0" borderId="0" xfId="16" applyNumberFormat="1" applyFont="1" applyFill="1" applyBorder="1" applyProtection="1">
      <protection locked="0"/>
    </xf>
    <xf numFmtId="169" fontId="7" fillId="0" borderId="0" xfId="16" applyNumberFormat="1" applyFont="1" applyFill="1" applyProtection="1"/>
    <xf numFmtId="169" fontId="2" fillId="0" borderId="0" xfId="16" applyNumberFormat="1" applyFill="1" applyBorder="1" applyProtection="1"/>
    <xf numFmtId="169" fontId="2" fillId="0" borderId="0" xfId="16" applyNumberFormat="1" applyFont="1" applyFill="1" applyProtection="1">
      <protection locked="0"/>
    </xf>
    <xf numFmtId="10" fontId="5" fillId="0" borderId="0" xfId="16" applyNumberFormat="1" applyFont="1" applyBorder="1"/>
    <xf numFmtId="37" fontId="5" fillId="0" borderId="10" xfId="16" applyNumberFormat="1" applyFont="1" applyFill="1" applyBorder="1" applyProtection="1">
      <protection locked="0"/>
    </xf>
    <xf numFmtId="37" fontId="5" fillId="0" borderId="13" xfId="16" applyNumberFormat="1" applyFont="1" applyFill="1" applyBorder="1" applyProtection="1">
      <protection locked="0"/>
    </xf>
    <xf numFmtId="167" fontId="2" fillId="0" borderId="0" xfId="16" applyNumberFormat="1"/>
    <xf numFmtId="37" fontId="5" fillId="0" borderId="1" xfId="16" applyNumberFormat="1" applyFont="1" applyFill="1" applyBorder="1" applyProtection="1"/>
    <xf numFmtId="37" fontId="2" fillId="0" borderId="1" xfId="16" applyNumberFormat="1" applyFill="1" applyBorder="1" applyProtection="1"/>
    <xf numFmtId="177" fontId="7" fillId="0" borderId="1" xfId="16" applyNumberFormat="1" applyFont="1" applyFill="1" applyBorder="1" applyProtection="1"/>
    <xf numFmtId="177" fontId="2" fillId="0" borderId="1" xfId="16" applyNumberFormat="1" applyFill="1" applyBorder="1" applyProtection="1"/>
    <xf numFmtId="5" fontId="2" fillId="0" borderId="0" xfId="16" applyNumberFormat="1" applyFont="1" applyFill="1" applyProtection="1">
      <protection locked="0"/>
    </xf>
    <xf numFmtId="5" fontId="5" fillId="0" borderId="0" xfId="16" applyNumberFormat="1" applyFont="1" applyFill="1" applyProtection="1">
      <protection locked="0"/>
    </xf>
    <xf numFmtId="164" fontId="7" fillId="0" borderId="0" xfId="16" applyNumberFormat="1" applyFont="1" applyFill="1" applyProtection="1"/>
    <xf numFmtId="164" fontId="2" fillId="0" borderId="0" xfId="16" applyNumberFormat="1" applyFill="1" applyBorder="1" applyProtection="1"/>
    <xf numFmtId="164" fontId="2" fillId="0" borderId="0" xfId="16" applyNumberFormat="1" applyFill="1" applyProtection="1"/>
    <xf numFmtId="5" fontId="5" fillId="0" borderId="1" xfId="16" applyNumberFormat="1" applyFont="1" applyFill="1" applyBorder="1" applyProtection="1">
      <protection locked="0"/>
    </xf>
    <xf numFmtId="5" fontId="2" fillId="0" borderId="10" xfId="16" applyNumberFormat="1" applyFont="1" applyFill="1" applyBorder="1" applyProtection="1"/>
    <xf numFmtId="173" fontId="2" fillId="0" borderId="0" xfId="16" applyNumberFormat="1" applyFont="1" applyFill="1" applyProtection="1"/>
    <xf numFmtId="5" fontId="2" fillId="0" borderId="13" xfId="16" applyNumberFormat="1" applyFont="1" applyFill="1" applyBorder="1" applyProtection="1"/>
    <xf numFmtId="164" fontId="15" fillId="0" borderId="0" xfId="16" applyNumberFormat="1" applyFont="1" applyFill="1" applyBorder="1" applyAlignment="1">
      <alignment horizontal="left"/>
    </xf>
    <xf numFmtId="178" fontId="7" fillId="0" borderId="0" xfId="1" applyNumberFormat="1" applyFont="1" applyFill="1" applyProtection="1"/>
    <xf numFmtId="178" fontId="5" fillId="0" borderId="0" xfId="1" applyNumberFormat="1" applyFont="1" applyFill="1" applyBorder="1" applyProtection="1"/>
    <xf numFmtId="5" fontId="5" fillId="0" borderId="1" xfId="16" applyNumberFormat="1" applyFont="1" applyFill="1" applyBorder="1" applyProtection="1"/>
    <xf numFmtId="178" fontId="5" fillId="0" borderId="0" xfId="1" applyNumberFormat="1" applyFont="1" applyFill="1" applyProtection="1"/>
    <xf numFmtId="37" fontId="2" fillId="0" borderId="15" xfId="16" applyNumberFormat="1" applyFill="1" applyBorder="1" applyProtection="1"/>
    <xf numFmtId="173" fontId="7" fillId="0" borderId="2" xfId="16" applyNumberFormat="1" applyFont="1" applyFill="1" applyBorder="1" applyProtection="1"/>
    <xf numFmtId="5" fontId="2" fillId="0" borderId="15" xfId="16" applyNumberFormat="1" applyFill="1" applyBorder="1" applyProtection="1"/>
    <xf numFmtId="173" fontId="2" fillId="0" borderId="2" xfId="16" applyNumberFormat="1" applyFill="1" applyBorder="1" applyProtection="1"/>
    <xf numFmtId="164" fontId="5" fillId="0" borderId="0" xfId="16" applyNumberFormat="1" applyFont="1" applyFill="1" applyBorder="1" applyProtection="1">
      <protection locked="0"/>
    </xf>
    <xf numFmtId="164" fontId="7" fillId="0" borderId="0" xfId="16" applyNumberFormat="1" applyFont="1" applyFill="1" applyBorder="1" applyProtection="1">
      <protection locked="0"/>
    </xf>
    <xf numFmtId="5" fontId="5" fillId="0" borderId="0" xfId="16" applyNumberFormat="1" applyFont="1" applyFill="1" applyBorder="1" applyProtection="1">
      <protection locked="0"/>
    </xf>
    <xf numFmtId="37" fontId="2" fillId="0" borderId="1" xfId="16" applyNumberFormat="1" applyFont="1" applyFill="1" applyBorder="1" applyProtection="1"/>
    <xf numFmtId="169" fontId="5" fillId="0" borderId="0" xfId="16" applyNumberFormat="1" applyFont="1" applyFill="1" applyProtection="1">
      <protection locked="0"/>
    </xf>
    <xf numFmtId="173" fontId="5" fillId="0" borderId="0" xfId="16" applyNumberFormat="1" applyFont="1" applyFill="1" applyBorder="1" applyProtection="1">
      <protection locked="0"/>
    </xf>
    <xf numFmtId="37" fontId="2" fillId="0" borderId="10" xfId="16" applyNumberFormat="1" applyFont="1" applyFill="1" applyBorder="1" applyProtection="1">
      <protection locked="0"/>
    </xf>
    <xf numFmtId="173" fontId="7" fillId="0" borderId="0" xfId="16" applyNumberFormat="1" applyFont="1" applyFill="1" applyBorder="1" applyProtection="1"/>
    <xf numFmtId="7" fontId="7" fillId="0" borderId="10" xfId="16" applyNumberFormat="1" applyFont="1" applyFill="1" applyBorder="1" applyProtection="1">
      <protection locked="0"/>
    </xf>
    <xf numFmtId="170" fontId="2" fillId="0" borderId="0" xfId="1" applyNumberFormat="1" applyFont="1" applyFill="1" applyBorder="1"/>
    <xf numFmtId="37" fontId="2" fillId="0" borderId="13" xfId="16" applyNumberFormat="1" applyFont="1" applyFill="1" applyBorder="1" applyProtection="1">
      <protection locked="0"/>
    </xf>
    <xf numFmtId="37" fontId="2" fillId="0" borderId="0" xfId="16" applyNumberFormat="1" applyFont="1" applyFill="1" applyProtection="1">
      <protection locked="0"/>
    </xf>
    <xf numFmtId="170" fontId="2" fillId="0" borderId="13" xfId="1" applyNumberFormat="1" applyFont="1" applyFill="1" applyBorder="1"/>
    <xf numFmtId="173" fontId="2" fillId="0" borderId="0" xfId="16" applyNumberFormat="1" applyProtection="1"/>
    <xf numFmtId="5" fontId="2" fillId="0" borderId="0" xfId="16" applyNumberFormat="1" applyProtection="1"/>
    <xf numFmtId="173" fontId="7" fillId="0" borderId="1" xfId="16" applyNumberFormat="1" applyFont="1" applyFill="1" applyBorder="1" applyProtection="1"/>
    <xf numFmtId="173" fontId="2" fillId="0" borderId="1" xfId="16" applyNumberFormat="1" applyFill="1" applyBorder="1" applyProtection="1"/>
    <xf numFmtId="3" fontId="25" fillId="0" borderId="0" xfId="14" applyNumberFormat="1" applyFont="1" applyAlignment="1">
      <alignment horizontal="centerContinuous"/>
    </xf>
    <xf numFmtId="0" fontId="26" fillId="0" borderId="0" xfId="14" applyFont="1" applyAlignment="1">
      <alignment horizontal="centerContinuous"/>
    </xf>
    <xf numFmtId="168" fontId="26" fillId="0" borderId="0" xfId="14" applyNumberFormat="1" applyFont="1" applyAlignment="1">
      <alignment horizontal="centerContinuous"/>
    </xf>
    <xf numFmtId="7" fontId="26" fillId="0" borderId="0" xfId="14" applyNumberFormat="1" applyFont="1" applyAlignment="1">
      <alignment horizontal="centerContinuous"/>
    </xf>
    <xf numFmtId="0" fontId="26" fillId="0" borderId="0" xfId="14" applyFont="1" applyBorder="1" applyAlignment="1">
      <alignment horizontal="centerContinuous"/>
    </xf>
    <xf numFmtId="0" fontId="26" fillId="0" borderId="0" xfId="14" applyFont="1" applyBorder="1"/>
    <xf numFmtId="164" fontId="3" fillId="0" borderId="0" xfId="16" applyFont="1" applyFill="1" applyBorder="1" applyAlignment="1">
      <alignment horizontal="right"/>
    </xf>
    <xf numFmtId="0" fontId="26" fillId="0" borderId="0" xfId="14" applyFont="1"/>
    <xf numFmtId="10" fontId="3" fillId="0" borderId="0" xfId="16" applyNumberFormat="1" applyFont="1" applyBorder="1" applyAlignment="1">
      <alignment horizontal="right"/>
    </xf>
    <xf numFmtId="164" fontId="3" fillId="0" borderId="0" xfId="16" applyFont="1" applyFill="1" applyBorder="1"/>
    <xf numFmtId="3" fontId="26" fillId="0" borderId="0" xfId="14" applyNumberFormat="1" applyFont="1" applyAlignment="1">
      <alignment horizontal="centerContinuous"/>
    </xf>
    <xf numFmtId="3" fontId="27" fillId="0" borderId="0" xfId="14" applyNumberFormat="1" applyFont="1" applyBorder="1" applyAlignment="1">
      <alignment horizontal="left"/>
    </xf>
    <xf numFmtId="168" fontId="26" fillId="0" borderId="0" xfId="14" applyNumberFormat="1" applyFont="1" applyBorder="1"/>
    <xf numFmtId="0" fontId="28" fillId="0" borderId="0" xfId="14" applyFont="1" applyBorder="1" applyAlignment="1">
      <alignment horizontal="centerContinuous"/>
    </xf>
    <xf numFmtId="168" fontId="28" fillId="0" borderId="0" xfId="14" applyNumberFormat="1" applyFont="1" applyBorder="1" applyAlignment="1">
      <alignment horizontal="centerContinuous"/>
    </xf>
    <xf numFmtId="0" fontId="28" fillId="0" borderId="0" xfId="14" applyFont="1" applyAlignment="1">
      <alignment horizontal="centerContinuous"/>
    </xf>
    <xf numFmtId="168" fontId="28" fillId="0" borderId="0" xfId="14" applyNumberFormat="1" applyFont="1" applyAlignment="1">
      <alignment horizontal="centerContinuous"/>
    </xf>
    <xf numFmtId="3" fontId="26" fillId="0" borderId="0" xfId="14" applyNumberFormat="1" applyFont="1"/>
    <xf numFmtId="168" fontId="28" fillId="0" borderId="1" xfId="14" applyNumberFormat="1" applyFont="1" applyBorder="1" applyAlignment="1">
      <alignment horizontal="centerContinuous"/>
    </xf>
    <xf numFmtId="0" fontId="26" fillId="0" borderId="1" xfId="14" applyFont="1" applyBorder="1" applyAlignment="1">
      <alignment horizontal="centerContinuous"/>
    </xf>
    <xf numFmtId="168" fontId="26" fillId="0" borderId="1" xfId="14" applyNumberFormat="1" applyFont="1" applyBorder="1" applyAlignment="1">
      <alignment horizontal="centerContinuous"/>
    </xf>
    <xf numFmtId="7" fontId="28" fillId="0" borderId="1" xfId="14" applyNumberFormat="1" applyFont="1" applyBorder="1" applyAlignment="1">
      <alignment horizontal="centerContinuous"/>
    </xf>
    <xf numFmtId="168" fontId="28" fillId="0" borderId="4" xfId="14" applyNumberFormat="1" applyFont="1" applyBorder="1" applyAlignment="1">
      <alignment horizontal="centerContinuous"/>
    </xf>
    <xf numFmtId="0" fontId="4" fillId="0" borderId="4" xfId="14" applyBorder="1" applyAlignment="1">
      <alignment horizontal="centerContinuous"/>
    </xf>
    <xf numFmtId="168" fontId="26" fillId="0" borderId="4" xfId="14" applyNumberFormat="1" applyFont="1" applyBorder="1" applyAlignment="1">
      <alignment horizontal="centerContinuous"/>
    </xf>
    <xf numFmtId="0" fontId="26" fillId="0" borderId="4" xfId="14" applyFont="1" applyBorder="1" applyAlignment="1">
      <alignment horizontal="centerContinuous"/>
    </xf>
    <xf numFmtId="7" fontId="26" fillId="0" borderId="4" xfId="14" applyNumberFormat="1" applyFont="1" applyBorder="1" applyAlignment="1">
      <alignment horizontal="centerContinuous"/>
    </xf>
    <xf numFmtId="0" fontId="4" fillId="0" borderId="1" xfId="14" applyBorder="1" applyAlignment="1">
      <alignment horizontal="centerContinuous"/>
    </xf>
    <xf numFmtId="7" fontId="26" fillId="0" borderId="1" xfId="14" applyNumberFormat="1" applyFont="1" applyBorder="1" applyAlignment="1">
      <alignment horizontal="centerContinuous"/>
    </xf>
    <xf numFmtId="7" fontId="26" fillId="0" borderId="0" xfId="14" applyNumberFormat="1" applyFont="1"/>
    <xf numFmtId="3" fontId="30" fillId="0" borderId="0" xfId="14" applyNumberFormat="1" applyFont="1" applyAlignment="1">
      <alignment horizontal="center"/>
    </xf>
    <xf numFmtId="168" fontId="26" fillId="0" borderId="1" xfId="14" applyNumberFormat="1" applyFont="1" applyBorder="1" applyAlignment="1">
      <alignment horizontal="centerContinuous" wrapText="1"/>
    </xf>
    <xf numFmtId="0" fontId="26" fillId="0" borderId="1" xfId="14" applyFont="1" applyBorder="1"/>
    <xf numFmtId="7" fontId="26" fillId="0" borderId="1" xfId="14" applyNumberFormat="1" applyFont="1" applyBorder="1" applyAlignment="1">
      <alignment horizontal="center"/>
    </xf>
    <xf numFmtId="0" fontId="26" fillId="0" borderId="0" xfId="14" applyFont="1" applyAlignment="1">
      <alignment horizontal="center"/>
    </xf>
    <xf numFmtId="168" fontId="26" fillId="0" borderId="0" xfId="14" applyNumberFormat="1" applyFont="1"/>
    <xf numFmtId="7" fontId="26" fillId="0" borderId="0" xfId="21" applyNumberFormat="1" applyFont="1"/>
    <xf numFmtId="167" fontId="26" fillId="0" borderId="0" xfId="21" applyNumberFormat="1" applyFont="1"/>
    <xf numFmtId="0" fontId="28" fillId="0" borderId="3" xfId="14" applyFont="1" applyBorder="1"/>
    <xf numFmtId="0" fontId="28" fillId="0" borderId="4" xfId="14" applyFont="1" applyBorder="1" applyAlignment="1">
      <alignment horizontal="center"/>
    </xf>
    <xf numFmtId="0" fontId="28" fillId="0" borderId="5" xfId="14" applyFont="1" applyBorder="1" applyAlignment="1">
      <alignment horizontal="center"/>
    </xf>
    <xf numFmtId="39" fontId="26" fillId="0" borderId="0" xfId="14" applyNumberFormat="1" applyFont="1"/>
    <xf numFmtId="0" fontId="32" fillId="0" borderId="6" xfId="14" applyFont="1" applyBorder="1"/>
    <xf numFmtId="0" fontId="26" fillId="0" borderId="7" xfId="14" applyFont="1" applyBorder="1"/>
    <xf numFmtId="0" fontId="26" fillId="0" borderId="6" xfId="14" applyFont="1" applyBorder="1"/>
    <xf numFmtId="7" fontId="33" fillId="0" borderId="0" xfId="14" applyNumberFormat="1" applyFont="1" applyBorder="1"/>
    <xf numFmtId="7" fontId="33" fillId="0" borderId="7" xfId="14" applyNumberFormat="1" applyFont="1" applyBorder="1"/>
    <xf numFmtId="174" fontId="33" fillId="0" borderId="0" xfId="14" applyNumberFormat="1" applyFont="1" applyBorder="1"/>
    <xf numFmtId="174" fontId="33" fillId="0" borderId="7" xfId="14" applyNumberFormat="1" applyFont="1" applyBorder="1"/>
    <xf numFmtId="10" fontId="33" fillId="0" borderId="0" xfId="21" applyNumberFormat="1" applyFont="1" applyBorder="1"/>
    <xf numFmtId="10" fontId="33" fillId="0" borderId="7" xfId="21" applyNumberFormat="1" applyFont="1" applyBorder="1"/>
    <xf numFmtId="7" fontId="26" fillId="0" borderId="0" xfId="14" applyNumberFormat="1" applyFont="1" applyBorder="1"/>
    <xf numFmtId="7" fontId="26" fillId="0" borderId="7" xfId="14" applyNumberFormat="1" applyFont="1" applyBorder="1"/>
    <xf numFmtId="179" fontId="26" fillId="0" borderId="0" xfId="14" applyNumberFormat="1" applyFont="1" applyBorder="1"/>
    <xf numFmtId="179" fontId="26" fillId="0" borderId="7" xfId="14" applyNumberFormat="1" applyFont="1" applyBorder="1"/>
    <xf numFmtId="0" fontId="26" fillId="0" borderId="8" xfId="14" applyFont="1" applyBorder="1"/>
    <xf numFmtId="10" fontId="26" fillId="0" borderId="1" xfId="21" applyNumberFormat="1" applyFont="1" applyBorder="1"/>
    <xf numFmtId="10" fontId="26" fillId="0" borderId="9" xfId="21" applyNumberFormat="1" applyFont="1" applyBorder="1"/>
    <xf numFmtId="10" fontId="26" fillId="0" borderId="0" xfId="14" applyNumberFormat="1" applyFont="1" applyBorder="1"/>
    <xf numFmtId="10" fontId="26" fillId="0" borderId="0" xfId="14" applyNumberFormat="1" applyFont="1"/>
    <xf numFmtId="9" fontId="26" fillId="0" borderId="0" xfId="14" applyNumberFormat="1" applyFont="1"/>
    <xf numFmtId="0" fontId="26" fillId="0" borderId="0" xfId="14" applyFont="1" applyBorder="1" applyAlignment="1">
      <alignment horizontal="right"/>
    </xf>
    <xf numFmtId="3" fontId="34" fillId="0" borderId="0" xfId="14" applyNumberFormat="1" applyFont="1"/>
    <xf numFmtId="39" fontId="26" fillId="0" borderId="0" xfId="14" applyNumberFormat="1" applyFont="1" applyBorder="1"/>
    <xf numFmtId="0" fontId="26" fillId="0" borderId="11" xfId="14" applyFont="1" applyBorder="1" applyAlignment="1">
      <alignment horizontal="centerContinuous"/>
    </xf>
    <xf numFmtId="0" fontId="26" fillId="0" borderId="16" xfId="14" applyFont="1" applyBorder="1" applyAlignment="1">
      <alignment horizontal="centerContinuous"/>
    </xf>
    <xf numFmtId="0" fontId="26" fillId="0" borderId="3" xfId="14" applyFont="1" applyBorder="1" applyAlignment="1">
      <alignment horizontal="centerContinuous"/>
    </xf>
    <xf numFmtId="0" fontId="26" fillId="0" borderId="5" xfId="14" applyFont="1" applyBorder="1" applyAlignment="1">
      <alignment horizontal="centerContinuous"/>
    </xf>
    <xf numFmtId="0" fontId="26" fillId="0" borderId="17" xfId="14" applyFont="1" applyBorder="1" applyAlignment="1">
      <alignment horizontal="centerContinuous"/>
    </xf>
    <xf numFmtId="0" fontId="26" fillId="0" borderId="3" xfId="14" applyFont="1" applyBorder="1" applyAlignment="1">
      <alignment horizontal="center"/>
    </xf>
    <xf numFmtId="0" fontId="26" fillId="0" borderId="8" xfId="14" applyFont="1" applyBorder="1" applyAlignment="1">
      <alignment horizontal="center"/>
    </xf>
    <xf numFmtId="0" fontId="26" fillId="0" borderId="18" xfId="14" applyFont="1" applyBorder="1" applyAlignment="1">
      <alignment horizontal="center"/>
    </xf>
    <xf numFmtId="0" fontId="26" fillId="0" borderId="17" xfId="14" applyFont="1" applyBorder="1" applyAlignment="1">
      <alignment horizontal="center"/>
    </xf>
    <xf numFmtId="10" fontId="33" fillId="0" borderId="0" xfId="21" applyNumberFormat="1" applyFont="1"/>
    <xf numFmtId="0" fontId="26" fillId="0" borderId="19" xfId="14" applyFont="1" applyBorder="1"/>
    <xf numFmtId="1" fontId="26" fillId="0" borderId="0" xfId="14" applyNumberFormat="1" applyFont="1" applyBorder="1"/>
    <xf numFmtId="168" fontId="26" fillId="0" borderId="6" xfId="14" applyNumberFormat="1" applyFont="1" applyBorder="1"/>
    <xf numFmtId="167" fontId="26" fillId="0" borderId="19" xfId="21" applyNumberFormat="1" applyFont="1" applyBorder="1"/>
    <xf numFmtId="0" fontId="26" fillId="0" borderId="20" xfId="14" applyFont="1" applyBorder="1"/>
    <xf numFmtId="167" fontId="26" fillId="0" borderId="20" xfId="21" applyNumberFormat="1" applyFont="1" applyBorder="1"/>
    <xf numFmtId="2" fontId="26" fillId="0" borderId="20" xfId="14" applyNumberFormat="1" applyFont="1" applyBorder="1"/>
    <xf numFmtId="168" fontId="26" fillId="0" borderId="4" xfId="14" applyNumberFormat="1" applyFont="1" applyBorder="1" applyAlignment="1">
      <alignment horizontal="centerContinuous" wrapText="1"/>
    </xf>
    <xf numFmtId="0" fontId="26" fillId="0" borderId="1" xfId="14" applyFont="1" applyBorder="1" applyAlignment="1">
      <alignment horizontal="center"/>
    </xf>
    <xf numFmtId="0" fontId="26" fillId="0" borderId="18" xfId="14" applyFont="1" applyBorder="1"/>
    <xf numFmtId="3" fontId="26" fillId="0" borderId="1" xfId="14" applyNumberFormat="1" applyFont="1" applyBorder="1"/>
    <xf numFmtId="168" fontId="26" fillId="0" borderId="8" xfId="14" applyNumberFormat="1" applyFont="1" applyBorder="1"/>
    <xf numFmtId="167" fontId="26" fillId="0" borderId="18" xfId="21" applyNumberFormat="1" applyFont="1" applyBorder="1"/>
    <xf numFmtId="168" fontId="26" fillId="0" borderId="0" xfId="14" applyNumberFormat="1" applyFont="1" applyBorder="1" applyAlignment="1">
      <alignment horizontal="centerContinuous"/>
    </xf>
    <xf numFmtId="3" fontId="26" fillId="0" borderId="0" xfId="14" applyNumberFormat="1" applyFont="1" applyAlignment="1">
      <alignment horizontal="center"/>
    </xf>
    <xf numFmtId="3" fontId="30" fillId="0" borderId="0" xfId="14" applyNumberFormat="1" applyFont="1"/>
    <xf numFmtId="3" fontId="26" fillId="0" borderId="1" xfId="14" applyNumberFormat="1" applyFont="1" applyBorder="1" applyAlignment="1">
      <alignment horizontal="center"/>
    </xf>
    <xf numFmtId="3" fontId="26" fillId="0" borderId="0" xfId="14" applyNumberFormat="1" applyFont="1" applyAlignment="1">
      <alignment horizontal="right"/>
    </xf>
    <xf numFmtId="168" fontId="28" fillId="0" borderId="3" xfId="14" applyNumberFormat="1" applyFont="1" applyBorder="1" applyAlignment="1">
      <alignment horizontal="left"/>
    </xf>
    <xf numFmtId="0" fontId="28" fillId="0" borderId="4" xfId="14" applyFont="1" applyBorder="1"/>
    <xf numFmtId="0" fontId="28" fillId="0" borderId="5" xfId="14" applyFont="1" applyBorder="1"/>
    <xf numFmtId="0" fontId="28" fillId="0" borderId="0" xfId="14" applyFont="1" applyAlignment="1">
      <alignment horizontal="center"/>
    </xf>
    <xf numFmtId="0" fontId="32" fillId="0" borderId="6" xfId="14" applyFont="1" applyBorder="1" applyAlignment="1">
      <alignment horizontal="left"/>
    </xf>
    <xf numFmtId="0" fontId="4" fillId="0" borderId="0" xfId="14"/>
    <xf numFmtId="10" fontId="26" fillId="0" borderId="0" xfId="21" applyNumberFormat="1" applyFont="1"/>
    <xf numFmtId="0" fontId="33" fillId="0" borderId="0" xfId="14" applyFont="1" applyBorder="1"/>
    <xf numFmtId="0" fontId="33" fillId="0" borderId="7" xfId="14" applyFont="1" applyBorder="1"/>
    <xf numFmtId="179" fontId="33" fillId="0" borderId="0" xfId="14" applyNumberFormat="1" applyFont="1" applyBorder="1"/>
    <xf numFmtId="3" fontId="35" fillId="0" borderId="0" xfId="14" applyNumberFormat="1" applyFont="1"/>
    <xf numFmtId="7" fontId="36" fillId="0" borderId="7" xfId="14" applyNumberFormat="1" applyFont="1" applyBorder="1"/>
    <xf numFmtId="10" fontId="33" fillId="0" borderId="0" xfId="14" applyNumberFormat="1" applyFont="1" applyBorder="1"/>
    <xf numFmtId="10" fontId="33" fillId="0" borderId="7" xfId="14" applyNumberFormat="1" applyFont="1" applyBorder="1"/>
    <xf numFmtId="0" fontId="37" fillId="0" borderId="0" xfId="14" applyFont="1"/>
    <xf numFmtId="10" fontId="26" fillId="0" borderId="1" xfId="14" applyNumberFormat="1" applyFont="1" applyBorder="1"/>
    <xf numFmtId="10" fontId="26" fillId="0" borderId="9" xfId="14" applyNumberFormat="1" applyFont="1" applyBorder="1"/>
    <xf numFmtId="167" fontId="26" fillId="0" borderId="0" xfId="14" applyNumberFormat="1" applyFont="1"/>
    <xf numFmtId="3" fontId="38" fillId="0" borderId="0" xfId="14" applyNumberFormat="1" applyFont="1" applyAlignment="1">
      <alignment horizontal="left"/>
    </xf>
    <xf numFmtId="3" fontId="38" fillId="0" borderId="0" xfId="14" applyNumberFormat="1" applyFont="1" applyAlignment="1">
      <alignment horizontal="centerContinuous"/>
    </xf>
    <xf numFmtId="0" fontId="30" fillId="0" borderId="0" xfId="14" applyFont="1" applyAlignment="1">
      <alignment horizontal="centerContinuous"/>
    </xf>
    <xf numFmtId="168" fontId="30" fillId="0" borderId="0" xfId="14" applyNumberFormat="1" applyFont="1" applyAlignment="1">
      <alignment horizontal="centerContinuous"/>
    </xf>
    <xf numFmtId="0" fontId="26" fillId="0" borderId="0" xfId="14" applyFont="1" applyBorder="1" applyAlignment="1">
      <alignment horizontal="center"/>
    </xf>
    <xf numFmtId="5" fontId="26" fillId="0" borderId="0" xfId="14" applyNumberFormat="1" applyFont="1"/>
    <xf numFmtId="3" fontId="37" fillId="0" borderId="0" xfId="14" applyNumberFormat="1" applyFont="1" applyProtection="1">
      <protection locked="0" hidden="1"/>
    </xf>
    <xf numFmtId="10" fontId="36" fillId="0" borderId="7" xfId="14" applyNumberFormat="1" applyFont="1" applyBorder="1"/>
    <xf numFmtId="0" fontId="32" fillId="0" borderId="11" xfId="14" applyFont="1" applyBorder="1" applyAlignment="1">
      <alignment horizontal="left"/>
    </xf>
    <xf numFmtId="0" fontId="26" fillId="0" borderId="16" xfId="14" applyFont="1" applyBorder="1"/>
    <xf numFmtId="0" fontId="26" fillId="0" borderId="12" xfId="14" applyFont="1" applyBorder="1"/>
    <xf numFmtId="183" fontId="26" fillId="0" borderId="0" xfId="21" applyNumberFormat="1" applyFont="1"/>
    <xf numFmtId="3" fontId="37" fillId="0" borderId="0" xfId="14" applyNumberFormat="1" applyFont="1"/>
    <xf numFmtId="169" fontId="26" fillId="0" borderId="0" xfId="14" applyNumberFormat="1" applyFont="1"/>
    <xf numFmtId="182" fontId="26" fillId="0" borderId="0" xfId="14" applyNumberFormat="1" applyFont="1"/>
    <xf numFmtId="0" fontId="36" fillId="0" borderId="7" xfId="14" applyFont="1" applyBorder="1"/>
    <xf numFmtId="184" fontId="26" fillId="0" borderId="0" xfId="21" applyNumberFormat="1" applyFont="1"/>
    <xf numFmtId="0" fontId="4" fillId="0" borderId="1" xfId="14" applyFont="1" applyBorder="1" applyAlignment="1">
      <alignment horizontal="centerContinuous"/>
    </xf>
    <xf numFmtId="0" fontId="26" fillId="0" borderId="1" xfId="14" applyFont="1" applyBorder="1" applyAlignment="1">
      <alignment horizontal="center" wrapText="1"/>
    </xf>
    <xf numFmtId="0" fontId="26" fillId="0" borderId="0" xfId="19" applyFont="1"/>
    <xf numFmtId="37" fontId="26" fillId="0" borderId="0" xfId="19" applyNumberFormat="1" applyFont="1" applyProtection="1"/>
    <xf numFmtId="0" fontId="37" fillId="0" borderId="0" xfId="19" applyFont="1"/>
    <xf numFmtId="0" fontId="36" fillId="0" borderId="0" xfId="14" applyFont="1" applyBorder="1"/>
    <xf numFmtId="179" fontId="36" fillId="0" borderId="0" xfId="14" applyNumberFormat="1" applyFont="1" applyBorder="1"/>
    <xf numFmtId="3" fontId="12" fillId="0" borderId="0" xfId="8" applyNumberFormat="1" applyFont="1" applyAlignment="1">
      <alignment horizontal="left"/>
    </xf>
    <xf numFmtId="164" fontId="13" fillId="0" borderId="0" xfId="17" applyNumberFormat="1" applyFont="1" applyFill="1" applyAlignment="1">
      <alignment horizontal="centerContinuous"/>
    </xf>
    <xf numFmtId="164" fontId="40" fillId="0" borderId="0" xfId="17" applyNumberFormat="1" applyFont="1" applyFill="1" applyAlignment="1">
      <alignment horizontal="centerContinuous"/>
    </xf>
    <xf numFmtId="164" fontId="13" fillId="0" borderId="0" xfId="17" applyNumberFormat="1" applyFont="1" applyFill="1" applyBorder="1" applyAlignment="1">
      <alignment horizontal="centerContinuous"/>
    </xf>
    <xf numFmtId="164" fontId="14" fillId="0" borderId="0" xfId="17" applyNumberFormat="1" applyFont="1" applyFill="1" applyAlignment="1">
      <alignment horizontal="centerContinuous"/>
    </xf>
    <xf numFmtId="164" fontId="13" fillId="0" borderId="0" xfId="17" applyNumberFormat="1" applyFont="1" applyFill="1" applyBorder="1" applyAlignment="1">
      <alignment horizontal="center"/>
    </xf>
    <xf numFmtId="164" fontId="13" fillId="0" borderId="0" xfId="17" applyNumberFormat="1" applyFont="1" applyFill="1" applyAlignment="1">
      <alignment horizontal="center"/>
    </xf>
    <xf numFmtId="10" fontId="13" fillId="0" borderId="0" xfId="17" applyNumberFormat="1" applyFont="1" applyFill="1" applyAlignment="1">
      <alignment horizontal="center"/>
    </xf>
    <xf numFmtId="164" fontId="2" fillId="0" borderId="0" xfId="17" applyNumberFormat="1" applyFill="1"/>
    <xf numFmtId="164" fontId="2" fillId="0" borderId="0" xfId="17" applyNumberFormat="1"/>
    <xf numFmtId="164" fontId="15" fillId="0" borderId="0" xfId="17" applyNumberFormat="1" applyFont="1" applyFill="1" applyAlignment="1">
      <alignment horizontal="left"/>
    </xf>
    <xf numFmtId="164" fontId="3" fillId="0" borderId="0" xfId="17" applyNumberFormat="1" applyFont="1" applyFill="1" applyAlignment="1">
      <alignment horizontal="centerContinuous"/>
    </xf>
    <xf numFmtId="164" fontId="41" fillId="0" borderId="0" xfId="17" applyNumberFormat="1" applyFont="1" applyFill="1" applyAlignment="1">
      <alignment horizontal="centerContinuous"/>
    </xf>
    <xf numFmtId="164" fontId="3" fillId="0" borderId="0" xfId="17" applyNumberFormat="1" applyFont="1" applyFill="1" applyBorder="1" applyAlignment="1">
      <alignment horizontal="centerContinuous"/>
    </xf>
    <xf numFmtId="164" fontId="15" fillId="0" borderId="0" xfId="17" applyNumberFormat="1" applyFont="1" applyFill="1" applyAlignment="1">
      <alignment horizontal="centerContinuous"/>
    </xf>
    <xf numFmtId="164" fontId="3" fillId="0" borderId="0" xfId="17" applyNumberFormat="1" applyFont="1" applyFill="1" applyBorder="1" applyAlignment="1">
      <alignment horizontal="center"/>
    </xf>
    <xf numFmtId="164" fontId="3" fillId="0" borderId="0" xfId="17" applyNumberFormat="1" applyFont="1" applyFill="1" applyAlignment="1">
      <alignment horizontal="center"/>
    </xf>
    <xf numFmtId="10" fontId="3" fillId="0" borderId="0" xfId="17" applyNumberFormat="1" applyFont="1" applyFill="1" applyAlignment="1">
      <alignment horizontal="center"/>
    </xf>
    <xf numFmtId="164" fontId="7" fillId="0" borderId="0" xfId="17" applyNumberFormat="1" applyFont="1" applyFill="1"/>
    <xf numFmtId="37" fontId="8" fillId="0" borderId="0" xfId="17" applyNumberFormat="1" applyFont="1" applyFill="1" applyProtection="1"/>
    <xf numFmtId="164" fontId="2" fillId="0" borderId="0" xfId="17" applyNumberFormat="1" applyFill="1" applyBorder="1"/>
    <xf numFmtId="10" fontId="2" fillId="0" borderId="0" xfId="17" applyNumberFormat="1" applyFill="1"/>
    <xf numFmtId="37" fontId="41" fillId="0" borderId="0" xfId="17" applyNumberFormat="1" applyFont="1" applyFill="1" applyProtection="1"/>
    <xf numFmtId="37" fontId="41" fillId="0" borderId="0" xfId="17" applyNumberFormat="1" applyFont="1" applyFill="1" applyAlignment="1" applyProtection="1">
      <alignment horizontal="center"/>
    </xf>
    <xf numFmtId="164" fontId="15" fillId="0" borderId="0" xfId="17" applyNumberFormat="1" applyFont="1" applyFill="1" applyAlignment="1">
      <alignment horizontal="center"/>
    </xf>
    <xf numFmtId="37" fontId="41" fillId="0" borderId="0" xfId="17" applyNumberFormat="1" applyFont="1" applyFill="1" applyBorder="1" applyAlignment="1" applyProtection="1">
      <alignment horizontal="center"/>
    </xf>
    <xf numFmtId="10" fontId="3" fillId="0" borderId="0" xfId="17" applyNumberFormat="1" applyFont="1" applyFill="1" applyAlignment="1">
      <alignment horizontal="centerContinuous"/>
    </xf>
    <xf numFmtId="10" fontId="3" fillId="0" borderId="0" xfId="17" applyNumberFormat="1" applyFont="1" applyFill="1" applyBorder="1" applyAlignment="1">
      <alignment horizontal="centerContinuous"/>
    </xf>
    <xf numFmtId="37" fontId="41" fillId="0" borderId="1" xfId="17" quotePrefix="1" applyNumberFormat="1" applyFont="1" applyFill="1" applyBorder="1" applyAlignment="1" applyProtection="1">
      <alignment horizontal="center"/>
    </xf>
    <xf numFmtId="164" fontId="15" fillId="0" borderId="10" xfId="17" quotePrefix="1" applyNumberFormat="1" applyFont="1" applyFill="1" applyBorder="1" applyAlignment="1">
      <alignment horizontal="center"/>
    </xf>
    <xf numFmtId="164" fontId="3" fillId="0" borderId="10" xfId="17" applyNumberFormat="1" applyFont="1" applyFill="1" applyBorder="1" applyAlignment="1">
      <alignment horizontal="center"/>
    </xf>
    <xf numFmtId="10" fontId="3" fillId="0" borderId="10" xfId="17" applyNumberFormat="1" applyFont="1" applyFill="1" applyBorder="1" applyAlignment="1">
      <alignment horizontal="center"/>
    </xf>
    <xf numFmtId="164" fontId="3" fillId="0" borderId="0" xfId="17" applyNumberFormat="1" applyFont="1" applyAlignment="1">
      <alignment horizontal="centerContinuous"/>
    </xf>
    <xf numFmtId="164" fontId="7" fillId="0" borderId="0" xfId="17" applyNumberFormat="1" applyFont="1" applyFill="1" applyAlignment="1">
      <alignment horizontal="left"/>
    </xf>
    <xf numFmtId="37" fontId="8" fillId="0" borderId="0" xfId="17" applyNumberFormat="1" applyFont="1" applyFill="1" applyProtection="1">
      <protection locked="0"/>
    </xf>
    <xf numFmtId="7" fontId="7" fillId="0" borderId="0" xfId="17" applyNumberFormat="1" applyFont="1" applyFill="1" applyProtection="1">
      <protection locked="0"/>
    </xf>
    <xf numFmtId="7" fontId="5" fillId="0" borderId="0" xfId="17" applyNumberFormat="1" applyFont="1" applyFill="1" applyBorder="1" applyProtection="1">
      <protection locked="0"/>
    </xf>
    <xf numFmtId="5" fontId="2" fillId="0" borderId="0" xfId="17" applyNumberFormat="1" applyFill="1" applyProtection="1"/>
    <xf numFmtId="10" fontId="5" fillId="0" borderId="0" xfId="17" applyNumberFormat="1" applyFont="1" applyFill="1" applyProtection="1">
      <protection locked="0"/>
    </xf>
    <xf numFmtId="172" fontId="7" fillId="0" borderId="0" xfId="17" applyNumberFormat="1" applyFont="1" applyFill="1" applyProtection="1">
      <protection locked="0"/>
    </xf>
    <xf numFmtId="0" fontId="2" fillId="0" borderId="0" xfId="8" applyBorder="1"/>
    <xf numFmtId="10" fontId="2" fillId="0" borderId="0" xfId="17" applyNumberFormat="1"/>
    <xf numFmtId="164" fontId="2" fillId="0" borderId="3" xfId="17" applyNumberFormat="1" applyBorder="1" applyAlignment="1">
      <alignment horizontal="centerContinuous"/>
    </xf>
    <xf numFmtId="164" fontId="2" fillId="0" borderId="4" xfId="17" applyNumberFormat="1" applyBorder="1" applyAlignment="1">
      <alignment horizontal="centerContinuous"/>
    </xf>
    <xf numFmtId="164" fontId="2" fillId="0" borderId="5" xfId="17" applyNumberFormat="1" applyBorder="1" applyAlignment="1">
      <alignment horizontal="centerContinuous"/>
    </xf>
    <xf numFmtId="164" fontId="2" fillId="0" borderId="3" xfId="17" applyNumberFormat="1" applyBorder="1"/>
    <xf numFmtId="164" fontId="2" fillId="0" borderId="17" xfId="17" applyNumberFormat="1" applyBorder="1" applyAlignment="1">
      <alignment horizontal="center"/>
    </xf>
    <xf numFmtId="164" fontId="2" fillId="0" borderId="5" xfId="17" applyNumberFormat="1" applyBorder="1" applyAlignment="1">
      <alignment horizontal="center"/>
    </xf>
    <xf numFmtId="164" fontId="2" fillId="0" borderId="6" xfId="17" applyNumberFormat="1" applyBorder="1"/>
    <xf numFmtId="5" fontId="2" fillId="0" borderId="20" xfId="17" applyNumberFormat="1" applyFill="1" applyBorder="1" applyProtection="1"/>
    <xf numFmtId="5" fontId="2" fillId="0" borderId="7" xfId="17" applyNumberFormat="1" applyFill="1" applyBorder="1" applyProtection="1"/>
    <xf numFmtId="173" fontId="7" fillId="0" borderId="0" xfId="17" applyNumberFormat="1" applyFont="1" applyFill="1" applyProtection="1">
      <protection locked="0"/>
    </xf>
    <xf numFmtId="10" fontId="2" fillId="0" borderId="6" xfId="17" applyNumberFormat="1" applyBorder="1"/>
    <xf numFmtId="10" fontId="7" fillId="0" borderId="0" xfId="17" applyNumberFormat="1" applyFont="1" applyFill="1" applyProtection="1"/>
    <xf numFmtId="10" fontId="2" fillId="0" borderId="8" xfId="17" applyNumberFormat="1" applyBorder="1"/>
    <xf numFmtId="5" fontId="2" fillId="0" borderId="18" xfId="17" applyNumberFormat="1" applyFill="1" applyBorder="1" applyProtection="1"/>
    <xf numFmtId="5" fontId="2" fillId="0" borderId="9" xfId="17" applyNumberFormat="1" applyFill="1" applyBorder="1" applyProtection="1"/>
    <xf numFmtId="7" fontId="2" fillId="0" borderId="0" xfId="17" applyNumberFormat="1" applyFont="1" applyFill="1" applyBorder="1" applyProtection="1"/>
    <xf numFmtId="185" fontId="2" fillId="0" borderId="0" xfId="17" applyNumberFormat="1"/>
    <xf numFmtId="186" fontId="2" fillId="0" borderId="0" xfId="17" applyNumberFormat="1"/>
    <xf numFmtId="7" fontId="5" fillId="0" borderId="0" xfId="17" applyNumberFormat="1" applyFont="1" applyFill="1" applyBorder="1" applyProtection="1"/>
    <xf numFmtId="5" fontId="2" fillId="0" borderId="0" xfId="17" applyNumberFormat="1" applyFill="1" applyBorder="1" applyProtection="1"/>
    <xf numFmtId="164" fontId="7" fillId="0" borderId="0" xfId="17" applyNumberFormat="1" applyFont="1" applyFill="1" applyBorder="1" applyAlignment="1">
      <alignment horizontal="left"/>
    </xf>
    <xf numFmtId="37" fontId="8" fillId="0" borderId="0" xfId="17" applyNumberFormat="1" applyFont="1" applyFill="1" applyBorder="1" applyProtection="1"/>
    <xf numFmtId="10" fontId="7" fillId="0" borderId="0" xfId="17" applyNumberFormat="1" applyFont="1" applyFill="1" applyProtection="1">
      <protection locked="0"/>
    </xf>
    <xf numFmtId="37" fontId="8" fillId="0" borderId="10" xfId="17" applyNumberFormat="1" applyFont="1" applyFill="1" applyBorder="1" applyProtection="1"/>
    <xf numFmtId="5" fontId="5" fillId="0" borderId="10" xfId="17" applyNumberFormat="1" applyFont="1" applyFill="1" applyBorder="1" applyProtection="1"/>
    <xf numFmtId="37" fontId="8" fillId="0" borderId="2" xfId="17" applyNumberFormat="1" applyFont="1" applyFill="1" applyBorder="1" applyProtection="1"/>
    <xf numFmtId="164" fontId="7" fillId="0" borderId="2" xfId="17" applyNumberFormat="1" applyFont="1" applyFill="1" applyBorder="1"/>
    <xf numFmtId="5" fontId="2" fillId="0" borderId="2" xfId="17" applyNumberFormat="1" applyFill="1" applyBorder="1" applyProtection="1"/>
    <xf numFmtId="10" fontId="2" fillId="0" borderId="2" xfId="17" applyNumberFormat="1" applyFill="1" applyBorder="1"/>
    <xf numFmtId="164" fontId="2" fillId="0" borderId="0" xfId="17" applyNumberFormat="1" applyBorder="1"/>
    <xf numFmtId="175" fontId="8" fillId="0" borderId="0" xfId="17" applyNumberFormat="1" applyFont="1" applyFill="1" applyProtection="1"/>
    <xf numFmtId="7" fontId="2" fillId="0" borderId="0" xfId="17" applyNumberFormat="1" applyFont="1" applyFill="1" applyBorder="1" applyProtection="1">
      <protection locked="0"/>
    </xf>
    <xf numFmtId="10" fontId="2" fillId="0" borderId="0" xfId="17" applyNumberFormat="1" applyFont="1" applyFill="1" applyProtection="1">
      <protection locked="0"/>
    </xf>
    <xf numFmtId="187" fontId="2" fillId="0" borderId="0" xfId="17" applyNumberFormat="1"/>
    <xf numFmtId="173" fontId="7" fillId="0" borderId="0" xfId="17" applyNumberFormat="1" applyFont="1" applyFill="1" applyBorder="1" applyProtection="1">
      <protection locked="0"/>
    </xf>
    <xf numFmtId="10" fontId="2" fillId="0" borderId="0" xfId="17" applyNumberFormat="1" applyFont="1" applyFill="1" applyBorder="1" applyProtection="1">
      <protection locked="0"/>
    </xf>
    <xf numFmtId="177" fontId="7" fillId="0" borderId="0" xfId="17" applyNumberFormat="1" applyFont="1" applyFill="1" applyProtection="1">
      <protection locked="0"/>
    </xf>
    <xf numFmtId="164" fontId="7" fillId="0" borderId="13" xfId="17" applyNumberFormat="1" applyFont="1" applyFill="1" applyBorder="1"/>
    <xf numFmtId="5" fontId="2" fillId="0" borderId="13" xfId="17" applyNumberFormat="1" applyFill="1" applyBorder="1" applyProtection="1"/>
    <xf numFmtId="10" fontId="2" fillId="0" borderId="13" xfId="17" applyNumberFormat="1" applyFill="1" applyBorder="1"/>
    <xf numFmtId="10" fontId="9" fillId="0" borderId="0" xfId="17" applyNumberFormat="1" applyFont="1" applyFill="1" applyProtection="1">
      <protection locked="0"/>
    </xf>
    <xf numFmtId="173" fontId="7" fillId="0" borderId="13" xfId="17" applyNumberFormat="1" applyFont="1" applyFill="1" applyBorder="1" applyProtection="1"/>
    <xf numFmtId="173" fontId="2" fillId="0" borderId="0" xfId="17" applyNumberFormat="1" applyFill="1" applyBorder="1" applyProtection="1"/>
    <xf numFmtId="10" fontId="2" fillId="0" borderId="13" xfId="17" applyNumberFormat="1" applyFill="1" applyBorder="1" applyProtection="1"/>
    <xf numFmtId="173" fontId="7" fillId="0" borderId="0" xfId="17" applyNumberFormat="1" applyFont="1" applyFill="1" applyProtection="1"/>
    <xf numFmtId="10" fontId="2" fillId="0" borderId="0" xfId="17" applyNumberFormat="1" applyFill="1" applyProtection="1"/>
    <xf numFmtId="10" fontId="7" fillId="0" borderId="0" xfId="17" applyNumberFormat="1" applyFont="1" applyFill="1"/>
    <xf numFmtId="37" fontId="8" fillId="0" borderId="13" xfId="17" applyNumberFormat="1" applyFont="1" applyFill="1" applyBorder="1" applyProtection="1"/>
    <xf numFmtId="10" fontId="7" fillId="0" borderId="13" xfId="17" applyNumberFormat="1" applyFont="1" applyFill="1" applyBorder="1"/>
    <xf numFmtId="164" fontId="8" fillId="0" borderId="0" xfId="17" applyNumberFormat="1" applyFont="1" applyFill="1"/>
    <xf numFmtId="7" fontId="2" fillId="0" borderId="0" xfId="17" applyNumberFormat="1" applyFill="1" applyBorder="1" applyProtection="1"/>
    <xf numFmtId="5" fontId="2" fillId="0" borderId="10" xfId="17" applyNumberFormat="1" applyFill="1" applyBorder="1" applyProtection="1"/>
    <xf numFmtId="7" fontId="7" fillId="0" borderId="0" xfId="17" applyNumberFormat="1" applyFont="1" applyFill="1" applyBorder="1" applyProtection="1">
      <protection locked="0"/>
    </xf>
    <xf numFmtId="49" fontId="7" fillId="0" borderId="0" xfId="17" applyNumberFormat="1" applyFont="1" applyFill="1" applyAlignment="1">
      <alignment horizontal="left"/>
    </xf>
    <xf numFmtId="164" fontId="19" fillId="0" borderId="0" xfId="17" applyNumberFormat="1" applyFont="1" applyFill="1" applyAlignment="1">
      <alignment horizontal="left"/>
    </xf>
    <xf numFmtId="164" fontId="2" fillId="0" borderId="0" xfId="17" applyNumberFormat="1" applyFont="1"/>
    <xf numFmtId="164" fontId="2" fillId="0" borderId="0" xfId="17" applyNumberFormat="1" applyFont="1" applyFill="1"/>
    <xf numFmtId="164" fontId="2" fillId="0" borderId="0" xfId="17" applyNumberFormat="1" applyFont="1" applyFill="1" applyBorder="1"/>
    <xf numFmtId="5" fontId="2" fillId="0" borderId="0" xfId="17" applyNumberFormat="1" applyFont="1" applyFill="1" applyProtection="1"/>
    <xf numFmtId="37" fontId="8" fillId="0" borderId="1" xfId="17" applyNumberFormat="1" applyFont="1" applyFill="1" applyBorder="1" applyProtection="1">
      <protection locked="0"/>
    </xf>
    <xf numFmtId="164" fontId="7" fillId="0" borderId="1" xfId="17" applyNumberFormat="1" applyFont="1" applyFill="1" applyBorder="1"/>
    <xf numFmtId="5" fontId="2" fillId="0" borderId="1" xfId="17" applyNumberFormat="1" applyFont="1" applyFill="1" applyBorder="1" applyProtection="1"/>
    <xf numFmtId="10" fontId="7" fillId="0" borderId="1" xfId="17" applyNumberFormat="1" applyFont="1" applyFill="1" applyBorder="1"/>
    <xf numFmtId="37" fontId="8" fillId="0" borderId="2" xfId="17" applyNumberFormat="1" applyFont="1" applyFill="1" applyBorder="1" applyProtection="1">
      <protection locked="0"/>
    </xf>
    <xf numFmtId="5" fontId="2" fillId="0" borderId="2" xfId="17" applyNumberFormat="1" applyFont="1" applyFill="1" applyBorder="1" applyProtection="1"/>
    <xf numFmtId="10" fontId="7" fillId="0" borderId="2" xfId="17" applyNumberFormat="1" applyFont="1" applyFill="1" applyBorder="1"/>
    <xf numFmtId="174" fontId="7" fillId="0" borderId="0" xfId="17" applyNumberFormat="1" applyFont="1" applyFill="1" applyProtection="1">
      <protection locked="0"/>
    </xf>
    <xf numFmtId="0" fontId="42" fillId="0" borderId="0" xfId="18" applyFont="1"/>
    <xf numFmtId="10" fontId="20" fillId="0" borderId="0" xfId="18" applyNumberFormat="1"/>
    <xf numFmtId="164" fontId="7" fillId="0" borderId="0" xfId="17" applyNumberFormat="1" applyFont="1" applyFill="1" applyProtection="1">
      <protection locked="0"/>
    </xf>
    <xf numFmtId="179" fontId="7" fillId="0" borderId="0" xfId="17" applyNumberFormat="1" applyFont="1" applyFill="1" applyProtection="1">
      <protection locked="0"/>
    </xf>
    <xf numFmtId="2" fontId="2" fillId="0" borderId="0" xfId="17" applyNumberFormat="1"/>
    <xf numFmtId="7" fontId="7" fillId="0" borderId="0" xfId="17" applyNumberFormat="1" applyFont="1" applyFill="1" applyProtection="1"/>
    <xf numFmtId="10" fontId="9" fillId="0" borderId="0" xfId="17" applyNumberFormat="1" applyFont="1" applyFill="1" applyProtection="1"/>
    <xf numFmtId="10" fontId="7" fillId="0" borderId="1" xfId="17" applyNumberFormat="1" applyFont="1" applyFill="1" applyBorder="1" applyProtection="1">
      <protection locked="0"/>
    </xf>
    <xf numFmtId="5" fontId="2" fillId="0" borderId="1" xfId="17" applyNumberFormat="1" applyFill="1" applyBorder="1" applyProtection="1"/>
    <xf numFmtId="37" fontId="8" fillId="0" borderId="14" xfId="17" applyNumberFormat="1" applyFont="1" applyFill="1" applyBorder="1" applyProtection="1"/>
    <xf numFmtId="164" fontId="7" fillId="0" borderId="10" xfId="17" applyNumberFormat="1" applyFont="1" applyFill="1" applyBorder="1"/>
    <xf numFmtId="10" fontId="7" fillId="0" borderId="10" xfId="17" applyNumberFormat="1" applyFont="1" applyFill="1" applyBorder="1"/>
    <xf numFmtId="7" fontId="7" fillId="0" borderId="0" xfId="17" applyNumberFormat="1" applyFont="1" applyFill="1" applyBorder="1" applyProtection="1"/>
    <xf numFmtId="10" fontId="7" fillId="0" borderId="0" xfId="17" applyNumberFormat="1" applyFont="1" applyFill="1" applyBorder="1" applyProtection="1"/>
    <xf numFmtId="10" fontId="2" fillId="0" borderId="10" xfId="17" applyNumberFormat="1" applyFill="1" applyBorder="1"/>
    <xf numFmtId="10" fontId="2" fillId="0" borderId="0" xfId="17" applyNumberFormat="1" applyFill="1" applyBorder="1" applyProtection="1"/>
    <xf numFmtId="164" fontId="7" fillId="0" borderId="0" xfId="17" applyNumberFormat="1" applyFont="1"/>
    <xf numFmtId="164" fontId="7" fillId="0" borderId="0" xfId="17" applyNumberFormat="1" applyFont="1" applyFill="1" applyBorder="1"/>
    <xf numFmtId="5" fontId="7" fillId="0" borderId="0" xfId="17" applyNumberFormat="1" applyFont="1" applyFill="1" applyBorder="1" applyProtection="1"/>
    <xf numFmtId="10" fontId="7" fillId="0" borderId="0" xfId="17" applyNumberFormat="1" applyFont="1" applyFill="1" applyBorder="1" applyProtection="1">
      <protection locked="0"/>
    </xf>
    <xf numFmtId="5" fontId="7" fillId="0" borderId="0" xfId="17" applyNumberFormat="1" applyFont="1" applyFill="1" applyProtection="1"/>
    <xf numFmtId="5" fontId="7" fillId="0" borderId="10" xfId="17" applyNumberFormat="1" applyFont="1" applyFill="1" applyBorder="1" applyProtection="1"/>
    <xf numFmtId="37" fontId="8" fillId="0" borderId="13" xfId="17" applyNumberFormat="1" applyFont="1" applyFill="1" applyBorder="1" applyProtection="1">
      <protection locked="0"/>
    </xf>
    <xf numFmtId="10" fontId="7" fillId="0" borderId="0" xfId="17" applyNumberFormat="1" applyFont="1" applyFill="1" applyBorder="1"/>
    <xf numFmtId="37" fontId="8" fillId="0" borderId="10" xfId="17" applyNumberFormat="1" applyFont="1" applyFill="1" applyBorder="1" applyProtection="1">
      <protection locked="0"/>
    </xf>
    <xf numFmtId="164" fontId="22" fillId="0" borderId="0" xfId="17" applyNumberFormat="1" applyFont="1" applyFill="1" applyAlignment="1">
      <alignment horizontal="left"/>
    </xf>
    <xf numFmtId="164" fontId="5" fillId="0" borderId="0" xfId="17" applyNumberFormat="1" applyFont="1" applyFill="1" applyBorder="1"/>
    <xf numFmtId="0" fontId="7" fillId="0" borderId="0" xfId="8" applyFont="1" applyBorder="1"/>
    <xf numFmtId="49" fontId="15" fillId="0" borderId="0" xfId="17" applyNumberFormat="1" applyFont="1" applyFill="1"/>
    <xf numFmtId="7" fontId="7" fillId="0" borderId="1" xfId="17" applyNumberFormat="1" applyFont="1" applyFill="1" applyBorder="1" applyProtection="1">
      <protection locked="0"/>
    </xf>
    <xf numFmtId="5" fontId="7" fillId="0" borderId="1" xfId="17" applyNumberFormat="1" applyFont="1" applyFill="1" applyBorder="1" applyProtection="1"/>
    <xf numFmtId="10" fontId="7" fillId="0" borderId="0" xfId="1" applyNumberFormat="1" applyFont="1" applyFill="1" applyBorder="1" applyProtection="1">
      <protection locked="0"/>
    </xf>
    <xf numFmtId="10" fontId="7" fillId="0" borderId="13" xfId="1" applyNumberFormat="1" applyFont="1" applyFill="1" applyBorder="1"/>
    <xf numFmtId="37" fontId="8" fillId="0" borderId="0" xfId="17" applyNumberFormat="1" applyFont="1" applyFill="1" applyBorder="1" applyProtection="1">
      <protection locked="0"/>
    </xf>
    <xf numFmtId="5" fontId="7" fillId="0" borderId="13" xfId="17" applyNumberFormat="1" applyFont="1" applyFill="1" applyBorder="1" applyProtection="1"/>
    <xf numFmtId="164" fontId="23" fillId="0" borderId="0" xfId="17" applyNumberFormat="1" applyFont="1" applyFill="1" applyAlignment="1">
      <alignment horizontal="left"/>
    </xf>
    <xf numFmtId="10" fontId="7" fillId="0" borderId="0" xfId="1" applyNumberFormat="1" applyFont="1" applyFill="1" applyProtection="1">
      <protection locked="0"/>
    </xf>
    <xf numFmtId="169" fontId="7" fillId="0" borderId="0" xfId="17" applyNumberFormat="1" applyFont="1" applyFill="1" applyProtection="1">
      <protection locked="0"/>
    </xf>
    <xf numFmtId="169" fontId="5" fillId="0" borderId="0" xfId="17" applyNumberFormat="1" applyFont="1" applyFill="1" applyBorder="1" applyProtection="1">
      <protection locked="0"/>
    </xf>
    <xf numFmtId="169" fontId="7" fillId="0" borderId="0" xfId="17" applyNumberFormat="1" applyFont="1" applyFill="1" applyProtection="1"/>
    <xf numFmtId="169" fontId="2" fillId="0" borderId="0" xfId="17" applyNumberFormat="1" applyFill="1" applyBorder="1" applyProtection="1"/>
    <xf numFmtId="177" fontId="7" fillId="0" borderId="0" xfId="17" applyNumberFormat="1" applyFont="1" applyFill="1" applyProtection="1"/>
    <xf numFmtId="37" fontId="8" fillId="0" borderId="1" xfId="17" applyNumberFormat="1" applyFont="1" applyFill="1" applyBorder="1" applyProtection="1"/>
    <xf numFmtId="177" fontId="7" fillId="0" borderId="1" xfId="17" applyNumberFormat="1" applyFont="1" applyFill="1" applyBorder="1" applyProtection="1"/>
    <xf numFmtId="10" fontId="2" fillId="0" borderId="1" xfId="17" applyNumberFormat="1" applyFill="1" applyBorder="1" applyProtection="1"/>
    <xf numFmtId="5" fontId="2" fillId="0" borderId="0" xfId="17" applyNumberFormat="1" applyFont="1" applyFill="1" applyProtection="1">
      <protection locked="0"/>
    </xf>
    <xf numFmtId="164" fontId="7" fillId="0" borderId="0" xfId="17" applyNumberFormat="1" applyFont="1" applyFill="1" applyProtection="1"/>
    <xf numFmtId="164" fontId="2" fillId="0" borderId="0" xfId="17" applyNumberFormat="1" applyFill="1" applyBorder="1" applyProtection="1"/>
    <xf numFmtId="173" fontId="5" fillId="0" borderId="0" xfId="17" applyNumberFormat="1" applyFont="1" applyFill="1" applyBorder="1" applyProtection="1">
      <protection locked="0"/>
    </xf>
    <xf numFmtId="5" fontId="2" fillId="0" borderId="10" xfId="17" applyNumberFormat="1" applyFont="1" applyFill="1" applyBorder="1" applyProtection="1"/>
    <xf numFmtId="5" fontId="2" fillId="0" borderId="13" xfId="17" applyNumberFormat="1" applyFont="1" applyFill="1" applyBorder="1" applyProtection="1"/>
    <xf numFmtId="173" fontId="2" fillId="0" borderId="0" xfId="17" applyNumberFormat="1" applyFont="1" applyFill="1" applyProtection="1"/>
    <xf numFmtId="164" fontId="15" fillId="0" borderId="0" xfId="17" applyNumberFormat="1" applyFont="1" applyFill="1" applyBorder="1" applyAlignment="1">
      <alignment horizontal="left"/>
    </xf>
    <xf numFmtId="10" fontId="5" fillId="0" borderId="0" xfId="1" applyNumberFormat="1" applyFont="1" applyFill="1" applyProtection="1"/>
    <xf numFmtId="37" fontId="8" fillId="0" borderId="15" xfId="17" applyNumberFormat="1" applyFont="1" applyFill="1" applyBorder="1" applyProtection="1"/>
    <xf numFmtId="173" fontId="7" fillId="0" borderId="2" xfId="17" applyNumberFormat="1" applyFont="1" applyFill="1" applyBorder="1" applyProtection="1"/>
    <xf numFmtId="5" fontId="2" fillId="0" borderId="15" xfId="17" applyNumberFormat="1" applyFill="1" applyBorder="1" applyProtection="1"/>
    <xf numFmtId="10" fontId="2" fillId="0" borderId="2" xfId="17" applyNumberFormat="1" applyFill="1" applyBorder="1" applyProtection="1"/>
    <xf numFmtId="164" fontId="5" fillId="0" borderId="0" xfId="17" applyNumberFormat="1" applyFont="1" applyFill="1" applyBorder="1" applyProtection="1">
      <protection locked="0"/>
    </xf>
    <xf numFmtId="0" fontId="2" fillId="0" borderId="0" xfId="17" applyNumberFormat="1"/>
    <xf numFmtId="164" fontId="7" fillId="0" borderId="0" xfId="17" applyNumberFormat="1" applyFont="1" applyFill="1" applyBorder="1" applyProtection="1">
      <protection locked="0"/>
    </xf>
    <xf numFmtId="5" fontId="2" fillId="0" borderId="0" xfId="17" applyNumberFormat="1" applyFont="1" applyFill="1" applyBorder="1" applyProtection="1"/>
    <xf numFmtId="10" fontId="5" fillId="0" borderId="0" xfId="17" applyNumberFormat="1" applyFont="1" applyFill="1" applyBorder="1" applyProtection="1">
      <protection locked="0"/>
    </xf>
    <xf numFmtId="164" fontId="2" fillId="0" borderId="0" xfId="17" applyNumberFormat="1" applyFont="1" applyBorder="1" applyAlignment="1">
      <alignment horizontal="centerContinuous"/>
    </xf>
    <xf numFmtId="10" fontId="2" fillId="0" borderId="0" xfId="17" applyNumberFormat="1" applyFont="1" applyBorder="1"/>
    <xf numFmtId="173" fontId="2" fillId="0" borderId="0" xfId="17" applyNumberFormat="1" applyFont="1" applyFill="1" applyBorder="1" applyProtection="1"/>
    <xf numFmtId="10" fontId="2" fillId="0" borderId="13" xfId="17" applyNumberFormat="1" applyFont="1" applyFill="1" applyBorder="1" applyProtection="1"/>
    <xf numFmtId="10" fontId="2" fillId="0" borderId="0" xfId="17" applyNumberFormat="1" applyFont="1" applyFill="1" applyProtection="1"/>
    <xf numFmtId="10" fontId="2" fillId="0" borderId="0" xfId="17" applyNumberFormat="1" applyFont="1"/>
    <xf numFmtId="2" fontId="2" fillId="0" borderId="0" xfId="17" applyNumberFormat="1" applyFont="1"/>
    <xf numFmtId="10" fontId="2" fillId="0" borderId="0" xfId="17" applyNumberFormat="1" applyFont="1" applyFill="1"/>
    <xf numFmtId="173" fontId="7" fillId="0" borderId="0" xfId="17" applyNumberFormat="1" applyFont="1" applyFill="1" applyBorder="1" applyProtection="1"/>
    <xf numFmtId="5" fontId="2" fillId="0" borderId="0" xfId="17" applyNumberFormat="1" applyFont="1" applyFill="1" applyBorder="1" applyProtection="1">
      <protection locked="0"/>
    </xf>
    <xf numFmtId="7" fontId="7" fillId="0" borderId="10" xfId="17" applyNumberFormat="1" applyFont="1" applyFill="1" applyBorder="1" applyProtection="1">
      <protection locked="0"/>
    </xf>
    <xf numFmtId="10" fontId="7" fillId="0" borderId="10" xfId="17" applyNumberFormat="1" applyFont="1" applyFill="1" applyBorder="1" applyProtection="1">
      <protection locked="0"/>
    </xf>
    <xf numFmtId="164" fontId="2" fillId="0" borderId="13" xfId="17" applyNumberFormat="1" applyFill="1" applyBorder="1"/>
    <xf numFmtId="10" fontId="2" fillId="0" borderId="13" xfId="1" applyNumberFormat="1" applyFont="1" applyFill="1" applyBorder="1"/>
    <xf numFmtId="165" fontId="8" fillId="0" borderId="0" xfId="1" applyNumberFormat="1" applyFont="1" applyFill="1"/>
    <xf numFmtId="165" fontId="8" fillId="0" borderId="1" xfId="1" applyNumberFormat="1" applyFont="1" applyFill="1" applyBorder="1"/>
    <xf numFmtId="173" fontId="7" fillId="0" borderId="1" xfId="17" applyNumberFormat="1" applyFont="1" applyFill="1" applyBorder="1" applyProtection="1"/>
    <xf numFmtId="165" fontId="8" fillId="0" borderId="2" xfId="1" applyNumberFormat="1" applyFont="1" applyFill="1" applyBorder="1"/>
    <xf numFmtId="164" fontId="2" fillId="0" borderId="2" xfId="17" applyNumberFormat="1" applyFill="1" applyBorder="1"/>
    <xf numFmtId="164" fontId="5" fillId="0" borderId="0" xfId="16" applyNumberFormat="1" applyFont="1" applyBorder="1"/>
    <xf numFmtId="9" fontId="2" fillId="0" borderId="0" xfId="21" applyFont="1" applyBorder="1"/>
    <xf numFmtId="173" fontId="5" fillId="0" borderId="0" xfId="16" applyNumberFormat="1" applyFont="1" applyFill="1" applyBorder="1" applyProtection="1"/>
    <xf numFmtId="3" fontId="26" fillId="0" borderId="0" xfId="14" applyNumberFormat="1" applyFont="1" applyBorder="1"/>
    <xf numFmtId="0" fontId="4" fillId="0" borderId="0" xfId="14" applyBorder="1" applyAlignment="1">
      <alignment horizontal="centerContinuous"/>
    </xf>
    <xf numFmtId="7" fontId="26" fillId="0" borderId="0" xfId="14" applyNumberFormat="1" applyFont="1" applyBorder="1" applyAlignment="1">
      <alignment horizontal="centerContinuous"/>
    </xf>
    <xf numFmtId="3" fontId="30" fillId="0" borderId="0" xfId="14" applyNumberFormat="1" applyFont="1" applyBorder="1" applyAlignment="1">
      <alignment horizontal="center"/>
    </xf>
    <xf numFmtId="168" fontId="26" fillId="0" borderId="0" xfId="14" applyNumberFormat="1" applyFont="1" applyBorder="1" applyAlignment="1">
      <alignment horizontal="centerContinuous" wrapText="1"/>
    </xf>
    <xf numFmtId="7" fontId="26" fillId="0" borderId="0" xfId="14" applyNumberFormat="1" applyFont="1" applyBorder="1" applyAlignment="1">
      <alignment horizontal="center"/>
    </xf>
    <xf numFmtId="7" fontId="26" fillId="0" borderId="0" xfId="21" applyNumberFormat="1" applyFont="1" applyBorder="1"/>
    <xf numFmtId="167" fontId="26" fillId="0" borderId="0" xfId="21" applyNumberFormat="1" applyFont="1" applyBorder="1"/>
    <xf numFmtId="0" fontId="49" fillId="0" borderId="0" xfId="20" applyFont="1" applyAlignment="1">
      <alignment horizontal="centerContinuous"/>
    </xf>
    <xf numFmtId="0" fontId="72" fillId="0" borderId="0" xfId="12"/>
    <xf numFmtId="1" fontId="49" fillId="0" borderId="0" xfId="20" applyNumberFormat="1" applyFont="1" applyFill="1" applyAlignment="1">
      <alignment horizontal="centerContinuous"/>
    </xf>
    <xf numFmtId="37" fontId="49" fillId="0" borderId="0" xfId="20" applyNumberFormat="1" applyFont="1" applyFill="1" applyAlignment="1" applyProtection="1">
      <alignment horizontal="centerContinuous"/>
    </xf>
    <xf numFmtId="10" fontId="49" fillId="0" borderId="0" xfId="22" quotePrefix="1" applyNumberFormat="1" applyFont="1" applyFill="1" applyAlignment="1"/>
    <xf numFmtId="1" fontId="49" fillId="0" borderId="0" xfId="20" applyNumberFormat="1" applyFont="1" applyFill="1" applyAlignment="1"/>
    <xf numFmtId="1" fontId="50" fillId="0" borderId="0" xfId="20" quotePrefix="1" applyNumberFormat="1" applyFont="1" applyFill="1" applyAlignment="1">
      <alignment horizontal="center"/>
    </xf>
    <xf numFmtId="37" fontId="49" fillId="0" borderId="0" xfId="20" applyNumberFormat="1" applyFont="1" applyFill="1" applyProtection="1"/>
    <xf numFmtId="1" fontId="51" fillId="0" borderId="0" xfId="20" applyNumberFormat="1" applyFont="1" applyFill="1" applyAlignment="1">
      <alignment horizontal="center"/>
    </xf>
    <xf numFmtId="37" fontId="49" fillId="0" borderId="0" xfId="20" applyNumberFormat="1" applyFont="1" applyFill="1" applyAlignment="1" applyProtection="1">
      <alignment horizontal="center"/>
    </xf>
    <xf numFmtId="0" fontId="49" fillId="0" borderId="21" xfId="20" applyFont="1" applyFill="1" applyBorder="1" applyAlignment="1">
      <alignment horizontal="center"/>
    </xf>
    <xf numFmtId="37" fontId="49" fillId="0" borderId="21" xfId="20" applyNumberFormat="1" applyFont="1" applyFill="1" applyBorder="1" applyAlignment="1" applyProtection="1">
      <alignment horizontal="center"/>
    </xf>
    <xf numFmtId="0" fontId="4" fillId="0" borderId="0" xfId="20" applyFont="1" applyFill="1"/>
    <xf numFmtId="165" fontId="49" fillId="0" borderId="0" xfId="2" applyNumberFormat="1" applyFont="1" applyFill="1" applyBorder="1"/>
    <xf numFmtId="1" fontId="52" fillId="0" borderId="0" xfId="20" applyNumberFormat="1" applyFont="1" applyFill="1" applyAlignment="1">
      <alignment horizontal="center"/>
    </xf>
    <xf numFmtId="165" fontId="52" fillId="0" borderId="0" xfId="2" applyNumberFormat="1" applyFont="1" applyFill="1"/>
    <xf numFmtId="165" fontId="52" fillId="0" borderId="0" xfId="2" applyNumberFormat="1" applyFont="1" applyFill="1" applyBorder="1"/>
    <xf numFmtId="165" fontId="52" fillId="0" borderId="1" xfId="2" applyNumberFormat="1" applyFont="1" applyFill="1" applyBorder="1"/>
    <xf numFmtId="1" fontId="52" fillId="0" borderId="0" xfId="20" applyNumberFormat="1" applyFont="1" applyFill="1"/>
    <xf numFmtId="165" fontId="52" fillId="0" borderId="0" xfId="22" applyNumberFormat="1" applyFont="1" applyFill="1"/>
    <xf numFmtId="1" fontId="53" fillId="0" borderId="0" xfId="20" applyNumberFormat="1" applyFont="1" applyFill="1"/>
    <xf numFmtId="9" fontId="53" fillId="0" borderId="0" xfId="22" applyFont="1" applyFill="1"/>
    <xf numFmtId="1" fontId="54" fillId="0" borderId="0" xfId="20" applyNumberFormat="1" applyFont="1" applyFill="1" applyBorder="1"/>
    <xf numFmtId="1" fontId="54" fillId="0" borderId="0" xfId="20" applyNumberFormat="1" applyFont="1" applyFill="1"/>
    <xf numFmtId="44" fontId="53" fillId="0" borderId="22" xfId="4" applyFont="1" applyFill="1" applyBorder="1"/>
    <xf numFmtId="0" fontId="4" fillId="0" borderId="0" xfId="20"/>
    <xf numFmtId="0" fontId="72" fillId="0" borderId="0" xfId="12" applyFill="1"/>
    <xf numFmtId="1" fontId="55" fillId="0" borderId="6" xfId="12" applyNumberFormat="1" applyFont="1" applyFill="1" applyBorder="1"/>
    <xf numFmtId="1" fontId="4" fillId="0" borderId="0" xfId="12" applyNumberFormat="1" applyFont="1" applyFill="1" applyBorder="1"/>
    <xf numFmtId="1" fontId="56" fillId="0" borderId="23" xfId="12" applyNumberFormat="1" applyFont="1" applyFill="1" applyBorder="1" applyAlignment="1">
      <alignment horizontal="center"/>
    </xf>
    <xf numFmtId="1" fontId="56" fillId="0" borderId="24" xfId="12" applyNumberFormat="1" applyFont="1" applyFill="1" applyBorder="1" applyAlignment="1">
      <alignment horizontal="center"/>
    </xf>
    <xf numFmtId="41" fontId="72" fillId="0" borderId="6" xfId="12" applyNumberFormat="1" applyFill="1" applyBorder="1"/>
    <xf numFmtId="165" fontId="4" fillId="0" borderId="23" xfId="2" applyNumberFormat="1" applyFont="1" applyFill="1" applyBorder="1"/>
    <xf numFmtId="165" fontId="4" fillId="0" borderId="24" xfId="2" applyNumberFormat="1" applyFont="1" applyFill="1" applyBorder="1"/>
    <xf numFmtId="41" fontId="57" fillId="0" borderId="6" xfId="12" applyNumberFormat="1" applyFont="1" applyFill="1" applyBorder="1"/>
    <xf numFmtId="38" fontId="4" fillId="0" borderId="23" xfId="2" applyNumberFormat="1" applyFont="1" applyFill="1" applyBorder="1"/>
    <xf numFmtId="41" fontId="43" fillId="0" borderId="6" xfId="12" applyNumberFormat="1" applyFont="1" applyFill="1" applyBorder="1"/>
    <xf numFmtId="38" fontId="58" fillId="0" borderId="23" xfId="2" applyNumberFormat="1" applyFont="1" applyFill="1" applyBorder="1"/>
    <xf numFmtId="38" fontId="4" fillId="0" borderId="24" xfId="2" applyNumberFormat="1" applyFont="1" applyFill="1" applyBorder="1"/>
    <xf numFmtId="188" fontId="4" fillId="0" borderId="0" xfId="12" quotePrefix="1" applyNumberFormat="1" applyFont="1" applyFill="1" applyBorder="1" applyAlignment="1" applyProtection="1">
      <alignment horizontal="left"/>
      <protection locked="0"/>
    </xf>
    <xf numFmtId="38" fontId="4" fillId="0" borderId="25" xfId="2" applyNumberFormat="1" applyFont="1" applyFill="1" applyBorder="1"/>
    <xf numFmtId="38" fontId="4" fillId="0" borderId="26" xfId="2" applyNumberFormat="1" applyFont="1" applyFill="1" applyBorder="1"/>
    <xf numFmtId="1" fontId="49" fillId="0" borderId="0" xfId="12" applyNumberFormat="1" applyFont="1" applyFill="1" applyBorder="1"/>
    <xf numFmtId="165" fontId="4" fillId="0" borderId="25" xfId="2" applyNumberFormat="1" applyFont="1" applyFill="1" applyBorder="1"/>
    <xf numFmtId="1" fontId="49" fillId="0" borderId="24" xfId="12" applyNumberFormat="1" applyFont="1" applyFill="1" applyBorder="1"/>
    <xf numFmtId="41" fontId="49" fillId="0" borderId="8" xfId="12" applyNumberFormat="1" applyFont="1" applyFill="1" applyBorder="1" applyAlignment="1">
      <alignment horizontal="center"/>
    </xf>
    <xf numFmtId="1" fontId="49" fillId="0" borderId="1" xfId="12" quotePrefix="1" applyNumberFormat="1" applyFont="1" applyFill="1" applyBorder="1"/>
    <xf numFmtId="189" fontId="49" fillId="0" borderId="27" xfId="2" applyNumberFormat="1" applyFont="1" applyFill="1" applyBorder="1" applyAlignment="1">
      <alignment horizontal="center"/>
    </xf>
    <xf numFmtId="189" fontId="49" fillId="0" borderId="28" xfId="2" applyNumberFormat="1" applyFont="1" applyFill="1" applyBorder="1" applyAlignment="1">
      <alignment horizontal="center"/>
    </xf>
    <xf numFmtId="0" fontId="72" fillId="0" borderId="0" xfId="12" quotePrefix="1" applyFill="1"/>
    <xf numFmtId="0" fontId="59" fillId="0" borderId="0" xfId="12" applyFont="1" applyFill="1" applyAlignment="1">
      <alignment horizontal="centerContinuous"/>
    </xf>
    <xf numFmtId="0" fontId="60" fillId="0" borderId="0" xfId="12" applyFont="1" applyFill="1" applyAlignment="1">
      <alignment horizontal="centerContinuous"/>
    </xf>
    <xf numFmtId="41" fontId="60" fillId="0" borderId="11" xfId="12" applyNumberFormat="1" applyFont="1" applyFill="1" applyBorder="1" applyAlignment="1">
      <alignment horizontal="center"/>
    </xf>
    <xf numFmtId="41" fontId="4" fillId="0" borderId="19" xfId="12" applyNumberFormat="1" applyFont="1" applyFill="1" applyBorder="1" applyAlignment="1" applyProtection="1">
      <alignment horizontal="center"/>
      <protection locked="0"/>
    </xf>
    <xf numFmtId="41" fontId="4" fillId="0" borderId="12" xfId="12" applyNumberFormat="1" applyFont="1" applyFill="1" applyBorder="1" applyAlignment="1" applyProtection="1">
      <alignment horizontal="center"/>
      <protection locked="0"/>
    </xf>
    <xf numFmtId="41" fontId="4" fillId="0" borderId="6" xfId="12" applyNumberFormat="1" applyFont="1" applyFill="1" applyBorder="1" applyAlignment="1" applyProtection="1">
      <alignment horizontal="center"/>
      <protection locked="0"/>
    </xf>
    <xf numFmtId="41" fontId="4" fillId="0" borderId="18" xfId="12" applyNumberFormat="1" applyFont="1" applyFill="1" applyBorder="1" applyAlignment="1" applyProtection="1">
      <alignment horizontal="center"/>
      <protection locked="0"/>
    </xf>
    <xf numFmtId="41" fontId="4" fillId="0" borderId="9" xfId="12" applyNumberFormat="1" applyFont="1" applyFill="1" applyBorder="1" applyAlignment="1" applyProtection="1">
      <alignment horizontal="center"/>
      <protection locked="0"/>
    </xf>
    <xf numFmtId="41" fontId="4" fillId="0" borderId="6" xfId="12" applyNumberFormat="1" applyFont="1" applyFill="1" applyBorder="1" applyAlignment="1" applyProtection="1">
      <alignment horizontal="right"/>
      <protection locked="0"/>
    </xf>
    <xf numFmtId="10" fontId="58" fillId="0" borderId="20" xfId="12" applyNumberFormat="1" applyFont="1" applyFill="1" applyBorder="1" applyAlignment="1" applyProtection="1">
      <alignment horizontal="center"/>
      <protection locked="0"/>
    </xf>
    <xf numFmtId="10" fontId="58" fillId="0" borderId="20" xfId="22" applyNumberFormat="1" applyFont="1" applyFill="1" applyBorder="1" applyAlignment="1" applyProtection="1">
      <alignment horizontal="center"/>
      <protection locked="0"/>
    </xf>
    <xf numFmtId="10" fontId="58" fillId="0" borderId="7" xfId="22" applyNumberFormat="1" applyFont="1" applyFill="1" applyBorder="1" applyAlignment="1" applyProtection="1">
      <alignment horizontal="center"/>
      <protection locked="0"/>
    </xf>
    <xf numFmtId="10" fontId="4" fillId="0" borderId="7" xfId="12" applyNumberFormat="1" applyFont="1" applyFill="1" applyBorder="1" applyAlignment="1" applyProtection="1">
      <alignment horizontal="center"/>
      <protection locked="0"/>
    </xf>
    <xf numFmtId="10" fontId="61" fillId="0" borderId="20" xfId="12" applyNumberFormat="1" applyFont="1" applyFill="1" applyBorder="1" applyAlignment="1" applyProtection="1">
      <alignment horizontal="center"/>
      <protection locked="0"/>
    </xf>
    <xf numFmtId="186" fontId="58" fillId="0" borderId="20" xfId="22" applyNumberFormat="1" applyFont="1" applyFill="1" applyBorder="1" applyAlignment="1" applyProtection="1">
      <alignment horizontal="center"/>
      <protection locked="0"/>
    </xf>
    <xf numFmtId="10" fontId="61" fillId="0" borderId="7" xfId="22" applyNumberFormat="1" applyFont="1" applyFill="1" applyBorder="1" applyAlignment="1" applyProtection="1">
      <alignment horizontal="center"/>
      <protection locked="0"/>
    </xf>
    <xf numFmtId="10" fontId="56" fillId="0" borderId="7" xfId="12" applyNumberFormat="1" applyFont="1" applyFill="1" applyBorder="1" applyAlignment="1" applyProtection="1">
      <alignment horizontal="center"/>
      <protection locked="0"/>
    </xf>
    <xf numFmtId="41" fontId="49" fillId="0" borderId="6" xfId="12" applyNumberFormat="1" applyFont="1" applyFill="1" applyBorder="1" applyAlignment="1" applyProtection="1">
      <alignment horizontal="right"/>
      <protection locked="0"/>
    </xf>
    <xf numFmtId="10" fontId="4" fillId="0" borderId="18" xfId="12" applyNumberFormat="1" applyFont="1" applyFill="1" applyBorder="1" applyAlignment="1" applyProtection="1">
      <alignment horizontal="center"/>
      <protection locked="0"/>
    </xf>
    <xf numFmtId="37" fontId="4" fillId="0" borderId="18" xfId="12" applyNumberFormat="1" applyFont="1" applyFill="1" applyBorder="1" applyAlignment="1" applyProtection="1">
      <alignment horizontal="center"/>
      <protection locked="0"/>
    </xf>
    <xf numFmtId="10" fontId="49" fillId="0" borderId="9" xfId="22" applyNumberFormat="1" applyFont="1" applyFill="1" applyBorder="1" applyAlignment="1" applyProtection="1">
      <alignment horizontal="center"/>
      <protection locked="0"/>
    </xf>
    <xf numFmtId="0" fontId="60" fillId="0" borderId="6" xfId="12" applyFont="1" applyFill="1" applyBorder="1"/>
    <xf numFmtId="0" fontId="60" fillId="0" borderId="0" xfId="12" applyFont="1" applyFill="1" applyBorder="1"/>
    <xf numFmtId="0" fontId="60" fillId="0" borderId="7" xfId="12" applyFont="1" applyFill="1" applyBorder="1"/>
    <xf numFmtId="41" fontId="49" fillId="0" borderId="8" xfId="12" applyNumberFormat="1" applyFont="1" applyFill="1" applyBorder="1" applyAlignment="1" applyProtection="1">
      <alignment horizontal="right"/>
      <protection locked="0"/>
    </xf>
    <xf numFmtId="10" fontId="53" fillId="0" borderId="17" xfId="22" applyNumberFormat="1" applyFont="1" applyFill="1" applyBorder="1" applyProtection="1">
      <protection locked="0"/>
    </xf>
    <xf numFmtId="0" fontId="60" fillId="0" borderId="1" xfId="12" applyFont="1" applyFill="1" applyBorder="1"/>
    <xf numFmtId="0" fontId="60" fillId="0" borderId="9" xfId="12" applyFont="1" applyFill="1" applyBorder="1"/>
    <xf numFmtId="0" fontId="60" fillId="0" borderId="0" xfId="12" applyFont="1" applyFill="1"/>
    <xf numFmtId="0" fontId="60" fillId="0" borderId="11" xfId="12" quotePrefix="1" applyFont="1" applyFill="1" applyBorder="1" applyAlignment="1">
      <alignment horizontal="right"/>
    </xf>
    <xf numFmtId="0" fontId="62" fillId="0" borderId="19" xfId="12" quotePrefix="1" applyFont="1" applyFill="1" applyBorder="1" applyAlignment="1">
      <alignment horizontal="center"/>
    </xf>
    <xf numFmtId="0" fontId="62" fillId="0" borderId="12" xfId="12" quotePrefix="1" applyFont="1" applyFill="1" applyBorder="1" applyAlignment="1">
      <alignment horizontal="center"/>
    </xf>
    <xf numFmtId="0" fontId="63" fillId="0" borderId="6" xfId="12" quotePrefix="1" applyFont="1" applyFill="1" applyBorder="1" applyAlignment="1" applyProtection="1">
      <alignment horizontal="right"/>
    </xf>
    <xf numFmtId="5" fontId="64" fillId="0" borderId="20" xfId="12" applyNumberFormat="1" applyFont="1" applyFill="1" applyBorder="1" applyProtection="1"/>
    <xf numFmtId="185" fontId="60" fillId="0" borderId="7" xfId="22" applyNumberFormat="1" applyFont="1" applyFill="1" applyBorder="1"/>
    <xf numFmtId="5" fontId="64" fillId="0" borderId="18" xfId="12" applyNumberFormat="1" applyFont="1" applyFill="1" applyBorder="1" applyProtection="1"/>
    <xf numFmtId="185" fontId="60" fillId="0" borderId="9" xfId="22" applyNumberFormat="1" applyFont="1" applyFill="1" applyBorder="1"/>
    <xf numFmtId="0" fontId="63" fillId="0" borderId="8" xfId="12" quotePrefix="1" applyFont="1" applyFill="1" applyBorder="1" applyAlignment="1" applyProtection="1">
      <alignment horizontal="right"/>
    </xf>
    <xf numFmtId="5" fontId="63" fillId="0" borderId="18" xfId="12" applyNumberFormat="1" applyFont="1" applyFill="1" applyBorder="1" applyProtection="1"/>
    <xf numFmtId="0" fontId="65" fillId="0" borderId="0" xfId="2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6" fillId="0" borderId="0" xfId="0" applyFont="1"/>
    <xf numFmtId="10" fontId="66" fillId="0" borderId="0" xfId="22" quotePrefix="1" applyNumberFormat="1" applyFont="1" applyFill="1" applyAlignment="1"/>
    <xf numFmtId="0" fontId="66" fillId="0" borderId="0" xfId="0" applyFont="1" applyFill="1"/>
    <xf numFmtId="0" fontId="49" fillId="0" borderId="1" xfId="20" applyFont="1" applyFill="1" applyBorder="1" applyAlignment="1">
      <alignment horizontal="centerContinuous"/>
    </xf>
    <xf numFmtId="41" fontId="66" fillId="0" borderId="0" xfId="0" applyNumberFormat="1" applyFont="1" applyFill="1" applyBorder="1"/>
    <xf numFmtId="164" fontId="68" fillId="0" borderId="0" xfId="16" applyFont="1" applyFill="1" applyAlignment="1">
      <alignment horizontal="left"/>
    </xf>
    <xf numFmtId="3" fontId="7" fillId="0" borderId="0" xfId="0" applyNumberFormat="1" applyFont="1" applyAlignment="1">
      <alignment horizontal="left"/>
    </xf>
    <xf numFmtId="164" fontId="7" fillId="0" borderId="0" xfId="16" applyFont="1" applyFill="1" applyAlignment="1">
      <alignment horizontal="left"/>
    </xf>
    <xf numFmtId="7" fontId="15" fillId="0" borderId="0" xfId="16" applyNumberFormat="1" applyFont="1" applyFill="1" applyProtection="1">
      <protection locked="0"/>
    </xf>
    <xf numFmtId="164" fontId="15" fillId="0" borderId="0" xfId="16" applyFont="1" applyFill="1" applyAlignment="1">
      <alignment horizontal="left"/>
    </xf>
    <xf numFmtId="164" fontId="69" fillId="0" borderId="0" xfId="16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69" fillId="0" borderId="0" xfId="16" applyFont="1" applyFill="1" applyBorder="1" applyAlignment="1">
      <alignment horizontal="center"/>
    </xf>
    <xf numFmtId="164" fontId="3" fillId="0" borderId="0" xfId="16" applyFont="1" applyFill="1" applyAlignment="1">
      <alignment horizontal="center"/>
    </xf>
    <xf numFmtId="164" fontId="69" fillId="0" borderId="10" xfId="16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2" fillId="0" borderId="0" xfId="21" applyNumberFormat="1" applyFont="1" applyFill="1" applyProtection="1"/>
    <xf numFmtId="167" fontId="18" fillId="0" borderId="0" xfId="1" applyNumberFormat="1" applyFont="1" applyBorder="1"/>
    <xf numFmtId="9" fontId="2" fillId="0" borderId="0" xfId="16" applyNumberFormat="1" applyBorder="1"/>
    <xf numFmtId="3" fontId="0" fillId="0" borderId="0" xfId="0" applyNumberFormat="1" applyBorder="1"/>
    <xf numFmtId="174" fontId="5" fillId="0" borderId="0" xfId="16" applyNumberFormat="1" applyFont="1" applyBorder="1"/>
    <xf numFmtId="167" fontId="2" fillId="0" borderId="0" xfId="21" applyNumberFormat="1" applyFont="1" applyFill="1" applyBorder="1" applyProtection="1"/>
    <xf numFmtId="167" fontId="2" fillId="0" borderId="1" xfId="21" applyNumberFormat="1" applyFont="1" applyFill="1" applyBorder="1" applyProtection="1"/>
    <xf numFmtId="167" fontId="2" fillId="0" borderId="0" xfId="16" applyNumberFormat="1" applyFill="1" applyBorder="1" applyProtection="1"/>
    <xf numFmtId="0" fontId="70" fillId="0" borderId="0" xfId="0" applyFont="1"/>
    <xf numFmtId="0" fontId="71" fillId="0" borderId="0" xfId="0" applyFont="1"/>
    <xf numFmtId="0" fontId="0" fillId="0" borderId="0" xfId="0" applyAlignment="1">
      <alignment wrapText="1"/>
    </xf>
    <xf numFmtId="0" fontId="26" fillId="0" borderId="1" xfId="0" applyFont="1" applyBorder="1" applyAlignment="1">
      <alignment wrapText="1"/>
    </xf>
    <xf numFmtId="0" fontId="26" fillId="0" borderId="0" xfId="0" applyFont="1" applyAlignment="1">
      <alignment wrapText="1"/>
    </xf>
    <xf numFmtId="37" fontId="73" fillId="0" borderId="0" xfId="16" applyNumberFormat="1" applyFont="1" applyFill="1" applyBorder="1" applyProtection="1"/>
    <xf numFmtId="7" fontId="73" fillId="0" borderId="0" xfId="16" applyNumberFormat="1" applyFont="1" applyFill="1" applyProtection="1">
      <protection locked="0"/>
    </xf>
    <xf numFmtId="172" fontId="73" fillId="0" borderId="0" xfId="16" applyNumberFormat="1" applyFont="1" applyFill="1" applyProtection="1">
      <protection locked="0"/>
    </xf>
    <xf numFmtId="173" fontId="73" fillId="0" borderId="0" xfId="16" applyNumberFormat="1" applyFont="1" applyFill="1" applyProtection="1">
      <protection locked="0"/>
    </xf>
    <xf numFmtId="7" fontId="15" fillId="4" borderId="0" xfId="16" applyNumberFormat="1" applyFont="1" applyFill="1" applyProtection="1">
      <protection locked="0"/>
    </xf>
    <xf numFmtId="10" fontId="3" fillId="4" borderId="0" xfId="3" applyNumberFormat="1" applyFont="1" applyFill="1"/>
    <xf numFmtId="5" fontId="0" fillId="0" borderId="0" xfId="0" applyNumberFormat="1"/>
    <xf numFmtId="10" fontId="0" fillId="0" borderId="0" xfId="21" applyNumberFormat="1" applyFont="1"/>
    <xf numFmtId="0" fontId="2" fillId="0" borderId="0" xfId="0" applyFont="1" applyFill="1"/>
    <xf numFmtId="0" fontId="0" fillId="0" borderId="0" xfId="0" applyFill="1"/>
    <xf numFmtId="0" fontId="71" fillId="0" borderId="0" xfId="0" applyFont="1" applyFill="1"/>
    <xf numFmtId="10" fontId="13" fillId="0" borderId="0" xfId="16" applyNumberFormat="1" applyFont="1" applyFill="1" applyAlignment="1">
      <alignment horizontal="centerContinuous"/>
    </xf>
    <xf numFmtId="3" fontId="39" fillId="0" borderId="0" xfId="0" applyNumberFormat="1" applyFont="1"/>
    <xf numFmtId="7" fontId="39" fillId="0" borderId="0" xfId="0" applyNumberFormat="1" applyFont="1"/>
    <xf numFmtId="7" fontId="39" fillId="0" borderId="0" xfId="14" applyNumberFormat="1" applyFont="1"/>
    <xf numFmtId="168" fontId="39" fillId="0" borderId="0" xfId="14" applyNumberFormat="1" applyFont="1"/>
    <xf numFmtId="10" fontId="39" fillId="0" borderId="0" xfId="0" applyNumberFormat="1" applyFont="1"/>
    <xf numFmtId="0" fontId="39" fillId="0" borderId="0" xfId="0" applyFont="1"/>
    <xf numFmtId="172" fontId="74" fillId="0" borderId="0" xfId="16" applyNumberFormat="1" applyFont="1" applyFill="1" applyProtection="1">
      <protection locked="0"/>
    </xf>
    <xf numFmtId="173" fontId="74" fillId="0" borderId="0" xfId="16" applyNumberFormat="1" applyFont="1" applyFill="1" applyProtection="1">
      <protection locked="0"/>
    </xf>
    <xf numFmtId="190" fontId="2" fillId="0" borderId="0" xfId="21" applyNumberFormat="1" applyFont="1" applyBorder="1"/>
    <xf numFmtId="10" fontId="33" fillId="0" borderId="9" xfId="21" applyNumberFormat="1" applyFont="1" applyFill="1" applyBorder="1"/>
    <xf numFmtId="3" fontId="1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2" fontId="26" fillId="0" borderId="19" xfId="14" applyNumberFormat="1" applyFont="1" applyBorder="1"/>
    <xf numFmtId="2" fontId="26" fillId="0" borderId="18" xfId="14" applyNumberFormat="1" applyFont="1" applyBorder="1"/>
    <xf numFmtId="5" fontId="73" fillId="0" borderId="2" xfId="16" applyNumberFormat="1" applyFont="1" applyFill="1" applyBorder="1" applyProtection="1"/>
    <xf numFmtId="7" fontId="33" fillId="0" borderId="0" xfId="14" applyNumberFormat="1" applyFont="1" applyBorder="1" applyAlignment="1"/>
    <xf numFmtId="7" fontId="33" fillId="0" borderId="7" xfId="14" applyNumberFormat="1" applyFont="1" applyBorder="1" applyAlignment="1"/>
    <xf numFmtId="171" fontId="33" fillId="0" borderId="0" xfId="14" applyNumberFormat="1" applyFont="1" applyBorder="1" applyAlignment="1"/>
    <xf numFmtId="174" fontId="33" fillId="0" borderId="7" xfId="14" applyNumberFormat="1" applyFont="1" applyBorder="1" applyAlignment="1"/>
    <xf numFmtId="10" fontId="33" fillId="0" borderId="0" xfId="14" applyNumberFormat="1" applyFont="1" applyBorder="1" applyAlignment="1"/>
    <xf numFmtId="10" fontId="33" fillId="0" borderId="7" xfId="21" applyNumberFormat="1" applyFont="1" applyBorder="1" applyAlignment="1"/>
    <xf numFmtId="0" fontId="26" fillId="0" borderId="0" xfId="14" applyFont="1" applyBorder="1" applyAlignment="1"/>
    <xf numFmtId="7" fontId="26" fillId="0" borderId="7" xfId="14" applyNumberFormat="1" applyFont="1" applyBorder="1" applyAlignment="1"/>
    <xf numFmtId="7" fontId="26" fillId="0" borderId="0" xfId="14" applyNumberFormat="1" applyFont="1" applyBorder="1" applyAlignment="1"/>
    <xf numFmtId="179" fontId="26" fillId="0" borderId="0" xfId="14" applyNumberFormat="1" applyFont="1" applyBorder="1" applyAlignment="1"/>
    <xf numFmtId="179" fontId="26" fillId="0" borderId="7" xfId="14" applyNumberFormat="1" applyFont="1" applyBorder="1" applyAlignment="1"/>
    <xf numFmtId="177" fontId="26" fillId="0" borderId="0" xfId="14" applyNumberFormat="1" applyFont="1" applyAlignment="1"/>
    <xf numFmtId="177" fontId="26" fillId="0" borderId="7" xfId="14" applyNumberFormat="1" applyFont="1" applyBorder="1" applyAlignment="1"/>
    <xf numFmtId="10" fontId="26" fillId="0" borderId="1" xfId="21" applyNumberFormat="1" applyFont="1" applyBorder="1" applyAlignment="1"/>
    <xf numFmtId="10" fontId="33" fillId="0" borderId="9" xfId="21" applyNumberFormat="1" applyFont="1" applyFill="1" applyBorder="1" applyAlignment="1"/>
    <xf numFmtId="168" fontId="39" fillId="0" borderId="0" xfId="0" applyNumberFormat="1" applyFont="1" applyAlignment="1">
      <alignment wrapText="1"/>
    </xf>
    <xf numFmtId="3" fontId="75" fillId="0" borderId="0" xfId="0" applyNumberFormat="1" applyFont="1" applyBorder="1" applyAlignment="1">
      <alignment horizontal="centerContinuous"/>
    </xf>
    <xf numFmtId="164" fontId="75" fillId="0" borderId="0" xfId="16" applyFont="1" applyFill="1" applyAlignment="1">
      <alignment horizontal="centerContinuous"/>
    </xf>
    <xf numFmtId="164" fontId="75" fillId="0" borderId="0" xfId="16" applyFont="1" applyFill="1" applyBorder="1" applyAlignment="1">
      <alignment horizontal="centerContinuous"/>
    </xf>
    <xf numFmtId="164" fontId="74" fillId="0" borderId="0" xfId="16" applyFont="1" applyFill="1"/>
    <xf numFmtId="164" fontId="75" fillId="0" borderId="0" xfId="16" applyFont="1" applyFill="1" applyBorder="1" applyAlignment="1">
      <alignment horizontal="center"/>
    </xf>
    <xf numFmtId="164" fontId="74" fillId="0" borderId="0" xfId="16" applyFont="1" applyFill="1" applyBorder="1"/>
    <xf numFmtId="164" fontId="75" fillId="0" borderId="0" xfId="16" applyFont="1" applyFill="1" applyAlignment="1">
      <alignment horizontal="center"/>
    </xf>
    <xf numFmtId="164" fontId="75" fillId="0" borderId="10" xfId="16" quotePrefix="1" applyFont="1" applyFill="1" applyBorder="1" applyAlignment="1">
      <alignment horizontal="center"/>
    </xf>
    <xf numFmtId="164" fontId="75" fillId="0" borderId="10" xfId="16" applyFont="1" applyFill="1" applyBorder="1" applyAlignment="1">
      <alignment horizontal="center"/>
    </xf>
    <xf numFmtId="164" fontId="75" fillId="0" borderId="0" xfId="16" applyFont="1" applyFill="1" applyAlignment="1">
      <alignment horizontal="left"/>
    </xf>
    <xf numFmtId="164" fontId="74" fillId="0" borderId="0" xfId="16" applyFont="1" applyFill="1" applyAlignment="1">
      <alignment horizontal="left"/>
    </xf>
    <xf numFmtId="7" fontId="74" fillId="0" borderId="0" xfId="16" applyNumberFormat="1" applyFont="1" applyFill="1" applyProtection="1">
      <protection locked="0"/>
    </xf>
    <xf numFmtId="7" fontId="74" fillId="0" borderId="0" xfId="16" applyNumberFormat="1" applyFont="1" applyFill="1" applyBorder="1" applyProtection="1">
      <protection locked="0"/>
    </xf>
    <xf numFmtId="0" fontId="74" fillId="0" borderId="0" xfId="0" applyFont="1" applyBorder="1"/>
    <xf numFmtId="164" fontId="76" fillId="0" borderId="0" xfId="16" applyFont="1" applyFill="1" applyAlignment="1">
      <alignment horizontal="left"/>
    </xf>
    <xf numFmtId="164" fontId="76" fillId="0" borderId="0" xfId="16" applyFont="1" applyFill="1"/>
    <xf numFmtId="164" fontId="76" fillId="0" borderId="0" xfId="16" applyFont="1" applyFill="1" applyBorder="1"/>
    <xf numFmtId="0" fontId="76" fillId="0" borderId="0" xfId="0" applyFont="1" applyBorder="1"/>
    <xf numFmtId="7" fontId="74" fillId="0" borderId="0" xfId="16" applyNumberFormat="1" applyFont="1" applyFill="1" applyBorder="1" applyProtection="1"/>
    <xf numFmtId="7" fontId="74" fillId="0" borderId="0" xfId="16" applyNumberFormat="1" applyFont="1" applyFill="1" applyProtection="1"/>
    <xf numFmtId="173" fontId="76" fillId="0" borderId="0" xfId="16" applyNumberFormat="1" applyFont="1" applyFill="1" applyProtection="1">
      <protection locked="0"/>
    </xf>
    <xf numFmtId="177" fontId="74" fillId="0" borderId="0" xfId="16" applyNumberFormat="1" applyFont="1" applyFill="1" applyProtection="1">
      <protection locked="0"/>
    </xf>
    <xf numFmtId="173" fontId="74" fillId="0" borderId="0" xfId="16" applyNumberFormat="1" applyFont="1" applyFill="1" applyProtection="1"/>
    <xf numFmtId="173" fontId="74" fillId="0" borderId="0" xfId="16" applyNumberFormat="1" applyFont="1" applyFill="1" applyBorder="1" applyProtection="1"/>
    <xf numFmtId="174" fontId="74" fillId="0" borderId="0" xfId="16" applyNumberFormat="1" applyFont="1" applyFill="1" applyProtection="1">
      <protection locked="0"/>
    </xf>
    <xf numFmtId="164" fontId="74" fillId="0" borderId="0" xfId="16" applyNumberFormat="1" applyFont="1" applyFill="1" applyProtection="1">
      <protection locked="0"/>
    </xf>
    <xf numFmtId="179" fontId="74" fillId="0" borderId="0" xfId="16" applyNumberFormat="1" applyFont="1" applyFill="1" applyProtection="1">
      <protection locked="0"/>
    </xf>
    <xf numFmtId="164" fontId="77" fillId="0" borderId="0" xfId="16" applyFont="1" applyFill="1" applyAlignment="1">
      <alignment horizontal="left"/>
    </xf>
    <xf numFmtId="178" fontId="74" fillId="0" borderId="0" xfId="1" applyNumberFormat="1" applyFont="1" applyFill="1" applyBorder="1" applyProtection="1">
      <protection locked="0"/>
    </xf>
    <xf numFmtId="49" fontId="75" fillId="0" borderId="0" xfId="16" applyNumberFormat="1" applyFont="1" applyFill="1"/>
    <xf numFmtId="164" fontId="78" fillId="0" borderId="0" xfId="16" applyFont="1" applyFill="1" applyAlignment="1">
      <alignment horizontal="left"/>
    </xf>
    <xf numFmtId="178" fontId="74" fillId="0" borderId="0" xfId="1" applyNumberFormat="1" applyFont="1" applyFill="1" applyProtection="1">
      <protection locked="0"/>
    </xf>
    <xf numFmtId="169" fontId="74" fillId="0" borderId="0" xfId="16" applyNumberFormat="1" applyFont="1" applyFill="1" applyProtection="1">
      <protection locked="0"/>
    </xf>
    <xf numFmtId="169" fontId="74" fillId="0" borderId="0" xfId="16" applyNumberFormat="1" applyFont="1" applyFill="1" applyBorder="1" applyProtection="1">
      <protection locked="0"/>
    </xf>
    <xf numFmtId="169" fontId="74" fillId="0" borderId="0" xfId="16" applyNumberFormat="1" applyFont="1" applyFill="1" applyProtection="1"/>
    <xf numFmtId="169" fontId="74" fillId="0" borderId="0" xfId="16" applyNumberFormat="1" applyFont="1" applyFill="1" applyBorder="1" applyProtection="1"/>
    <xf numFmtId="182" fontId="74" fillId="0" borderId="0" xfId="16" applyNumberFormat="1" applyFont="1" applyFill="1" applyProtection="1">
      <protection locked="0"/>
    </xf>
    <xf numFmtId="164" fontId="74" fillId="0" borderId="0" xfId="16" applyNumberFormat="1" applyFont="1" applyFill="1" applyProtection="1"/>
    <xf numFmtId="164" fontId="74" fillId="0" borderId="0" xfId="16" applyNumberFormat="1" applyFont="1" applyFill="1" applyBorder="1" applyProtection="1"/>
    <xf numFmtId="173" fontId="74" fillId="0" borderId="13" xfId="16" applyNumberFormat="1" applyFont="1" applyFill="1" applyBorder="1" applyProtection="1"/>
    <xf numFmtId="164" fontId="75" fillId="0" borderId="0" xfId="16" applyFont="1" applyFill="1" applyBorder="1" applyAlignment="1">
      <alignment horizontal="left"/>
    </xf>
    <xf numFmtId="164" fontId="74" fillId="0" borderId="0" xfId="16" applyFont="1" applyFill="1" applyBorder="1" applyAlignment="1">
      <alignment horizontal="left"/>
    </xf>
    <xf numFmtId="178" fontId="74" fillId="0" borderId="0" xfId="1" applyNumberFormat="1" applyFont="1" applyFill="1" applyProtection="1"/>
    <xf numFmtId="178" fontId="74" fillId="0" borderId="0" xfId="1" applyNumberFormat="1" applyFont="1" applyFill="1" applyBorder="1" applyProtection="1"/>
    <xf numFmtId="173" fontId="74" fillId="0" borderId="2" xfId="16" applyNumberFormat="1" applyFont="1" applyFill="1" applyBorder="1" applyProtection="1"/>
    <xf numFmtId="10" fontId="74" fillId="0" borderId="0" xfId="21" applyNumberFormat="1" applyFont="1" applyFill="1" applyBorder="1"/>
    <xf numFmtId="164" fontId="74" fillId="0" borderId="0" xfId="16" applyNumberFormat="1" applyFont="1" applyFill="1" applyBorder="1" applyProtection="1">
      <protection locked="0"/>
    </xf>
    <xf numFmtId="177" fontId="74" fillId="0" borderId="0" xfId="16" applyNumberFormat="1" applyFont="1" applyFill="1" applyProtection="1"/>
    <xf numFmtId="177" fontId="74" fillId="0" borderId="1" xfId="16" applyNumberFormat="1" applyFont="1" applyFill="1" applyBorder="1" applyProtection="1"/>
    <xf numFmtId="3" fontId="75" fillId="0" borderId="0" xfId="0" applyNumberFormat="1" applyFont="1" applyAlignment="1">
      <alignment horizontal="centerContinuous"/>
    </xf>
    <xf numFmtId="164" fontId="74" fillId="0" borderId="0" xfId="16" applyFont="1" applyFill="1" applyAlignment="1">
      <alignment horizontal="centerContinuous"/>
    </xf>
    <xf numFmtId="37" fontId="74" fillId="0" borderId="0" xfId="16" applyNumberFormat="1" applyFont="1" applyFill="1" applyProtection="1"/>
    <xf numFmtId="37" fontId="75" fillId="0" borderId="0" xfId="16" applyNumberFormat="1" applyFont="1" applyFill="1" applyProtection="1"/>
    <xf numFmtId="37" fontId="75" fillId="0" borderId="0" xfId="16" applyNumberFormat="1" applyFont="1" applyFill="1" applyAlignment="1" applyProtection="1">
      <alignment horizontal="center"/>
    </xf>
    <xf numFmtId="37" fontId="75" fillId="0" borderId="0" xfId="16" applyNumberFormat="1" applyFont="1" applyFill="1" applyBorder="1" applyAlignment="1" applyProtection="1">
      <alignment horizontal="center"/>
    </xf>
    <xf numFmtId="37" fontId="75" fillId="0" borderId="1" xfId="16" quotePrefix="1" applyNumberFormat="1" applyFont="1" applyFill="1" applyBorder="1" applyAlignment="1" applyProtection="1">
      <alignment horizontal="center"/>
    </xf>
    <xf numFmtId="171" fontId="74" fillId="0" borderId="0" xfId="16" applyNumberFormat="1" applyFont="1" applyFill="1" applyProtection="1"/>
    <xf numFmtId="37" fontId="74" fillId="0" borderId="0" xfId="16" applyNumberFormat="1" applyFont="1" applyFill="1" applyProtection="1">
      <protection locked="0"/>
    </xf>
    <xf numFmtId="5" fontId="74" fillId="0" borderId="0" xfId="16" applyNumberFormat="1" applyFont="1" applyFill="1" applyProtection="1"/>
    <xf numFmtId="37" fontId="74" fillId="0" borderId="0" xfId="16" applyNumberFormat="1" applyFont="1" applyFill="1" applyBorder="1" applyProtection="1"/>
    <xf numFmtId="5" fontId="76" fillId="0" borderId="0" xfId="16" applyNumberFormat="1" applyFont="1" applyFill="1" applyProtection="1"/>
    <xf numFmtId="5" fontId="74" fillId="0" borderId="0" xfId="16" applyNumberFormat="1" applyFont="1" applyFill="1" applyBorder="1" applyProtection="1"/>
    <xf numFmtId="37" fontId="74" fillId="0" borderId="10" xfId="16" applyNumberFormat="1" applyFont="1" applyFill="1" applyBorder="1" applyProtection="1"/>
    <xf numFmtId="5" fontId="74" fillId="0" borderId="10" xfId="16" applyNumberFormat="1" applyFont="1" applyFill="1" applyBorder="1" applyProtection="1"/>
    <xf numFmtId="37" fontId="74" fillId="0" borderId="2" xfId="16" applyNumberFormat="1" applyFont="1" applyFill="1" applyBorder="1" applyProtection="1"/>
    <xf numFmtId="164" fontId="74" fillId="0" borderId="2" xfId="16" applyFont="1" applyFill="1" applyBorder="1"/>
    <xf numFmtId="5" fontId="74" fillId="0" borderId="2" xfId="16" applyNumberFormat="1" applyFont="1" applyFill="1" applyBorder="1" applyProtection="1"/>
    <xf numFmtId="175" fontId="74" fillId="0" borderId="0" xfId="16" applyNumberFormat="1" applyFont="1" applyFill="1" applyProtection="1"/>
    <xf numFmtId="173" fontId="74" fillId="0" borderId="0" xfId="16" applyNumberFormat="1" applyFont="1" applyFill="1" applyBorder="1" applyProtection="1">
      <protection locked="0"/>
    </xf>
    <xf numFmtId="164" fontId="74" fillId="0" borderId="13" xfId="16" applyFont="1" applyFill="1" applyBorder="1"/>
    <xf numFmtId="5" fontId="74" fillId="0" borderId="13" xfId="16" applyNumberFormat="1" applyFont="1" applyFill="1" applyBorder="1" applyProtection="1"/>
    <xf numFmtId="37" fontId="74" fillId="0" borderId="13" xfId="16" applyNumberFormat="1" applyFont="1" applyFill="1" applyBorder="1" applyProtection="1"/>
    <xf numFmtId="37" fontId="74" fillId="0" borderId="1" xfId="16" applyNumberFormat="1" applyFont="1" applyFill="1" applyBorder="1" applyProtection="1">
      <protection locked="0"/>
    </xf>
    <xf numFmtId="164" fontId="74" fillId="0" borderId="1" xfId="16" applyFont="1" applyFill="1" applyBorder="1"/>
    <xf numFmtId="5" fontId="74" fillId="0" borderId="1" xfId="16" applyNumberFormat="1" applyFont="1" applyFill="1" applyBorder="1" applyProtection="1"/>
    <xf numFmtId="37" fontId="74" fillId="0" borderId="2" xfId="16" applyNumberFormat="1" applyFont="1" applyFill="1" applyBorder="1" applyProtection="1">
      <protection locked="0"/>
    </xf>
    <xf numFmtId="37" fontId="74" fillId="0" borderId="14" xfId="16" applyNumberFormat="1" applyFont="1" applyFill="1" applyBorder="1" applyProtection="1"/>
    <xf numFmtId="164" fontId="74" fillId="0" borderId="10" xfId="16" applyFont="1" applyFill="1" applyBorder="1"/>
    <xf numFmtId="37" fontId="74" fillId="0" borderId="13" xfId="16" applyNumberFormat="1" applyFont="1" applyFill="1" applyBorder="1" applyProtection="1">
      <protection locked="0"/>
    </xf>
    <xf numFmtId="37" fontId="74" fillId="0" borderId="10" xfId="16" applyNumberFormat="1" applyFont="1" applyFill="1" applyBorder="1" applyProtection="1">
      <protection locked="0"/>
    </xf>
    <xf numFmtId="170" fontId="74" fillId="0" borderId="13" xfId="1" applyNumberFormat="1" applyFont="1" applyFill="1" applyBorder="1"/>
    <xf numFmtId="170" fontId="74" fillId="0" borderId="0" xfId="1" applyNumberFormat="1" applyFont="1" applyFill="1" applyBorder="1"/>
    <xf numFmtId="37" fontId="74" fillId="0" borderId="0" xfId="16" applyNumberFormat="1" applyFont="1" applyFill="1" applyBorder="1" applyProtection="1">
      <protection locked="0"/>
    </xf>
    <xf numFmtId="181" fontId="74" fillId="0" borderId="0" xfId="16" applyNumberFormat="1" applyFont="1" applyFill="1" applyProtection="1"/>
    <xf numFmtId="37" fontId="74" fillId="0" borderId="1" xfId="16" applyNumberFormat="1" applyFont="1" applyFill="1" applyBorder="1" applyProtection="1"/>
    <xf numFmtId="39" fontId="74" fillId="0" borderId="0" xfId="16" applyNumberFormat="1" applyFont="1" applyFill="1" applyProtection="1"/>
    <xf numFmtId="177" fontId="74" fillId="0" borderId="0" xfId="16" applyNumberFormat="1" applyFont="1" applyFill="1" applyBorder="1" applyProtection="1"/>
    <xf numFmtId="5" fontId="74" fillId="0" borderId="0" xfId="16" applyNumberFormat="1" applyFont="1" applyFill="1" applyProtection="1">
      <protection locked="0"/>
    </xf>
    <xf numFmtId="5" fontId="74" fillId="0" borderId="1" xfId="16" applyNumberFormat="1" applyFont="1" applyFill="1" applyBorder="1" applyProtection="1">
      <protection locked="0"/>
    </xf>
    <xf numFmtId="37" fontId="74" fillId="0" borderId="15" xfId="16" applyNumberFormat="1" applyFont="1" applyFill="1" applyBorder="1" applyProtection="1"/>
    <xf numFmtId="5" fontId="74" fillId="0" borderId="15" xfId="16" applyNumberFormat="1" applyFont="1" applyFill="1" applyBorder="1" applyProtection="1"/>
    <xf numFmtId="5" fontId="74" fillId="0" borderId="0" xfId="16" applyNumberFormat="1" applyFont="1" applyFill="1" applyBorder="1" applyProtection="1">
      <protection locked="0"/>
    </xf>
    <xf numFmtId="165" fontId="74" fillId="0" borderId="0" xfId="1" applyNumberFormat="1" applyFont="1" applyFill="1"/>
    <xf numFmtId="165" fontId="74" fillId="0" borderId="2" xfId="1" applyNumberFormat="1" applyFont="1" applyFill="1" applyBorder="1"/>
    <xf numFmtId="37" fontId="0" fillId="0" borderId="0" xfId="0" applyNumberFormat="1"/>
    <xf numFmtId="168" fontId="73" fillId="0" borderId="0" xfId="16" applyNumberFormat="1" applyFont="1" applyFill="1" applyProtection="1">
      <protection locked="0"/>
    </xf>
    <xf numFmtId="10" fontId="2" fillId="0" borderId="0" xfId="15" applyNumberFormat="1" applyFont="1" applyFill="1" applyBorder="1" applyAlignment="1">
      <alignment horizontal="right"/>
    </xf>
    <xf numFmtId="164" fontId="81" fillId="0" borderId="0" xfId="15" applyFont="1" applyAlignment="1">
      <alignment horizontal="centerContinuous"/>
    </xf>
    <xf numFmtId="164" fontId="81" fillId="0" borderId="0" xfId="15" applyFont="1" applyFill="1" applyAlignment="1">
      <alignment horizontal="centerContinuous"/>
    </xf>
    <xf numFmtId="164" fontId="73" fillId="0" borderId="0" xfId="15" applyFont="1" applyFill="1" applyAlignment="1">
      <alignment horizontal="centerContinuous"/>
    </xf>
    <xf numFmtId="10" fontId="73" fillId="0" borderId="0" xfId="15" applyNumberFormat="1" applyFont="1" applyFill="1" applyAlignment="1">
      <alignment horizontal="centerContinuous"/>
    </xf>
    <xf numFmtId="164" fontId="73" fillId="0" borderId="0" xfId="15" applyFont="1"/>
    <xf numFmtId="0" fontId="73" fillId="0" borderId="0" xfId="8" applyFont="1" applyAlignment="1">
      <alignment horizontal="centerContinuous"/>
    </xf>
    <xf numFmtId="0" fontId="73" fillId="0" borderId="0" xfId="8" applyFont="1" applyAlignment="1"/>
    <xf numFmtId="164" fontId="73" fillId="0" borderId="0" xfId="15" applyFont="1" applyAlignment="1">
      <alignment horizontal="centerContinuous"/>
    </xf>
    <xf numFmtId="164" fontId="81" fillId="0" borderId="0" xfId="15" applyFont="1" applyFill="1" applyAlignment="1">
      <alignment horizontal="center"/>
    </xf>
    <xf numFmtId="164" fontId="81" fillId="0" borderId="0" xfId="15" applyFont="1" applyAlignment="1">
      <alignment horizontal="center"/>
    </xf>
    <xf numFmtId="164" fontId="81" fillId="0" borderId="0" xfId="15" applyFont="1" applyFill="1" applyBorder="1" applyAlignment="1">
      <alignment horizontal="center"/>
    </xf>
    <xf numFmtId="164" fontId="81" fillId="0" borderId="0" xfId="15" applyFont="1" applyFill="1" applyBorder="1" applyAlignment="1">
      <alignment horizontal="centerContinuous"/>
    </xf>
    <xf numFmtId="164" fontId="81" fillId="0" borderId="0" xfId="15" applyFont="1"/>
    <xf numFmtId="10" fontId="81" fillId="0" borderId="0" xfId="15" applyNumberFormat="1" applyFont="1" applyFill="1" applyBorder="1" applyAlignment="1">
      <alignment horizontal="centerContinuous"/>
    </xf>
    <xf numFmtId="164" fontId="81" fillId="0" borderId="1" xfId="15" applyFont="1" applyBorder="1" applyAlignment="1">
      <alignment horizontal="center"/>
    </xf>
    <xf numFmtId="164" fontId="81" fillId="0" borderId="1" xfId="15" applyFont="1" applyFill="1" applyBorder="1" applyAlignment="1">
      <alignment horizontal="center"/>
    </xf>
    <xf numFmtId="164" fontId="81" fillId="0" borderId="1" xfId="15" quotePrefix="1" applyFont="1" applyFill="1" applyBorder="1" applyAlignment="1">
      <alignment horizontal="center"/>
    </xf>
    <xf numFmtId="10" fontId="81" fillId="0" borderId="1" xfId="15" applyNumberFormat="1" applyFont="1" applyFill="1" applyBorder="1" applyAlignment="1">
      <alignment horizontal="center"/>
    </xf>
    <xf numFmtId="37" fontId="81" fillId="0" borderId="0" xfId="15" quotePrefix="1" applyNumberFormat="1" applyFont="1" applyAlignment="1">
      <alignment horizontal="center"/>
    </xf>
    <xf numFmtId="37" fontId="81" fillId="0" borderId="0" xfId="15" quotePrefix="1" applyNumberFormat="1" applyFont="1" applyFill="1" applyAlignment="1">
      <alignment horizontal="center"/>
    </xf>
    <xf numFmtId="164" fontId="81" fillId="0" borderId="0" xfId="15" applyFont="1" applyFill="1"/>
    <xf numFmtId="164" fontId="73" fillId="0" borderId="0" xfId="15" applyFont="1" applyFill="1"/>
    <xf numFmtId="10" fontId="73" fillId="0" borderId="0" xfId="15" applyNumberFormat="1" applyFont="1" applyFill="1"/>
    <xf numFmtId="164" fontId="73" fillId="0" borderId="0" xfId="15" applyFont="1" applyAlignment="1">
      <alignment horizontal="right"/>
    </xf>
    <xf numFmtId="165" fontId="73" fillId="0" borderId="0" xfId="1" applyNumberFormat="1" applyFont="1" applyFill="1"/>
    <xf numFmtId="5" fontId="73" fillId="0" borderId="0" xfId="3" applyNumberFormat="1" applyFont="1" applyFill="1"/>
    <xf numFmtId="5" fontId="73" fillId="0" borderId="0" xfId="15" applyNumberFormat="1" applyFont="1" applyFill="1"/>
    <xf numFmtId="164" fontId="73" fillId="0" borderId="0" xfId="28" applyFont="1" applyFill="1"/>
    <xf numFmtId="10" fontId="73" fillId="0" borderId="0" xfId="3" applyNumberFormat="1" applyFont="1" applyFill="1"/>
    <xf numFmtId="164" fontId="73" fillId="0" borderId="0" xfId="15" applyFont="1" applyBorder="1" applyAlignment="1">
      <alignment horizontal="right"/>
    </xf>
    <xf numFmtId="164" fontId="73" fillId="0" borderId="1" xfId="15" applyFont="1" applyFill="1" applyBorder="1" applyAlignment="1">
      <alignment horizontal="right"/>
    </xf>
    <xf numFmtId="5" fontId="73" fillId="0" borderId="1" xfId="3" applyNumberFormat="1" applyFont="1" applyFill="1" applyBorder="1"/>
    <xf numFmtId="10" fontId="73" fillId="0" borderId="1" xfId="3" applyNumberFormat="1" applyFont="1" applyFill="1" applyBorder="1"/>
    <xf numFmtId="169" fontId="73" fillId="0" borderId="0" xfId="3" applyNumberFormat="1" applyFont="1" applyFill="1"/>
    <xf numFmtId="164" fontId="73" fillId="0" borderId="0" xfId="15" quotePrefix="1" applyFont="1" applyAlignment="1">
      <alignment horizontal="right"/>
    </xf>
    <xf numFmtId="165" fontId="73" fillId="0" borderId="1" xfId="1" applyNumberFormat="1" applyFont="1" applyFill="1" applyBorder="1"/>
    <xf numFmtId="164" fontId="82" fillId="0" borderId="0" xfId="15" applyFont="1"/>
    <xf numFmtId="164" fontId="81" fillId="0" borderId="0" xfId="15" applyFont="1" applyAlignment="1">
      <alignment wrapText="1"/>
    </xf>
    <xf numFmtId="3" fontId="73" fillId="0" borderId="0" xfId="15" applyNumberFormat="1" applyFont="1" applyFill="1"/>
    <xf numFmtId="5" fontId="73" fillId="0" borderId="0" xfId="15" applyNumberFormat="1" applyFont="1" applyFill="1" applyBorder="1"/>
    <xf numFmtId="5" fontId="73" fillId="0" borderId="0" xfId="3" applyNumberFormat="1" applyFont="1" applyFill="1" applyBorder="1"/>
    <xf numFmtId="164" fontId="73" fillId="0" borderId="0" xfId="15" applyFont="1" applyFill="1" applyBorder="1"/>
    <xf numFmtId="10" fontId="73" fillId="0" borderId="0" xfId="3" applyNumberFormat="1" applyFont="1" applyFill="1" applyBorder="1"/>
    <xf numFmtId="166" fontId="73" fillId="0" borderId="0" xfId="3" applyNumberFormat="1" applyFont="1" applyFill="1"/>
    <xf numFmtId="166" fontId="73" fillId="0" borderId="0" xfId="15" applyNumberFormat="1" applyFont="1" applyFill="1"/>
    <xf numFmtId="165" fontId="73" fillId="0" borderId="1" xfId="1" applyNumberFormat="1" applyFont="1" applyFill="1" applyBorder="1" applyAlignment="1">
      <alignment horizontal="right"/>
    </xf>
    <xf numFmtId="164" fontId="73" fillId="0" borderId="0" xfId="15" applyFont="1" applyBorder="1"/>
    <xf numFmtId="5" fontId="73" fillId="0" borderId="1" xfId="1" applyNumberFormat="1" applyFont="1" applyFill="1" applyBorder="1"/>
    <xf numFmtId="165" fontId="73" fillId="0" borderId="2" xfId="1" applyNumberFormat="1" applyFont="1" applyFill="1" applyBorder="1"/>
    <xf numFmtId="5" fontId="73" fillId="0" borderId="2" xfId="3" applyNumberFormat="1" applyFont="1" applyFill="1" applyBorder="1"/>
    <xf numFmtId="10" fontId="73" fillId="0" borderId="2" xfId="3" applyNumberFormat="1" applyFont="1" applyFill="1" applyBorder="1"/>
    <xf numFmtId="164" fontId="81" fillId="0" borderId="0" xfId="15" applyFont="1" applyAlignment="1">
      <alignment horizontal="left" wrapText="1"/>
    </xf>
    <xf numFmtId="164" fontId="73" fillId="0" borderId="0" xfId="15" applyFont="1" applyFill="1" applyAlignment="1">
      <alignment horizontal="right"/>
    </xf>
    <xf numFmtId="10" fontId="73" fillId="0" borderId="0" xfId="15" applyNumberFormat="1" applyFont="1" applyFill="1" applyBorder="1"/>
    <xf numFmtId="10" fontId="73" fillId="0" borderId="0" xfId="15" quotePrefix="1" applyNumberFormat="1" applyFont="1" applyFill="1"/>
    <xf numFmtId="179" fontId="26" fillId="0" borderId="0" xfId="14" applyNumberFormat="1" applyFont="1"/>
    <xf numFmtId="0" fontId="2" fillId="0" borderId="0" xfId="147" applyAlignment="1">
      <alignment horizontal="centerContinuous"/>
    </xf>
    <xf numFmtId="0" fontId="2" fillId="0" borderId="0" xfId="147" applyAlignment="1"/>
    <xf numFmtId="164" fontId="3" fillId="0" borderId="0" xfId="15" applyFont="1" applyFill="1" applyBorder="1" applyAlignment="1">
      <alignment horizontal="centerContinuous"/>
    </xf>
    <xf numFmtId="164" fontId="2" fillId="0" borderId="0" xfId="28" applyFill="1"/>
    <xf numFmtId="10" fontId="95" fillId="0" borderId="1" xfId="3" applyNumberFormat="1" applyFont="1" applyFill="1" applyBorder="1"/>
    <xf numFmtId="10" fontId="95" fillId="0" borderId="0" xfId="3" applyNumberFormat="1" applyFont="1" applyFill="1"/>
    <xf numFmtId="5" fontId="95" fillId="0" borderId="1" xfId="3" applyNumberFormat="1" applyFont="1" applyFill="1" applyBorder="1"/>
    <xf numFmtId="164" fontId="95" fillId="0" borderId="0" xfId="15" applyFont="1" applyFill="1"/>
    <xf numFmtId="5" fontId="95" fillId="0" borderId="0" xfId="3" applyNumberFormat="1" applyFont="1" applyFill="1"/>
    <xf numFmtId="166" fontId="95" fillId="0" borderId="0" xfId="15" applyNumberFormat="1" applyFont="1" applyFill="1"/>
    <xf numFmtId="164" fontId="3" fillId="0" borderId="1" xfId="15" applyFont="1" applyBorder="1"/>
    <xf numFmtId="164" fontId="2" fillId="0" borderId="1" xfId="15" applyBorder="1"/>
    <xf numFmtId="164" fontId="2" fillId="0" borderId="11" xfId="15" applyFill="1" applyBorder="1"/>
    <xf numFmtId="164" fontId="2" fillId="0" borderId="16" xfId="15" applyFill="1" applyBorder="1"/>
    <xf numFmtId="164" fontId="2" fillId="0" borderId="16" xfId="15" applyFont="1" applyFill="1" applyBorder="1" applyAlignment="1">
      <alignment horizontal="right"/>
    </xf>
    <xf numFmtId="193" fontId="73" fillId="0" borderId="16" xfId="3" applyNumberFormat="1" applyFont="1" applyFill="1" applyBorder="1"/>
    <xf numFmtId="164" fontId="2" fillId="0" borderId="12" xfId="15" applyFont="1" applyFill="1" applyBorder="1"/>
    <xf numFmtId="164" fontId="2" fillId="0" borderId="6" xfId="15" applyFill="1" applyBorder="1"/>
    <xf numFmtId="164" fontId="2" fillId="0" borderId="0" xfId="15" applyFont="1" applyFill="1" applyBorder="1" applyAlignment="1">
      <alignment horizontal="right"/>
    </xf>
    <xf numFmtId="164" fontId="2" fillId="0" borderId="7" xfId="15" applyFont="1" applyFill="1" applyBorder="1"/>
    <xf numFmtId="10" fontId="73" fillId="5" borderId="0" xfId="15" applyNumberFormat="1" applyFont="1" applyFill="1" applyBorder="1"/>
    <xf numFmtId="10" fontId="2" fillId="0" borderId="7" xfId="15" applyNumberFormat="1" applyFont="1" applyFill="1" applyBorder="1" applyAlignment="1">
      <alignment horizontal="center"/>
    </xf>
    <xf numFmtId="10" fontId="95" fillId="0" borderId="7" xfId="15" quotePrefix="1" applyNumberFormat="1" applyFont="1" applyFill="1" applyBorder="1"/>
    <xf numFmtId="10" fontId="2" fillId="0" borderId="0" xfId="15" quotePrefix="1" applyNumberFormat="1" applyFont="1" applyFill="1" applyBorder="1" applyAlignment="1">
      <alignment horizontal="right"/>
    </xf>
    <xf numFmtId="10" fontId="95" fillId="5" borderId="7" xfId="15" quotePrefix="1" applyNumberFormat="1" applyFont="1" applyFill="1" applyBorder="1"/>
    <xf numFmtId="10" fontId="95" fillId="0" borderId="0" xfId="15" applyNumberFormat="1" applyFont="1" applyFill="1" applyBorder="1"/>
    <xf numFmtId="164" fontId="2" fillId="0" borderId="8" xfId="15" applyFill="1" applyBorder="1"/>
    <xf numFmtId="164" fontId="2" fillId="0" borderId="1" xfId="15" applyFill="1" applyBorder="1"/>
    <xf numFmtId="164" fontId="2" fillId="0" borderId="1" xfId="15" applyFont="1" applyFill="1" applyBorder="1" applyAlignment="1">
      <alignment horizontal="right"/>
    </xf>
    <xf numFmtId="10" fontId="95" fillId="0" borderId="9" xfId="15" quotePrefix="1" applyNumberFormat="1" applyFont="1" applyFill="1" applyBorder="1"/>
    <xf numFmtId="164" fontId="2" fillId="0" borderId="0" xfId="15" applyFont="1" applyFill="1" applyAlignment="1">
      <alignment horizontal="right"/>
    </xf>
    <xf numFmtId="10" fontId="95" fillId="0" borderId="0" xfId="15" quotePrefix="1" applyNumberFormat="1" applyFont="1" applyFill="1"/>
    <xf numFmtId="0" fontId="26" fillId="0" borderId="0" xfId="0" applyFont="1"/>
    <xf numFmtId="0" fontId="4" fillId="0" borderId="0" xfId="0" applyFont="1"/>
    <xf numFmtId="164" fontId="1" fillId="0" borderId="0" xfId="16" applyFont="1" applyFill="1" applyAlignment="1">
      <alignment horizontal="left"/>
    </xf>
    <xf numFmtId="164" fontId="98" fillId="0" borderId="0" xfId="16" applyFont="1" applyFill="1" applyAlignment="1">
      <alignment horizontal="left"/>
    </xf>
    <xf numFmtId="0" fontId="4" fillId="0" borderId="0" xfId="0" applyFont="1" applyAlignment="1">
      <alignment horizontal="center"/>
    </xf>
    <xf numFmtId="7" fontId="74" fillId="0" borderId="0" xfId="16" applyNumberFormat="1" applyFont="1" applyFill="1" applyAlignment="1" applyProtection="1">
      <alignment horizontal="center"/>
      <protection locked="0"/>
    </xf>
    <xf numFmtId="172" fontId="1" fillId="0" borderId="0" xfId="16" applyNumberFormat="1" applyFont="1" applyFill="1" applyProtection="1">
      <protection locked="0"/>
    </xf>
    <xf numFmtId="10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 indent="8"/>
    </xf>
    <xf numFmtId="0" fontId="74" fillId="0" borderId="0" xfId="16" applyNumberFormat="1" applyFont="1" applyFill="1" applyProtection="1">
      <protection locked="0"/>
    </xf>
    <xf numFmtId="1" fontId="49" fillId="0" borderId="29" xfId="12" applyNumberFormat="1" applyFont="1" applyFill="1" applyBorder="1" applyAlignment="1">
      <alignment horizontal="center"/>
    </xf>
    <xf numFmtId="1" fontId="49" fillId="0" borderId="30" xfId="12" applyNumberFormat="1" applyFont="1" applyFill="1" applyBorder="1" applyAlignment="1">
      <alignment horizontal="center"/>
    </xf>
    <xf numFmtId="7" fontId="28" fillId="0" borderId="0" xfId="14" applyNumberFormat="1" applyFont="1" applyBorder="1" applyAlignment="1">
      <alignment horizontal="center"/>
    </xf>
  </cellXfs>
  <cellStyles count="232">
    <cellStyle name="20% - Accent1 2" xfId="210"/>
    <cellStyle name="20% - Accent2 2" xfId="211"/>
    <cellStyle name="20% - Accent3 2" xfId="212"/>
    <cellStyle name="20% - Accent4 2" xfId="213"/>
    <cellStyle name="20% - Accent5 2" xfId="214"/>
    <cellStyle name="20% - Accent6 2" xfId="215"/>
    <cellStyle name="40% - Accent1 2" xfId="216"/>
    <cellStyle name="40% - Accent2 2" xfId="217"/>
    <cellStyle name="40% - Accent3 2" xfId="218"/>
    <cellStyle name="40% - Accent4 2" xfId="219"/>
    <cellStyle name="40% - Accent5 2" xfId="220"/>
    <cellStyle name="40% - Accent6 2" xfId="221"/>
    <cellStyle name="Comma" xfId="1" builtinId="3"/>
    <cellStyle name="Comma 10" xfId="222"/>
    <cellStyle name="Comma 11" xfId="29"/>
    <cellStyle name="Comma 19" xfId="30"/>
    <cellStyle name="Comma 2" xfId="2"/>
    <cellStyle name="Comma 2 10" xfId="31"/>
    <cellStyle name="Comma 2 11" xfId="32"/>
    <cellStyle name="Comma 2 12" xfId="33"/>
    <cellStyle name="Comma 2 13" xfId="34"/>
    <cellStyle name="Comma 2 14" xfId="35"/>
    <cellStyle name="Comma 2 15" xfId="36"/>
    <cellStyle name="Comma 2 16" xfId="37"/>
    <cellStyle name="Comma 2 17" xfId="38"/>
    <cellStyle name="Comma 2 18" xfId="39"/>
    <cellStyle name="Comma 2 19" xfId="40"/>
    <cellStyle name="Comma 2 2" xfId="41"/>
    <cellStyle name="Comma 2 20" xfId="42"/>
    <cellStyle name="Comma 2 21" xfId="43"/>
    <cellStyle name="Comma 2 3" xfId="44"/>
    <cellStyle name="Comma 2 4" xfId="45"/>
    <cellStyle name="Comma 2 5" xfId="46"/>
    <cellStyle name="Comma 2 6" xfId="47"/>
    <cellStyle name="Comma 2 7" xfId="48"/>
    <cellStyle name="Comma 2 8" xfId="49"/>
    <cellStyle name="Comma 2 9" xfId="50"/>
    <cellStyle name="Comma 21" xfId="51"/>
    <cellStyle name="Comma 22" xfId="52"/>
    <cellStyle name="Comma 3" xfId="138"/>
    <cellStyle name="Comma 4" xfId="53"/>
    <cellStyle name="Comma 5" xfId="54"/>
    <cellStyle name="Comma 6" xfId="139"/>
    <cellStyle name="Comma 6 2" xfId="140"/>
    <cellStyle name="Comma 7" xfId="223"/>
    <cellStyle name="Comma 8" xfId="224"/>
    <cellStyle name="Currency" xfId="3" builtinId="4"/>
    <cellStyle name="Currency 2" xfId="4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0" xfId="66"/>
    <cellStyle name="Currency 2 21" xfId="67"/>
    <cellStyle name="Currency 2 3" xfId="68"/>
    <cellStyle name="Currency 2 4" xfId="69"/>
    <cellStyle name="Currency 2 5" xfId="70"/>
    <cellStyle name="Currency 2 6" xfId="71"/>
    <cellStyle name="Currency 2 7" xfId="72"/>
    <cellStyle name="Currency 2 8" xfId="73"/>
    <cellStyle name="Currency 2 9" xfId="74"/>
    <cellStyle name="Currency 3" xfId="141"/>
    <cellStyle name="Currency 4" xfId="142"/>
    <cellStyle name="Currency 5" xfId="143"/>
    <cellStyle name="Currency 6" xfId="225"/>
    <cellStyle name="Currency No Comma" xfId="144"/>
    <cellStyle name="General" xfId="5"/>
    <cellStyle name="MCP" xfId="145"/>
    <cellStyle name="nONE" xfId="6"/>
    <cellStyle name="noninput" xfId="146"/>
    <cellStyle name="Normal" xfId="0" builtinId="0"/>
    <cellStyle name="Normal 10" xfId="75"/>
    <cellStyle name="Normal 11" xfId="76"/>
    <cellStyle name="Normal 11 2" xfId="147"/>
    <cellStyle name="Normal 12" xfId="77"/>
    <cellStyle name="Normal 13" xfId="78"/>
    <cellStyle name="Normal 14" xfId="79"/>
    <cellStyle name="Normal 15" xfId="148"/>
    <cellStyle name="Normal 16" xfId="80"/>
    <cellStyle name="Normal 17" xfId="81"/>
    <cellStyle name="Normal 18" xfId="82"/>
    <cellStyle name="Normal 19" xfId="83"/>
    <cellStyle name="Normal 2" xfId="7"/>
    <cellStyle name="Normal 2 10" xfId="84"/>
    <cellStyle name="Normal 2 11" xfId="85"/>
    <cellStyle name="Normal 2 12" xfId="86"/>
    <cellStyle name="Normal 2 13" xfId="87"/>
    <cellStyle name="Normal 2 14" xfId="88"/>
    <cellStyle name="Normal 2 15" xfId="89"/>
    <cellStyle name="Normal 2 16" xfId="90"/>
    <cellStyle name="Normal 2 17" xfId="91"/>
    <cellStyle name="Normal 2 18" xfId="92"/>
    <cellStyle name="Normal 2 19" xfId="93"/>
    <cellStyle name="Normal 2 2" xfId="94"/>
    <cellStyle name="Normal 2 2 2" xfId="226"/>
    <cellStyle name="Normal 2 20" xfId="95"/>
    <cellStyle name="Normal 2 21" xfId="96"/>
    <cellStyle name="Normal 2 22" xfId="97"/>
    <cellStyle name="Normal 2 23" xfId="227"/>
    <cellStyle name="Normal 2 24" xfId="228"/>
    <cellStyle name="Normal 2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2_Book1" xfId="105"/>
    <cellStyle name="Normal 20" xfId="106"/>
    <cellStyle name="Normal 21" xfId="107"/>
    <cellStyle name="Normal 22" xfId="108"/>
    <cellStyle name="Normal 23" xfId="109"/>
    <cellStyle name="Normal 24" xfId="110"/>
    <cellStyle name="Normal 25" xfId="149"/>
    <cellStyle name="Normal 25 2" xfId="150"/>
    <cellStyle name="Normal 26" xfId="151"/>
    <cellStyle name="Normal 27" xfId="152"/>
    <cellStyle name="Normal 28" xfId="153"/>
    <cellStyle name="Normal 29" xfId="154"/>
    <cellStyle name="Normal 3" xfId="8"/>
    <cellStyle name="Normal 3 2" xfId="9"/>
    <cellStyle name="Normal 30" xfId="155"/>
    <cellStyle name="Normal 31" xfId="156"/>
    <cellStyle name="Normal 32" xfId="229"/>
    <cellStyle name="Normal 4" xfId="10"/>
    <cellStyle name="Normal 4 2" xfId="157"/>
    <cellStyle name="Normal 5" xfId="11"/>
    <cellStyle name="Normal 5 2" xfId="158"/>
    <cellStyle name="Normal 6" xfId="12"/>
    <cellStyle name="Normal 7" xfId="13"/>
    <cellStyle name="Normal 8" xfId="111"/>
    <cellStyle name="Normal 9" xfId="112"/>
    <cellStyle name="Normal_Bill Comp Settlement with New DSM" xfId="14"/>
    <cellStyle name="Normal_Blocking 03-01" xfId="15"/>
    <cellStyle name="Normal_Blocking 03-01 2" xfId="28"/>
    <cellStyle name="Normal_Blocking 09-00" xfId="16"/>
    <cellStyle name="Normal_Blocking 09-00 2" xfId="17"/>
    <cellStyle name="Normal_Book4" xfId="18"/>
    <cellStyle name="Normal_OR UE179 Blocking Stipulation FINAL IMPL JAN07" xfId="19"/>
    <cellStyle name="Normal_Utah Res Cust Chrg - Settlement" xfId="20"/>
    <cellStyle name="Note 2" xfId="159"/>
    <cellStyle name="Note 3" xfId="160"/>
    <cellStyle name="Password" xfId="161"/>
    <cellStyle name="Percent" xfId="21" builtinId="5"/>
    <cellStyle name="Percent 10" xfId="162"/>
    <cellStyle name="Percent 11" xfId="163"/>
    <cellStyle name="Percent 13" xfId="113"/>
    <cellStyle name="Percent 19" xfId="114"/>
    <cellStyle name="Percent 2" xfId="22"/>
    <cellStyle name="Percent 2 10" xfId="115"/>
    <cellStyle name="Percent 2 11" xfId="116"/>
    <cellStyle name="Percent 2 12" xfId="117"/>
    <cellStyle name="Percent 2 13" xfId="118"/>
    <cellStyle name="Percent 2 14" xfId="119"/>
    <cellStyle name="Percent 2 15" xfId="120"/>
    <cellStyle name="Percent 2 16" xfId="121"/>
    <cellStyle name="Percent 2 17" xfId="122"/>
    <cellStyle name="Percent 2 18" xfId="123"/>
    <cellStyle name="Percent 2 19" xfId="124"/>
    <cellStyle name="Percent 2 2" xfId="23"/>
    <cellStyle name="Percent 2 20" xfId="125"/>
    <cellStyle name="Percent 2 21" xfId="126"/>
    <cellStyle name="Percent 2 3" xfId="127"/>
    <cellStyle name="Percent 2 4" xfId="128"/>
    <cellStyle name="Percent 2 5" xfId="129"/>
    <cellStyle name="Percent 2 6" xfId="130"/>
    <cellStyle name="Percent 2 7" xfId="131"/>
    <cellStyle name="Percent 2 8" xfId="132"/>
    <cellStyle name="Percent 2 9" xfId="133"/>
    <cellStyle name="Percent 22" xfId="134"/>
    <cellStyle name="Percent 3" xfId="24"/>
    <cellStyle name="Percent 4" xfId="25"/>
    <cellStyle name="Percent 5" xfId="26"/>
    <cellStyle name="Percent 6" xfId="135"/>
    <cellStyle name="Percent 7" xfId="164"/>
    <cellStyle name="Percent 8" xfId="165"/>
    <cellStyle name="Percent 8 2" xfId="166"/>
    <cellStyle name="Percent 9" xfId="167"/>
    <cellStyle name="SAPBEXaggData" xfId="168"/>
    <cellStyle name="SAPBEXaggDataEmph" xfId="169"/>
    <cellStyle name="SAPBEXaggItem" xfId="170"/>
    <cellStyle name="SAPBEXaggItemX" xfId="171"/>
    <cellStyle name="SAPBEXchaText" xfId="136"/>
    <cellStyle name="SAPBEXchaText 2" xfId="230"/>
    <cellStyle name="SAPBEXexcBad7" xfId="172"/>
    <cellStyle name="SAPBEXexcBad8" xfId="173"/>
    <cellStyle name="SAPBEXexcBad9" xfId="174"/>
    <cellStyle name="SAPBEXexcCritical4" xfId="175"/>
    <cellStyle name="SAPBEXexcCritical5" xfId="176"/>
    <cellStyle name="SAPBEXexcCritical6" xfId="177"/>
    <cellStyle name="SAPBEXexcGood1" xfId="178"/>
    <cellStyle name="SAPBEXexcGood2" xfId="179"/>
    <cellStyle name="SAPBEXexcGood3" xfId="180"/>
    <cellStyle name="SAPBEXfilterDrill" xfId="181"/>
    <cellStyle name="SAPBEXfilterItem" xfId="182"/>
    <cellStyle name="SAPBEXfilterText" xfId="183"/>
    <cellStyle name="SAPBEXformats" xfId="184"/>
    <cellStyle name="SAPBEXheaderItem" xfId="185"/>
    <cellStyle name="SAPBEXheaderText" xfId="186"/>
    <cellStyle name="SAPBEXHLevel0" xfId="187"/>
    <cellStyle name="SAPBEXHLevel0X" xfId="188"/>
    <cellStyle name="SAPBEXHLevel1" xfId="189"/>
    <cellStyle name="SAPBEXHLevel1X" xfId="190"/>
    <cellStyle name="SAPBEXHLevel2" xfId="191"/>
    <cellStyle name="SAPBEXHLevel2X" xfId="192"/>
    <cellStyle name="SAPBEXHLevel3" xfId="193"/>
    <cellStyle name="SAPBEXHLevel3X" xfId="194"/>
    <cellStyle name="SAPBEXresData" xfId="195"/>
    <cellStyle name="SAPBEXresDataEmph" xfId="196"/>
    <cellStyle name="SAPBEXresItem" xfId="197"/>
    <cellStyle name="SAPBEXresItemX" xfId="198"/>
    <cellStyle name="SAPBEXstdData" xfId="199"/>
    <cellStyle name="SAPBEXstdDataEmph" xfId="200"/>
    <cellStyle name="SAPBEXstdItem" xfId="201"/>
    <cellStyle name="SAPBEXstdItemX" xfId="202"/>
    <cellStyle name="SAPBEXtitle" xfId="137"/>
    <cellStyle name="SAPBEXtitle 2" xfId="231"/>
    <cellStyle name="SAPBEXundefined" xfId="203"/>
    <cellStyle name="Style 27" xfId="204"/>
    <cellStyle name="Style 35" xfId="205"/>
    <cellStyle name="Style 36" xfId="206"/>
    <cellStyle name="TRANSMISSION RELIABILITY PORTION OF PROJECT" xfId="27"/>
    <cellStyle name="Unprot" xfId="207"/>
    <cellStyle name="Unprot$" xfId="208"/>
    <cellStyle name="Unprotect" xfId="2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GRC%202011\1.%20Embedded%20COS\COS%20UT%20Jun%202012_N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4%20(13-035-xxx)\JAM\UT%20GRC%20JAM%20-%20June%202015%20Test%20Period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13\ROO%20-%20June%202013\B-Tabs\UT%20-%2013MA\B2%20-%20O&amp;M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SES\Utah%202012\Settlement\COS%20UT%20May%202013_NS%20-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Utah%202012/Settlement/COS%20UT%20May%202013_NS%20-%20Rebuttal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ectricity%20-%20Rocky%20Mountain%20Power\Dockets\RMP%20Rate%20Case%2013-035-184\Cost%20of%20Service\Data%20Requests\OCS%2014\Attach%20OCS%2014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rebuttal)\Testimony%20and%20Exhibits\Exhibit%20RMP%20(CCP-3R)\Tabs%204%20&amp;%205\COS%20UT%20Jun%202012_Rebuttal%20CO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2-035-xx%20(GRC%202012)\COS%20(embedded)\COS%20UT%20May%202013_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9">
          <cell r="L9">
            <v>8.2837271695077097E-2</v>
          </cell>
        </row>
        <row r="11">
          <cell r="Y11">
            <v>1</v>
          </cell>
        </row>
        <row r="19">
          <cell r="K19">
            <v>0.47799999999999998</v>
          </cell>
        </row>
        <row r="20">
          <cell r="K20">
            <v>3.0000000000000001E-3</v>
          </cell>
        </row>
        <row r="21">
          <cell r="K21">
            <v>0.51900000000000002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61">
          <cell r="H61">
            <v>5.6674747264269187E-2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Results"/>
      <sheetName val="Report"/>
      <sheetName val="UTCR"/>
      <sheetName val="URO"/>
      <sheetName val="ADJ"/>
      <sheetName val="NRO"/>
      <sheetName val="2010 Protocol ECD"/>
      <sheetName val="Revised Protocol ECD"/>
      <sheetName val="Unadj Data for RAM"/>
      <sheetName val="Variables"/>
      <sheetName val="Adjustments"/>
      <sheetName val="Adj Summary"/>
      <sheetName val="Inputs"/>
      <sheetName val="Factors"/>
      <sheetName val="Loads x1"/>
      <sheetName val="Loads x2"/>
      <sheetName val="CWC"/>
      <sheetName val="WelcomeDialog"/>
      <sheetName val="Macro"/>
    </sheetNames>
    <sheetDataSet>
      <sheetData sheetId="0" refreshError="1"/>
      <sheetData sheetId="1">
        <row r="6">
          <cell r="E6" t="str">
            <v>ACCMDIT</v>
          </cell>
        </row>
      </sheetData>
      <sheetData sheetId="2"/>
      <sheetData sheetId="3">
        <row r="56">
          <cell r="I56" t="str">
            <v>UTAH</v>
          </cell>
        </row>
      </sheetData>
      <sheetData sheetId="4">
        <row r="7">
          <cell r="L7">
            <v>2.5550534199999999E-2</v>
          </cell>
        </row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1.0000000000000002</v>
          </cell>
          <cell r="K24">
            <v>1.5704583932766605E-2</v>
          </cell>
          <cell r="L24">
            <v>0.26021982070300487</v>
          </cell>
          <cell r="M24">
            <v>7.8572543203026896E-2</v>
          </cell>
          <cell r="N24">
            <v>0</v>
          </cell>
          <cell r="O24">
            <v>0.12587980235043225</v>
          </cell>
          <cell r="P24">
            <v>0.4262831716003761</v>
          </cell>
          <cell r="Q24">
            <v>5.5751124251933674E-2</v>
          </cell>
          <cell r="R24">
            <v>3.3786178850105764E-2</v>
          </cell>
          <cell r="S24">
            <v>3.80277510835392E-3</v>
          </cell>
          <cell r="AC24" t="str">
            <v>SG</v>
          </cell>
          <cell r="AF24">
            <v>1.0000000000000002</v>
          </cell>
          <cell r="AG24">
            <v>1.5704583932766605E-2</v>
          </cell>
          <cell r="AH24">
            <v>0.26021982070300487</v>
          </cell>
          <cell r="AI24">
            <v>7.8572543203026896E-2</v>
          </cell>
          <cell r="AJ24">
            <v>0</v>
          </cell>
          <cell r="AK24">
            <v>0.12587980235043225</v>
          </cell>
          <cell r="AL24">
            <v>0.4262831716003761</v>
          </cell>
          <cell r="AM24">
            <v>5.5751124251933674E-2</v>
          </cell>
          <cell r="AN24">
            <v>3.3786178850105764E-2</v>
          </cell>
          <cell r="AO24">
            <v>3.80277510835392E-3</v>
          </cell>
        </row>
        <row r="25">
          <cell r="G25" t="str">
            <v>SG-P</v>
          </cell>
          <cell r="J25">
            <v>1.0000000000000002</v>
          </cell>
          <cell r="K25">
            <v>1.5704583932766605E-2</v>
          </cell>
          <cell r="L25">
            <v>0.26021982070300487</v>
          </cell>
          <cell r="M25">
            <v>7.8572543203026896E-2</v>
          </cell>
          <cell r="N25">
            <v>0</v>
          </cell>
          <cell r="O25">
            <v>0.12587980235043225</v>
          </cell>
          <cell r="P25">
            <v>0.4262831716003761</v>
          </cell>
          <cell r="Q25">
            <v>5.5751124251933674E-2</v>
          </cell>
          <cell r="R25">
            <v>3.3786178850105764E-2</v>
          </cell>
          <cell r="S25">
            <v>3.80277510835392E-3</v>
          </cell>
          <cell r="AC25" t="str">
            <v>SG-P</v>
          </cell>
          <cell r="AF25">
            <v>1.0000000000000002</v>
          </cell>
          <cell r="AG25">
            <v>1.5704583932766605E-2</v>
          </cell>
          <cell r="AH25">
            <v>0.26021982070300487</v>
          </cell>
          <cell r="AI25">
            <v>7.8572543203026896E-2</v>
          </cell>
          <cell r="AJ25">
            <v>0</v>
          </cell>
          <cell r="AK25">
            <v>0.12587980235043225</v>
          </cell>
          <cell r="AL25">
            <v>0.4262831716003761</v>
          </cell>
          <cell r="AM25">
            <v>5.5751124251933674E-2</v>
          </cell>
          <cell r="AN25">
            <v>3.3786178850105764E-2</v>
          </cell>
          <cell r="AO25">
            <v>3.80277510835392E-3</v>
          </cell>
        </row>
        <row r="26">
          <cell r="G26" t="str">
            <v>SG-U</v>
          </cell>
          <cell r="J26">
            <v>1.0000000000000002</v>
          </cell>
          <cell r="K26">
            <v>1.5704583932766605E-2</v>
          </cell>
          <cell r="L26">
            <v>0.26021982070300487</v>
          </cell>
          <cell r="M26">
            <v>7.8572543203026896E-2</v>
          </cell>
          <cell r="N26">
            <v>0</v>
          </cell>
          <cell r="O26">
            <v>0.12587980235043225</v>
          </cell>
          <cell r="P26">
            <v>0.4262831716003761</v>
          </cell>
          <cell r="Q26">
            <v>5.5751124251933674E-2</v>
          </cell>
          <cell r="R26">
            <v>3.3786178850105764E-2</v>
          </cell>
          <cell r="S26">
            <v>3.80277510835392E-3</v>
          </cell>
          <cell r="AC26" t="str">
            <v>SG-U</v>
          </cell>
          <cell r="AF26">
            <v>1.0000000000000002</v>
          </cell>
          <cell r="AG26">
            <v>1.5704583932766605E-2</v>
          </cell>
          <cell r="AH26">
            <v>0.26021982070300487</v>
          </cell>
          <cell r="AI26">
            <v>7.8572543203026896E-2</v>
          </cell>
          <cell r="AJ26">
            <v>0</v>
          </cell>
          <cell r="AK26">
            <v>0.12587980235043225</v>
          </cell>
          <cell r="AL26">
            <v>0.4262831716003761</v>
          </cell>
          <cell r="AM26">
            <v>5.5751124251933674E-2</v>
          </cell>
          <cell r="AN26">
            <v>3.3786178850105764E-2</v>
          </cell>
          <cell r="AO26">
            <v>3.80277510835392E-3</v>
          </cell>
        </row>
        <row r="27">
          <cell r="G27" t="str">
            <v>DGP</v>
          </cell>
          <cell r="J27">
            <v>1</v>
          </cell>
          <cell r="K27">
            <v>3.2692223190610777E-2</v>
          </cell>
          <cell r="L27">
            <v>0.54169944861090535</v>
          </cell>
          <cell r="M27">
            <v>0.16356441724557963</v>
          </cell>
          <cell r="N27">
            <v>0</v>
          </cell>
          <cell r="O27">
            <v>0.26204391095290419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3.2692223190610777E-2</v>
          </cell>
          <cell r="AH27">
            <v>0.54169944861090535</v>
          </cell>
          <cell r="AI27">
            <v>0.16356441724557963</v>
          </cell>
          <cell r="AJ27">
            <v>0</v>
          </cell>
          <cell r="AK27">
            <v>0.26204391095290419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0.82036970392609476</v>
          </cell>
          <cell r="Q28">
            <v>0.10729143523165388</v>
          </cell>
          <cell r="R28">
            <v>6.5020529513276457E-2</v>
          </cell>
          <cell r="S28">
            <v>7.3183313289749289E-3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0.82036970392609476</v>
          </cell>
          <cell r="AM28">
            <v>0.10729143523165388</v>
          </cell>
          <cell r="AN28">
            <v>6.5020529513276457E-2</v>
          </cell>
          <cell r="AO28">
            <v>7.3183313289749289E-3</v>
          </cell>
        </row>
        <row r="29">
          <cell r="G29" t="str">
            <v>SC</v>
          </cell>
          <cell r="J29">
            <v>1</v>
          </cell>
          <cell r="K29">
            <v>1.595785767393304E-2</v>
          </cell>
          <cell r="L29">
            <v>0.26436701978580412</v>
          </cell>
          <cell r="M29">
            <v>7.986194644168948E-2</v>
          </cell>
          <cell r="N29">
            <v>0</v>
          </cell>
          <cell r="O29">
            <v>0.12203336514853463</v>
          </cell>
          <cell r="P29">
            <v>0.42847181989253352</v>
          </cell>
          <cell r="Q29">
            <v>5.3415337816364906E-2</v>
          </cell>
          <cell r="R29">
            <v>3.212426370592282E-2</v>
          </cell>
          <cell r="S29">
            <v>3.7683895352175253E-3</v>
          </cell>
          <cell r="AC29" t="str">
            <v>SC</v>
          </cell>
          <cell r="AF29">
            <v>1</v>
          </cell>
          <cell r="AG29">
            <v>1.595785767393304E-2</v>
          </cell>
          <cell r="AH29">
            <v>0.26436701978580412</v>
          </cell>
          <cell r="AI29">
            <v>7.986194644168948E-2</v>
          </cell>
          <cell r="AJ29">
            <v>0</v>
          </cell>
          <cell r="AK29">
            <v>0.12203336514853463</v>
          </cell>
          <cell r="AL29">
            <v>0.42847181989253352</v>
          </cell>
          <cell r="AM29">
            <v>5.3415337816364906E-2</v>
          </cell>
          <cell r="AN29">
            <v>3.212426370592282E-2</v>
          </cell>
          <cell r="AO29">
            <v>3.7683895352175253E-3</v>
          </cell>
        </row>
        <row r="30">
          <cell r="G30" t="str">
            <v>SE</v>
          </cell>
          <cell r="J30">
            <v>1</v>
          </cell>
          <cell r="K30">
            <v>1.49447627092673E-2</v>
          </cell>
          <cell r="L30">
            <v>0.24777822345460704</v>
          </cell>
          <cell r="M30">
            <v>7.4704333487039171E-2</v>
          </cell>
          <cell r="N30">
            <v>0</v>
          </cell>
          <cell r="O30">
            <v>0.13741911395612513</v>
          </cell>
          <cell r="P30">
            <v>0.41971722672390366</v>
          </cell>
          <cell r="Q30">
            <v>6.2758483558639971E-2</v>
          </cell>
          <cell r="R30">
            <v>3.877192428265458E-2</v>
          </cell>
          <cell r="S30">
            <v>3.9059318277631034E-3</v>
          </cell>
          <cell r="AC30" t="str">
            <v>SE</v>
          </cell>
          <cell r="AF30">
            <v>1</v>
          </cell>
          <cell r="AG30">
            <v>1.49447627092673E-2</v>
          </cell>
          <cell r="AH30">
            <v>0.24777822345460704</v>
          </cell>
          <cell r="AI30">
            <v>7.4704333487039171E-2</v>
          </cell>
          <cell r="AJ30">
            <v>0</v>
          </cell>
          <cell r="AK30">
            <v>0.13741911395612513</v>
          </cell>
          <cell r="AL30">
            <v>0.41971722672390366</v>
          </cell>
          <cell r="AM30">
            <v>6.2758483558639971E-2</v>
          </cell>
          <cell r="AN30">
            <v>3.877192428265458E-2</v>
          </cell>
          <cell r="AO30">
            <v>3.9059318277631034E-3</v>
          </cell>
        </row>
        <row r="31">
          <cell r="G31" t="str">
            <v>SE-P</v>
          </cell>
          <cell r="J31">
            <v>1</v>
          </cell>
          <cell r="K31">
            <v>1.49447627092673E-2</v>
          </cell>
          <cell r="L31">
            <v>0.24777822345460704</v>
          </cell>
          <cell r="M31">
            <v>7.4704333487039171E-2</v>
          </cell>
          <cell r="N31">
            <v>0</v>
          </cell>
          <cell r="O31">
            <v>0.13741911395612513</v>
          </cell>
          <cell r="P31">
            <v>0.41971722672390366</v>
          </cell>
          <cell r="Q31">
            <v>6.2758483558639971E-2</v>
          </cell>
          <cell r="R31">
            <v>3.877192428265458E-2</v>
          </cell>
          <cell r="S31">
            <v>3.9059318277631034E-3</v>
          </cell>
          <cell r="AC31" t="str">
            <v>SE-P</v>
          </cell>
          <cell r="AF31">
            <v>1</v>
          </cell>
          <cell r="AG31">
            <v>1.49447627092673E-2</v>
          </cell>
          <cell r="AH31">
            <v>0.24777822345460704</v>
          </cell>
          <cell r="AI31">
            <v>7.4704333487039171E-2</v>
          </cell>
          <cell r="AJ31">
            <v>0</v>
          </cell>
          <cell r="AK31">
            <v>0.13741911395612513</v>
          </cell>
          <cell r="AL31">
            <v>0.41971722672390366</v>
          </cell>
          <cell r="AM31">
            <v>6.2758483558639971E-2</v>
          </cell>
          <cell r="AN31">
            <v>3.877192428265458E-2</v>
          </cell>
          <cell r="AO31">
            <v>3.9059318277631034E-3</v>
          </cell>
        </row>
        <row r="32">
          <cell r="G32" t="str">
            <v>SE-U</v>
          </cell>
          <cell r="J32">
            <v>1</v>
          </cell>
          <cell r="K32">
            <v>1.49447627092673E-2</v>
          </cell>
          <cell r="L32">
            <v>0.24777822345460704</v>
          </cell>
          <cell r="M32">
            <v>7.4704333487039171E-2</v>
          </cell>
          <cell r="N32">
            <v>0</v>
          </cell>
          <cell r="O32">
            <v>0.13741911395612513</v>
          </cell>
          <cell r="P32">
            <v>0.41971722672390366</v>
          </cell>
          <cell r="Q32">
            <v>6.2758483558639971E-2</v>
          </cell>
          <cell r="R32">
            <v>3.877192428265458E-2</v>
          </cell>
          <cell r="S32">
            <v>3.9059318277631034E-3</v>
          </cell>
          <cell r="AC32" t="str">
            <v>SE-U</v>
          </cell>
          <cell r="AF32">
            <v>1</v>
          </cell>
          <cell r="AG32">
            <v>1.49447627092673E-2</v>
          </cell>
          <cell r="AH32">
            <v>0.24777822345460704</v>
          </cell>
          <cell r="AI32">
            <v>7.4704333487039171E-2</v>
          </cell>
          <cell r="AJ32">
            <v>0</v>
          </cell>
          <cell r="AK32">
            <v>0.13741911395612513</v>
          </cell>
          <cell r="AL32">
            <v>0.41971722672390366</v>
          </cell>
          <cell r="AM32">
            <v>6.2758483558639971E-2</v>
          </cell>
          <cell r="AN32">
            <v>3.877192428265458E-2</v>
          </cell>
          <cell r="AO32">
            <v>3.9059318277631034E-3</v>
          </cell>
        </row>
        <row r="33">
          <cell r="G33" t="str">
            <v>DEP</v>
          </cell>
          <cell r="J33">
            <v>0.99999999999999978</v>
          </cell>
          <cell r="K33">
            <v>3.1472833428996344E-2</v>
          </cell>
          <cell r="L33">
            <v>0.52180706417531397</v>
          </cell>
          <cell r="M33">
            <v>0.15732314323089364</v>
          </cell>
          <cell r="N33">
            <v>0</v>
          </cell>
          <cell r="O33">
            <v>0.28939695916479585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0.99999999999999978</v>
          </cell>
          <cell r="AG33">
            <v>3.1472833428996344E-2</v>
          </cell>
          <cell r="AH33">
            <v>0.52180706417531397</v>
          </cell>
          <cell r="AI33">
            <v>0.15732314323089364</v>
          </cell>
          <cell r="AJ33">
            <v>0</v>
          </cell>
          <cell r="AK33">
            <v>0.28939695916479585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0.7992276042353641</v>
          </cell>
          <cell r="Q34">
            <v>0.11950501258079456</v>
          </cell>
          <cell r="R34">
            <v>7.382968861653387E-2</v>
          </cell>
          <cell r="S34">
            <v>7.4376945673075316E-3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0.7992276042353641</v>
          </cell>
          <cell r="AM34">
            <v>0.11950501258079456</v>
          </cell>
          <cell r="AN34">
            <v>7.382968861653387E-2</v>
          </cell>
          <cell r="AO34">
            <v>7.4376945673075316E-3</v>
          </cell>
        </row>
        <row r="35">
          <cell r="G35" t="str">
            <v>SO</v>
          </cell>
          <cell r="J35">
            <v>1</v>
          </cell>
          <cell r="K35">
            <v>2.1911937319973346E-2</v>
          </cell>
          <cell r="L35">
            <v>0.27258328938220722</v>
          </cell>
          <cell r="M35">
            <v>7.6707634243263087E-2</v>
          </cell>
          <cell r="N35">
            <v>0</v>
          </cell>
          <cell r="O35">
            <v>0.1169884617615316</v>
          </cell>
          <cell r="P35">
            <v>0.42470292934049808</v>
          </cell>
          <cell r="Q35">
            <v>5.5035480101482265E-2</v>
          </cell>
          <cell r="R35">
            <v>2.9306969235055418E-2</v>
          </cell>
          <cell r="S35">
            <v>2.763298615989057E-3</v>
          </cell>
          <cell r="AC35" t="str">
            <v>SO</v>
          </cell>
          <cell r="AF35">
            <v>1</v>
          </cell>
          <cell r="AG35">
            <v>2.1911937319973346E-2</v>
          </cell>
          <cell r="AH35">
            <v>0.27258328938220722</v>
          </cell>
          <cell r="AI35">
            <v>7.6707634243263087E-2</v>
          </cell>
          <cell r="AJ35">
            <v>0</v>
          </cell>
          <cell r="AK35">
            <v>0.1169884617615316</v>
          </cell>
          <cell r="AL35">
            <v>0.42470292934049808</v>
          </cell>
          <cell r="AM35">
            <v>5.5035480101482265E-2</v>
          </cell>
          <cell r="AN35">
            <v>2.9306969235055418E-2</v>
          </cell>
          <cell r="AO35">
            <v>2.763298615989057E-3</v>
          </cell>
        </row>
        <row r="36">
          <cell r="G36" t="str">
            <v>SO-P</v>
          </cell>
          <cell r="J36">
            <v>1</v>
          </cell>
          <cell r="K36">
            <v>2.1911937319973346E-2</v>
          </cell>
          <cell r="L36">
            <v>0.27258328938220722</v>
          </cell>
          <cell r="M36">
            <v>7.6707634243263087E-2</v>
          </cell>
          <cell r="N36">
            <v>0</v>
          </cell>
          <cell r="O36">
            <v>0.1169884617615316</v>
          </cell>
          <cell r="P36">
            <v>0.42470292934049808</v>
          </cell>
          <cell r="Q36">
            <v>5.5035480101482265E-2</v>
          </cell>
          <cell r="R36">
            <v>2.9306969235055418E-2</v>
          </cell>
          <cell r="S36">
            <v>2.763298615989057E-3</v>
          </cell>
          <cell r="AC36" t="str">
            <v>SO-P</v>
          </cell>
          <cell r="AF36">
            <v>1</v>
          </cell>
          <cell r="AG36">
            <v>2.1911937319973346E-2</v>
          </cell>
          <cell r="AH36">
            <v>0.27258328938220722</v>
          </cell>
          <cell r="AI36">
            <v>7.6707634243263087E-2</v>
          </cell>
          <cell r="AJ36">
            <v>0</v>
          </cell>
          <cell r="AK36">
            <v>0.1169884617615316</v>
          </cell>
          <cell r="AL36">
            <v>0.42470292934049808</v>
          </cell>
          <cell r="AM36">
            <v>5.5035480101482265E-2</v>
          </cell>
          <cell r="AN36">
            <v>2.9306969235055418E-2</v>
          </cell>
          <cell r="AO36">
            <v>2.763298615989057E-3</v>
          </cell>
        </row>
        <row r="37">
          <cell r="G37" t="str">
            <v>SO-U</v>
          </cell>
          <cell r="J37">
            <v>1</v>
          </cell>
          <cell r="K37">
            <v>2.1911937319973346E-2</v>
          </cell>
          <cell r="L37">
            <v>0.27258328938220722</v>
          </cell>
          <cell r="M37">
            <v>7.6707634243263087E-2</v>
          </cell>
          <cell r="N37">
            <v>0</v>
          </cell>
          <cell r="O37">
            <v>0.1169884617615316</v>
          </cell>
          <cell r="P37">
            <v>0.42470292934049808</v>
          </cell>
          <cell r="Q37">
            <v>5.5035480101482265E-2</v>
          </cell>
          <cell r="R37">
            <v>2.9306969235055418E-2</v>
          </cell>
          <cell r="S37">
            <v>2.763298615989057E-3</v>
          </cell>
          <cell r="AC37" t="str">
            <v>SO-U</v>
          </cell>
          <cell r="AF37">
            <v>1</v>
          </cell>
          <cell r="AG37">
            <v>2.1911937319973346E-2</v>
          </cell>
          <cell r="AH37">
            <v>0.27258328938220722</v>
          </cell>
          <cell r="AI37">
            <v>7.6707634243263087E-2</v>
          </cell>
          <cell r="AJ37">
            <v>0</v>
          </cell>
          <cell r="AK37">
            <v>0.1169884617615316</v>
          </cell>
          <cell r="AL37">
            <v>0.42470292934049808</v>
          </cell>
          <cell r="AM37">
            <v>5.5035480101482265E-2</v>
          </cell>
          <cell r="AN37">
            <v>2.9306969235055418E-2</v>
          </cell>
          <cell r="AO37">
            <v>2.763298615989057E-3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2.191198159069872E-2</v>
          </cell>
          <cell r="L40">
            <v>0.27258181971455714</v>
          </cell>
          <cell r="M40">
            <v>7.6707789222832445E-2</v>
          </cell>
          <cell r="N40">
            <v>0</v>
          </cell>
          <cell r="O40">
            <v>0.11698869812420402</v>
          </cell>
          <cell r="P40">
            <v>0.42470378740733516</v>
          </cell>
          <cell r="Q40">
            <v>5.5035591294782499E-2</v>
          </cell>
          <cell r="R40">
            <v>2.9307028446651704E-2</v>
          </cell>
          <cell r="S40">
            <v>2.7633041989383127E-3</v>
          </cell>
          <cell r="AC40" t="str">
            <v>GPS</v>
          </cell>
          <cell r="AF40">
            <v>1</v>
          </cell>
          <cell r="AG40">
            <v>2.191198159069872E-2</v>
          </cell>
          <cell r="AH40">
            <v>0.27258181971455714</v>
          </cell>
          <cell r="AI40">
            <v>7.6707789222832445E-2</v>
          </cell>
          <cell r="AJ40">
            <v>0</v>
          </cell>
          <cell r="AK40">
            <v>0.11698869812420402</v>
          </cell>
          <cell r="AL40">
            <v>0.42470378740733516</v>
          </cell>
          <cell r="AM40">
            <v>5.5035591294782499E-2</v>
          </cell>
          <cell r="AN40">
            <v>2.9307028446651704E-2</v>
          </cell>
          <cell r="AO40">
            <v>2.7633041989383127E-3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2.0114282422699678E-2</v>
          </cell>
          <cell r="L43">
            <v>0.26229524273703603</v>
          </cell>
          <cell r="M43">
            <v>7.4741589277534784E-2</v>
          </cell>
          <cell r="N43">
            <v>0</v>
          </cell>
          <cell r="O43">
            <v>0.1182039873327544</v>
          </cell>
          <cell r="P43">
            <v>0.43712324300869976</v>
          </cell>
          <cell r="Q43">
            <v>5.4890102503221044E-2</v>
          </cell>
          <cell r="R43">
            <v>2.97549050589077E-2</v>
          </cell>
          <cell r="S43">
            <v>2.8766476591466387E-3</v>
          </cell>
          <cell r="AC43" t="str">
            <v>SNP</v>
          </cell>
          <cell r="AF43">
            <v>0.99999999999999989</v>
          </cell>
          <cell r="AG43">
            <v>2.0114282422699678E-2</v>
          </cell>
          <cell r="AH43">
            <v>0.26229524273703603</v>
          </cell>
          <cell r="AI43">
            <v>7.4741589277534784E-2</v>
          </cell>
          <cell r="AJ43">
            <v>0</v>
          </cell>
          <cell r="AK43">
            <v>0.1182039873327544</v>
          </cell>
          <cell r="AL43">
            <v>0.43712324300869976</v>
          </cell>
          <cell r="AM43">
            <v>5.4890102503221044E-2</v>
          </cell>
          <cell r="AN43">
            <v>2.97549050589077E-2</v>
          </cell>
          <cell r="AO43">
            <v>2.8766476591466387E-3</v>
          </cell>
        </row>
        <row r="44">
          <cell r="G44" t="str">
            <v>SSCCT</v>
          </cell>
          <cell r="J44">
            <v>1</v>
          </cell>
          <cell r="K44">
            <v>1.6182850528858657E-2</v>
          </cell>
          <cell r="L44">
            <v>0.27290399052703013</v>
          </cell>
          <cell r="M44">
            <v>8.2694236718521649E-2</v>
          </cell>
          <cell r="N44">
            <v>0</v>
          </cell>
          <cell r="O44">
            <v>0.12216921173573617</v>
          </cell>
          <cell r="P44">
            <v>0.41761388366896424</v>
          </cell>
          <cell r="Q44">
            <v>5.2682447583675011E-2</v>
          </cell>
          <cell r="R44">
            <v>3.2239817796205252E-2</v>
          </cell>
          <cell r="S44">
            <v>3.5135614410089452E-3</v>
          </cell>
          <cell r="AC44" t="str">
            <v>SSCCT</v>
          </cell>
          <cell r="AF44">
            <v>1</v>
          </cell>
          <cell r="AG44">
            <v>1.6182850528858657E-2</v>
          </cell>
          <cell r="AH44">
            <v>0.27290399052703013</v>
          </cell>
          <cell r="AI44">
            <v>8.2694236718521649E-2</v>
          </cell>
          <cell r="AJ44">
            <v>0</v>
          </cell>
          <cell r="AK44">
            <v>0.12216921173573617</v>
          </cell>
          <cell r="AL44">
            <v>0.41761388366896424</v>
          </cell>
          <cell r="AM44">
            <v>5.2682447583675011E-2</v>
          </cell>
          <cell r="AN44">
            <v>3.2239817796205252E-2</v>
          </cell>
          <cell r="AO44">
            <v>3.5135614410089452E-3</v>
          </cell>
        </row>
        <row r="45">
          <cell r="G45" t="str">
            <v>SSECT</v>
          </cell>
          <cell r="J45">
            <v>0.99999999999999978</v>
          </cell>
          <cell r="K45">
            <v>1.4812535457587084E-2</v>
          </cell>
          <cell r="L45">
            <v>0.25270108277556858</v>
          </cell>
          <cell r="M45">
            <v>7.7210309630795879E-2</v>
          </cell>
          <cell r="N45">
            <v>0</v>
          </cell>
          <cell r="O45">
            <v>0.13633074013219926</v>
          </cell>
          <cell r="P45">
            <v>0.41692788828122818</v>
          </cell>
          <cell r="Q45">
            <v>5.973115973425628E-2</v>
          </cell>
          <cell r="R45">
            <v>3.8549332879696474E-2</v>
          </cell>
          <cell r="S45">
            <v>3.7369511086680499E-3</v>
          </cell>
          <cell r="AC45" t="str">
            <v>SSECT</v>
          </cell>
          <cell r="AF45">
            <v>0.99999999999999978</v>
          </cell>
          <cell r="AG45">
            <v>1.4812535457587084E-2</v>
          </cell>
          <cell r="AH45">
            <v>0.25270108277556858</v>
          </cell>
          <cell r="AI45">
            <v>7.7210309630795879E-2</v>
          </cell>
          <cell r="AJ45">
            <v>0</v>
          </cell>
          <cell r="AK45">
            <v>0.13633074013219926</v>
          </cell>
          <cell r="AL45">
            <v>0.41692788828122818</v>
          </cell>
          <cell r="AM45">
            <v>5.973115973425628E-2</v>
          </cell>
          <cell r="AN45">
            <v>3.8549332879696474E-2</v>
          </cell>
          <cell r="AO45">
            <v>3.7369511086680499E-3</v>
          </cell>
        </row>
        <row r="46">
          <cell r="G46" t="str">
            <v>SSCCH</v>
          </cell>
          <cell r="J46">
            <v>0.99999999999999989</v>
          </cell>
          <cell r="K46">
            <v>1.595785767393304E-2</v>
          </cell>
          <cell r="L46">
            <v>0.26436701978580412</v>
          </cell>
          <cell r="M46">
            <v>7.986194644168948E-2</v>
          </cell>
          <cell r="N46">
            <v>0</v>
          </cell>
          <cell r="O46">
            <v>0.12203336514853465</v>
          </cell>
          <cell r="P46">
            <v>0.42847181989253341</v>
          </cell>
          <cell r="Q46">
            <v>5.3415337816364913E-2</v>
          </cell>
          <cell r="R46">
            <v>3.212426370592282E-2</v>
          </cell>
          <cell r="S46">
            <v>3.7683895352175253E-3</v>
          </cell>
          <cell r="AC46" t="str">
            <v>SSCCH</v>
          </cell>
          <cell r="AF46">
            <v>0.99999999999999989</v>
          </cell>
          <cell r="AG46">
            <v>1.595785767393304E-2</v>
          </cell>
          <cell r="AH46">
            <v>0.26436701978580412</v>
          </cell>
          <cell r="AI46">
            <v>7.986194644168948E-2</v>
          </cell>
          <cell r="AJ46">
            <v>0</v>
          </cell>
          <cell r="AK46">
            <v>0.12203336514853465</v>
          </cell>
          <cell r="AL46">
            <v>0.42847181989253341</v>
          </cell>
          <cell r="AM46">
            <v>5.3415337816364913E-2</v>
          </cell>
          <cell r="AN46">
            <v>3.212426370592282E-2</v>
          </cell>
          <cell r="AO46">
            <v>3.7683895352175253E-3</v>
          </cell>
        </row>
        <row r="47">
          <cell r="G47" t="str">
            <v>SSECH</v>
          </cell>
          <cell r="J47">
            <v>0.99999999999999989</v>
          </cell>
          <cell r="K47">
            <v>1.4944762709267296E-2</v>
          </cell>
          <cell r="L47">
            <v>0.24777822345460704</v>
          </cell>
          <cell r="M47">
            <v>7.4704333487039157E-2</v>
          </cell>
          <cell r="N47">
            <v>0</v>
          </cell>
          <cell r="O47">
            <v>0.13741911395612513</v>
          </cell>
          <cell r="P47">
            <v>0.4197172267239036</v>
          </cell>
          <cell r="Q47">
            <v>6.2758483558639958E-2</v>
          </cell>
          <cell r="R47">
            <v>3.877192428265458E-2</v>
          </cell>
          <cell r="S47">
            <v>3.9059318277631042E-3</v>
          </cell>
          <cell r="AC47" t="str">
            <v>SSECH</v>
          </cell>
          <cell r="AF47">
            <v>0.99999999999999989</v>
          </cell>
          <cell r="AG47">
            <v>1.4944762709267296E-2</v>
          </cell>
          <cell r="AH47">
            <v>0.24777822345460704</v>
          </cell>
          <cell r="AI47">
            <v>7.4704333487039157E-2</v>
          </cell>
          <cell r="AJ47">
            <v>0</v>
          </cell>
          <cell r="AK47">
            <v>0.13741911395612513</v>
          </cell>
          <cell r="AL47">
            <v>0.4197172267239036</v>
          </cell>
          <cell r="AM47">
            <v>6.2758483558639958E-2</v>
          </cell>
          <cell r="AN47">
            <v>3.877192428265458E-2</v>
          </cell>
          <cell r="AO47">
            <v>3.9059318277631042E-3</v>
          </cell>
        </row>
        <row r="48">
          <cell r="G48" t="str">
            <v>SSGCH</v>
          </cell>
          <cell r="J48">
            <v>0.99999999999999989</v>
          </cell>
          <cell r="K48">
            <v>1.5704583932766605E-2</v>
          </cell>
          <cell r="L48">
            <v>0.26021982070300487</v>
          </cell>
          <cell r="M48">
            <v>7.8572543203026896E-2</v>
          </cell>
          <cell r="N48">
            <v>0</v>
          </cell>
          <cell r="O48">
            <v>0.12587980235043228</v>
          </cell>
          <cell r="P48">
            <v>0.42628317160037593</v>
          </cell>
          <cell r="Q48">
            <v>5.5751124251933667E-2</v>
          </cell>
          <cell r="R48">
            <v>3.3786178850105764E-2</v>
          </cell>
          <cell r="S48">
            <v>3.80277510835392E-3</v>
          </cell>
          <cell r="AC48" t="str">
            <v>SSGCH</v>
          </cell>
          <cell r="AF48">
            <v>0.99999999999999989</v>
          </cell>
          <cell r="AG48">
            <v>1.5704583932766605E-2</v>
          </cell>
          <cell r="AH48">
            <v>0.26021982070300487</v>
          </cell>
          <cell r="AI48">
            <v>7.8572543203026896E-2</v>
          </cell>
          <cell r="AJ48">
            <v>0</v>
          </cell>
          <cell r="AK48">
            <v>0.12587980235043228</v>
          </cell>
          <cell r="AL48">
            <v>0.42628317160037593</v>
          </cell>
          <cell r="AM48">
            <v>5.5751124251933667E-2</v>
          </cell>
          <cell r="AN48">
            <v>3.3786178850105764E-2</v>
          </cell>
          <cell r="AO48">
            <v>3.80277510835392E-3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0.99999999999999989</v>
          </cell>
          <cell r="K52">
            <v>1.5840271761040765E-2</v>
          </cell>
          <cell r="L52">
            <v>0.26785326358916473</v>
          </cell>
          <cell r="M52">
            <v>8.1323254946590207E-2</v>
          </cell>
          <cell r="N52">
            <v>0</v>
          </cell>
          <cell r="O52">
            <v>0.12570959383485195</v>
          </cell>
          <cell r="P52">
            <v>0.41744238482203022</v>
          </cell>
          <cell r="Q52">
            <v>5.4444625621320325E-2</v>
          </cell>
          <cell r="R52">
            <v>3.3817196567078059E-2</v>
          </cell>
          <cell r="S52">
            <v>3.5694088579237213E-3</v>
          </cell>
          <cell r="AC52" t="str">
            <v>SSGCT</v>
          </cell>
          <cell r="AF52">
            <v>0.99999999999999989</v>
          </cell>
          <cell r="AG52">
            <v>1.5840271761040765E-2</v>
          </cell>
          <cell r="AH52">
            <v>0.26785326358916473</v>
          </cell>
          <cell r="AI52">
            <v>8.1323254946590207E-2</v>
          </cell>
          <cell r="AJ52">
            <v>0</v>
          </cell>
          <cell r="AK52">
            <v>0.12570959383485195</v>
          </cell>
          <cell r="AL52">
            <v>0.41744238482203022</v>
          </cell>
          <cell r="AM52">
            <v>5.4444625621320325E-2</v>
          </cell>
          <cell r="AN52">
            <v>3.3817196567078059E-2</v>
          </cell>
          <cell r="AO52">
            <v>3.5694088579237213E-3</v>
          </cell>
        </row>
        <row r="53">
          <cell r="G53" t="str">
            <v>MC</v>
          </cell>
          <cell r="J53">
            <v>1</v>
          </cell>
          <cell r="K53">
            <v>1.010638631085364E-2</v>
          </cell>
          <cell r="L53">
            <v>0.47544134650551262</v>
          </cell>
          <cell r="M53">
            <v>9.9051054524639109E-2</v>
          </cell>
          <cell r="N53">
            <v>0</v>
          </cell>
          <cell r="O53">
            <v>8.1007552745986977E-2</v>
          </cell>
          <cell r="P53">
            <v>0.27432642777759736</v>
          </cell>
          <cell r="Q53">
            <v>3.5877575704432167E-2</v>
          </cell>
          <cell r="R53">
            <v>2.1742452833426251E-2</v>
          </cell>
          <cell r="S53">
            <v>2.4472035975519526E-3</v>
          </cell>
          <cell r="AC53" t="str">
            <v>MC</v>
          </cell>
          <cell r="AF53">
            <v>1</v>
          </cell>
          <cell r="AG53">
            <v>1.010638631085364E-2</v>
          </cell>
          <cell r="AH53">
            <v>0.47544134650551262</v>
          </cell>
          <cell r="AI53">
            <v>9.9051054524639109E-2</v>
          </cell>
          <cell r="AJ53">
            <v>0</v>
          </cell>
          <cell r="AK53">
            <v>8.1007552745986977E-2</v>
          </cell>
          <cell r="AL53">
            <v>0.27432642777759736</v>
          </cell>
          <cell r="AM53">
            <v>3.5877575704432167E-2</v>
          </cell>
          <cell r="AN53">
            <v>2.1742452833426251E-2</v>
          </cell>
          <cell r="AO53">
            <v>2.4472035975519526E-3</v>
          </cell>
        </row>
        <row r="54">
          <cell r="G54" t="str">
            <v>SNPD</v>
          </cell>
          <cell r="J54">
            <v>1</v>
          </cell>
          <cell r="K54">
            <v>3.3571006545894809E-2</v>
          </cell>
          <cell r="L54">
            <v>0.26402310151454222</v>
          </cell>
          <cell r="M54">
            <v>6.2515467790798224E-2</v>
          </cell>
          <cell r="N54">
            <v>0</v>
          </cell>
          <cell r="O54">
            <v>9.1328281377558176E-2</v>
          </cell>
          <cell r="P54">
            <v>0.48317341591839369</v>
          </cell>
          <cell r="Q54">
            <v>4.9108255139340369E-2</v>
          </cell>
          <cell r="R54">
            <v>1.6280471713472518E-2</v>
          </cell>
          <cell r="S54">
            <v>0</v>
          </cell>
          <cell r="AC54" t="str">
            <v>SNPD</v>
          </cell>
          <cell r="AF54">
            <v>1</v>
          </cell>
          <cell r="AG54">
            <v>3.3571006545894809E-2</v>
          </cell>
          <cell r="AH54">
            <v>0.26402310151454222</v>
          </cell>
          <cell r="AI54">
            <v>6.2515467790798224E-2</v>
          </cell>
          <cell r="AJ54">
            <v>0</v>
          </cell>
          <cell r="AK54">
            <v>9.1328281377558176E-2</v>
          </cell>
          <cell r="AL54">
            <v>0.48317341591839369</v>
          </cell>
          <cell r="AM54">
            <v>4.9108255139340369E-2</v>
          </cell>
          <cell r="AN54">
            <v>1.6280471713472518E-2</v>
          </cell>
          <cell r="AO54">
            <v>0</v>
          </cell>
        </row>
        <row r="55">
          <cell r="G55" t="str">
            <v>DGUH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0.82036970392609476</v>
          </cell>
          <cell r="Q55">
            <v>0.10729143523165388</v>
          </cell>
          <cell r="R55">
            <v>6.5020529513276457E-2</v>
          </cell>
          <cell r="S55">
            <v>7.3183313289749289E-3</v>
          </cell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0.82036970392609476</v>
          </cell>
          <cell r="AM55">
            <v>0.10729143523165388</v>
          </cell>
          <cell r="AN55">
            <v>6.5020529513276457E-2</v>
          </cell>
          <cell r="AO55">
            <v>7.3183313289749289E-3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0.7992276042353641</v>
          </cell>
          <cell r="Q56">
            <v>0.11950501258079456</v>
          </cell>
          <cell r="R56">
            <v>7.382968861653387E-2</v>
          </cell>
          <cell r="S56">
            <v>7.4376945673075316E-3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0.7992276042353641</v>
          </cell>
          <cell r="AM56">
            <v>0.11950501258079456</v>
          </cell>
          <cell r="AN56">
            <v>7.382968861653387E-2</v>
          </cell>
          <cell r="AO56">
            <v>7.4376945673075316E-3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1.49447627092673E-2</v>
          </cell>
          <cell r="L58">
            <v>0.24777822345460704</v>
          </cell>
          <cell r="M58">
            <v>7.4704333487039171E-2</v>
          </cell>
          <cell r="N58">
            <v>0</v>
          </cell>
          <cell r="O58">
            <v>0.13741911395612511</v>
          </cell>
          <cell r="P58">
            <v>0.41971722672390366</v>
          </cell>
          <cell r="Q58">
            <v>6.2758483558639958E-2</v>
          </cell>
          <cell r="R58">
            <v>3.877192428265458E-2</v>
          </cell>
          <cell r="S58">
            <v>3.9059318277631034E-3</v>
          </cell>
          <cell r="AC58" t="str">
            <v>DNPGMU</v>
          </cell>
          <cell r="AF58">
            <v>1</v>
          </cell>
          <cell r="AG58">
            <v>1.49447627092673E-2</v>
          </cell>
          <cell r="AH58">
            <v>0.24777822345460704</v>
          </cell>
          <cell r="AI58">
            <v>7.4704333487039171E-2</v>
          </cell>
          <cell r="AJ58">
            <v>0</v>
          </cell>
          <cell r="AK58">
            <v>0.13741911395612511</v>
          </cell>
          <cell r="AL58">
            <v>0.41971722672390366</v>
          </cell>
          <cell r="AM58">
            <v>6.2758483558639958E-2</v>
          </cell>
          <cell r="AN58">
            <v>3.877192428265458E-2</v>
          </cell>
          <cell r="AO58">
            <v>3.9059318277631034E-3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1.0000000000000009</v>
          </cell>
          <cell r="K65">
            <v>1.5704583932766612E-2</v>
          </cell>
          <cell r="L65">
            <v>0.26021982070300503</v>
          </cell>
          <cell r="M65">
            <v>7.8572543203026909E-2</v>
          </cell>
          <cell r="N65">
            <v>0</v>
          </cell>
          <cell r="O65">
            <v>0.12587980235043239</v>
          </cell>
          <cell r="P65">
            <v>0.42628317160037638</v>
          </cell>
          <cell r="Q65">
            <v>5.5751124251933674E-2</v>
          </cell>
          <cell r="R65">
            <v>3.3786178850105784E-2</v>
          </cell>
          <cell r="S65">
            <v>3.8027751083539217E-3</v>
          </cell>
          <cell r="AC65" t="str">
            <v>SNPPH-P</v>
          </cell>
          <cell r="AF65">
            <v>1.0000000000000009</v>
          </cell>
          <cell r="AG65">
            <v>1.5704583932766612E-2</v>
          </cell>
          <cell r="AH65">
            <v>0.26021982070300503</v>
          </cell>
          <cell r="AI65">
            <v>7.8572543203026909E-2</v>
          </cell>
          <cell r="AJ65">
            <v>0</v>
          </cell>
          <cell r="AK65">
            <v>0.12587980235043236</v>
          </cell>
          <cell r="AL65">
            <v>0.42628317160037638</v>
          </cell>
          <cell r="AM65">
            <v>5.5751124251933674E-2</v>
          </cell>
          <cell r="AN65">
            <v>3.3786178850105784E-2</v>
          </cell>
          <cell r="AO65">
            <v>3.8027751083539222E-3</v>
          </cell>
        </row>
        <row r="66">
          <cell r="G66" t="str">
            <v>SNPPH-U</v>
          </cell>
          <cell r="J66">
            <v>1.0000000000000009</v>
          </cell>
          <cell r="K66">
            <v>1.5704583932766612E-2</v>
          </cell>
          <cell r="L66">
            <v>0.26021982070300503</v>
          </cell>
          <cell r="M66">
            <v>7.8572543203026909E-2</v>
          </cell>
          <cell r="N66">
            <v>0</v>
          </cell>
          <cell r="O66">
            <v>0.12587980235043239</v>
          </cell>
          <cell r="P66">
            <v>0.42628317160037638</v>
          </cell>
          <cell r="Q66">
            <v>5.5751124251933674E-2</v>
          </cell>
          <cell r="R66">
            <v>3.3786178850105784E-2</v>
          </cell>
          <cell r="S66">
            <v>3.8027751083539217E-3</v>
          </cell>
          <cell r="AC66" t="str">
            <v>SNPPH-U</v>
          </cell>
          <cell r="AF66">
            <v>1.0000000000000009</v>
          </cell>
          <cell r="AG66">
            <v>1.5704583932766612E-2</v>
          </cell>
          <cell r="AH66">
            <v>0.26021982070300503</v>
          </cell>
          <cell r="AI66">
            <v>7.8572543203026909E-2</v>
          </cell>
          <cell r="AJ66">
            <v>0</v>
          </cell>
          <cell r="AK66">
            <v>0.12587980235043236</v>
          </cell>
          <cell r="AL66">
            <v>0.42628317160037638</v>
          </cell>
          <cell r="AM66">
            <v>5.5751124251933674E-2</v>
          </cell>
          <cell r="AN66">
            <v>3.3786178850105784E-2</v>
          </cell>
          <cell r="AO66">
            <v>3.8027751083539222E-3</v>
          </cell>
        </row>
        <row r="67">
          <cell r="G67" t="str">
            <v>CN</v>
          </cell>
          <cell r="J67">
            <v>1</v>
          </cell>
          <cell r="K67">
            <v>2.5791895215780562E-2</v>
          </cell>
          <cell r="L67">
            <v>0.31916676928885807</v>
          </cell>
          <cell r="M67">
            <v>7.2263744275987335E-2</v>
          </cell>
          <cell r="N67">
            <v>0</v>
          </cell>
          <cell r="O67">
            <v>7.0471879439992058E-2</v>
          </cell>
          <cell r="P67">
            <v>0.461289372337361</v>
          </cell>
          <cell r="Q67">
            <v>4.196045094451295E-2</v>
          </cell>
          <cell r="R67">
            <v>9.0558884975080432E-3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2.5791895215780562E-2</v>
          </cell>
          <cell r="AH67">
            <v>0.31916676928885807</v>
          </cell>
          <cell r="AI67">
            <v>7.2263744275987335E-2</v>
          </cell>
          <cell r="AJ67">
            <v>0</v>
          </cell>
          <cell r="AK67">
            <v>7.0471879439992058E-2</v>
          </cell>
          <cell r="AL67">
            <v>0.461289372337361</v>
          </cell>
          <cell r="AM67">
            <v>4.196045094451295E-2</v>
          </cell>
          <cell r="AN67">
            <v>9.0558884975080432E-3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5.2885374790596476E-2</v>
          </cell>
          <cell r="L68">
            <v>0.6544402446322618</v>
          </cell>
          <cell r="M68">
            <v>0.14817426822783994</v>
          </cell>
          <cell r="N68">
            <v>0</v>
          </cell>
          <cell r="O68">
            <v>0.14450011234930177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5.2885374790596476E-2</v>
          </cell>
          <cell r="AH68">
            <v>0.6544402446322618</v>
          </cell>
          <cell r="AI68">
            <v>0.14817426822783994</v>
          </cell>
          <cell r="AJ68">
            <v>0</v>
          </cell>
          <cell r="AK68">
            <v>0.14450011234930177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0.90041817167170191</v>
          </cell>
          <cell r="Q69">
            <v>8.190510076253589E-2</v>
          </cell>
          <cell r="R69">
            <v>1.7676727565762235E-2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0.90041817167170191</v>
          </cell>
          <cell r="AM69">
            <v>8.190510076253589E-2</v>
          </cell>
          <cell r="AN69">
            <v>1.7676727565762235E-2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0.99999999999999745</v>
          </cell>
          <cell r="K73">
            <v>3.5597320393490173E-2</v>
          </cell>
          <cell r="L73">
            <v>0.31431187156493978</v>
          </cell>
          <cell r="M73">
            <v>3.0120652626102046E-2</v>
          </cell>
          <cell r="N73">
            <v>0</v>
          </cell>
          <cell r="O73">
            <v>0.10731594876932754</v>
          </cell>
          <cell r="P73">
            <v>0.35541288431903395</v>
          </cell>
          <cell r="Q73">
            <v>4.0247235515507643E-2</v>
          </cell>
          <cell r="R73">
            <v>3.1732443950881596E-3</v>
          </cell>
          <cell r="S73">
            <v>-2.9515382278041854E-5</v>
          </cell>
          <cell r="T73">
            <v>0.11419082248883598</v>
          </cell>
          <cell r="U73">
            <v>-3.4046469004988254E-4</v>
          </cell>
          <cell r="AC73" t="str">
            <v>EXCTAX</v>
          </cell>
          <cell r="AF73">
            <v>0.99999999999999745</v>
          </cell>
          <cell r="AG73">
            <v>3.5597320393490173E-2</v>
          </cell>
          <cell r="AH73">
            <v>0.31431187156493978</v>
          </cell>
          <cell r="AI73">
            <v>3.0120652626102046E-2</v>
          </cell>
          <cell r="AJ73">
            <v>0</v>
          </cell>
          <cell r="AK73">
            <v>0.10731594876932754</v>
          </cell>
          <cell r="AL73">
            <v>0.35541288431903395</v>
          </cell>
          <cell r="AM73">
            <v>4.0247235515507643E-2</v>
          </cell>
          <cell r="AN73">
            <v>3.1732443950881596E-3</v>
          </cell>
          <cell r="AO73">
            <v>-2.9515382278041854E-5</v>
          </cell>
          <cell r="AP73">
            <v>0.11419082248883598</v>
          </cell>
          <cell r="AQ73">
            <v>-3.4046469004988254E-4</v>
          </cell>
        </row>
        <row r="74">
          <cell r="G74" t="str">
            <v>INT</v>
          </cell>
          <cell r="J74">
            <v>0.99999999999999989</v>
          </cell>
          <cell r="K74">
            <v>2.0114282422699678E-2</v>
          </cell>
          <cell r="L74">
            <v>0.26229524273703603</v>
          </cell>
          <cell r="M74">
            <v>7.4741589277534784E-2</v>
          </cell>
          <cell r="N74">
            <v>0</v>
          </cell>
          <cell r="O74">
            <v>0.1182039873327544</v>
          </cell>
          <cell r="P74">
            <v>0.43712324300869976</v>
          </cell>
          <cell r="Q74">
            <v>5.4890102503221044E-2</v>
          </cell>
          <cell r="R74">
            <v>2.97549050589077E-2</v>
          </cell>
          <cell r="S74">
            <v>2.8766476591466387E-3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2.0114282422699678E-2</v>
          </cell>
          <cell r="AH74">
            <v>0.26229524273703603</v>
          </cell>
          <cell r="AI74">
            <v>7.4741589277534784E-2</v>
          </cell>
          <cell r="AJ74">
            <v>0</v>
          </cell>
          <cell r="AK74">
            <v>0.1182039873327544</v>
          </cell>
          <cell r="AL74">
            <v>0.43712324300869976</v>
          </cell>
          <cell r="AM74">
            <v>5.4890102503221044E-2</v>
          </cell>
          <cell r="AN74">
            <v>2.97549050589077E-2</v>
          </cell>
          <cell r="AO74">
            <v>2.8766476591466387E-3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3.3571006545894809E-2</v>
          </cell>
          <cell r="L75">
            <v>0.26402310151454222</v>
          </cell>
          <cell r="M75">
            <v>6.2515467790798224E-2</v>
          </cell>
          <cell r="N75">
            <v>0</v>
          </cell>
          <cell r="O75">
            <v>9.1328281377558176E-2</v>
          </cell>
          <cell r="P75">
            <v>0.48317341591839369</v>
          </cell>
          <cell r="Q75">
            <v>4.9108255139340369E-2</v>
          </cell>
          <cell r="R75">
            <v>1.6280471713472518E-2</v>
          </cell>
          <cell r="S75">
            <v>0</v>
          </cell>
          <cell r="AC75" t="str">
            <v>CIAC</v>
          </cell>
          <cell r="AF75">
            <v>1</v>
          </cell>
          <cell r="AG75">
            <v>3.3571006545894809E-2</v>
          </cell>
          <cell r="AH75">
            <v>0.26402310151454222</v>
          </cell>
          <cell r="AI75">
            <v>6.2515467790798224E-2</v>
          </cell>
          <cell r="AJ75">
            <v>0</v>
          </cell>
          <cell r="AK75">
            <v>9.1328281377558176E-2</v>
          </cell>
          <cell r="AL75">
            <v>0.48317341591839369</v>
          </cell>
          <cell r="AM75">
            <v>4.9108255139340369E-2</v>
          </cell>
          <cell r="AN75">
            <v>1.6280471713472518E-2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4.5920776190047856E-2</v>
          </cell>
          <cell r="L78">
            <v>0.43885958378584672</v>
          </cell>
          <cell r="M78">
            <v>0.1360231228173335</v>
          </cell>
          <cell r="N78">
            <v>0</v>
          </cell>
          <cell r="O78">
            <v>4.7215325072351481E-2</v>
          </cell>
          <cell r="P78">
            <v>0.29706251501337633</v>
          </cell>
          <cell r="Q78">
            <v>3.4908348547939054E-2</v>
          </cell>
          <cell r="R78">
            <v>1.0328573105187901E-5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4.5920776190047856E-2</v>
          </cell>
          <cell r="AH78">
            <v>0.43885958378584672</v>
          </cell>
          <cell r="AI78">
            <v>0.1360231228173335</v>
          </cell>
          <cell r="AJ78">
            <v>0</v>
          </cell>
          <cell r="AK78">
            <v>4.7215325072351481E-2</v>
          </cell>
          <cell r="AL78">
            <v>0.29706251501337633</v>
          </cell>
          <cell r="AM78">
            <v>3.4908348547939054E-2</v>
          </cell>
          <cell r="AN78">
            <v>1.0328573105187901E-5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0.99999999999999989</v>
          </cell>
          <cell r="K89">
            <v>1.5704583932766601E-2</v>
          </cell>
          <cell r="L89">
            <v>0.26021982070300487</v>
          </cell>
          <cell r="M89">
            <v>7.8572543203026909E-2</v>
          </cell>
          <cell r="N89">
            <v>0</v>
          </cell>
          <cell r="O89">
            <v>0.12587980235043228</v>
          </cell>
          <cell r="P89">
            <v>0.42628317160037593</v>
          </cell>
          <cell r="Q89">
            <v>5.5751124251933695E-2</v>
          </cell>
          <cell r="R89">
            <v>3.3786178850105764E-2</v>
          </cell>
          <cell r="S89">
            <v>3.8027751083539222E-3</v>
          </cell>
          <cell r="AC89" t="str">
            <v>SNPPS</v>
          </cell>
          <cell r="AF89">
            <v>0.99999999999999989</v>
          </cell>
          <cell r="AG89">
            <v>1.5704583932766601E-2</v>
          </cell>
          <cell r="AH89">
            <v>0.26021982070300487</v>
          </cell>
          <cell r="AI89">
            <v>7.8572543203026909E-2</v>
          </cell>
          <cell r="AJ89">
            <v>0</v>
          </cell>
          <cell r="AK89">
            <v>0.12587980235043228</v>
          </cell>
          <cell r="AL89">
            <v>0.42628317160037593</v>
          </cell>
          <cell r="AM89">
            <v>5.5751124251933695E-2</v>
          </cell>
          <cell r="AN89">
            <v>3.3786178850105764E-2</v>
          </cell>
          <cell r="AO89">
            <v>3.8027751083539222E-3</v>
          </cell>
        </row>
        <row r="90">
          <cell r="G90" t="str">
            <v>SNPT</v>
          </cell>
          <cell r="J90">
            <v>0.99999999999999978</v>
          </cell>
          <cell r="K90">
            <v>1.5704583932766601E-2</v>
          </cell>
          <cell r="L90">
            <v>0.26021982070300487</v>
          </cell>
          <cell r="M90">
            <v>7.8572543203026896E-2</v>
          </cell>
          <cell r="N90">
            <v>0</v>
          </cell>
          <cell r="O90">
            <v>0.1258798023504322</v>
          </cell>
          <cell r="P90">
            <v>0.42628317160037599</v>
          </cell>
          <cell r="Q90">
            <v>5.5751124251933654E-2</v>
          </cell>
          <cell r="R90">
            <v>3.3786178850105757E-2</v>
          </cell>
          <cell r="S90">
            <v>3.8027751083539196E-3</v>
          </cell>
          <cell r="AC90" t="str">
            <v>SNPT</v>
          </cell>
          <cell r="AF90">
            <v>0.99999999999999978</v>
          </cell>
          <cell r="AG90">
            <v>1.5704583932766601E-2</v>
          </cell>
          <cell r="AH90">
            <v>0.26021982070300487</v>
          </cell>
          <cell r="AI90">
            <v>7.8572543203026896E-2</v>
          </cell>
          <cell r="AJ90">
            <v>0</v>
          </cell>
          <cell r="AK90">
            <v>0.1258798023504322</v>
          </cell>
          <cell r="AL90">
            <v>0.42628317160037599</v>
          </cell>
          <cell r="AM90">
            <v>5.5751124251933654E-2</v>
          </cell>
          <cell r="AN90">
            <v>3.3786178850105757E-2</v>
          </cell>
          <cell r="AO90">
            <v>3.8027751083539196E-3</v>
          </cell>
        </row>
        <row r="91">
          <cell r="G91" t="str">
            <v>SNPP</v>
          </cell>
          <cell r="J91">
            <v>0.99999999999999978</v>
          </cell>
          <cell r="K91">
            <v>1.5704583932766598E-2</v>
          </cell>
          <cell r="L91">
            <v>0.26021982070300476</v>
          </cell>
          <cell r="M91">
            <v>7.8572543203026909E-2</v>
          </cell>
          <cell r="N91">
            <v>0</v>
          </cell>
          <cell r="O91">
            <v>0.12587980235043225</v>
          </cell>
          <cell r="P91">
            <v>0.42628317160037599</v>
          </cell>
          <cell r="Q91">
            <v>5.5751124251933674E-2</v>
          </cell>
          <cell r="R91">
            <v>3.3786178850105757E-2</v>
          </cell>
          <cell r="S91">
            <v>3.8027751083539209E-3</v>
          </cell>
          <cell r="AC91" t="str">
            <v>SNPP</v>
          </cell>
          <cell r="AF91">
            <v>0.99999999999999978</v>
          </cell>
          <cell r="AG91">
            <v>1.5704583932766598E-2</v>
          </cell>
          <cell r="AH91">
            <v>0.26021982070300476</v>
          </cell>
          <cell r="AI91">
            <v>7.8572543203026909E-2</v>
          </cell>
          <cell r="AJ91">
            <v>0</v>
          </cell>
          <cell r="AK91">
            <v>0.12587980235043225</v>
          </cell>
          <cell r="AL91">
            <v>0.42628317160037599</v>
          </cell>
          <cell r="AM91">
            <v>5.5751124251933674E-2</v>
          </cell>
          <cell r="AN91">
            <v>3.3786178850105757E-2</v>
          </cell>
          <cell r="AO91">
            <v>3.8027751083539209E-3</v>
          </cell>
        </row>
        <row r="92">
          <cell r="G92" t="str">
            <v>SNPPH</v>
          </cell>
          <cell r="J92">
            <v>1.0000000000000009</v>
          </cell>
          <cell r="K92">
            <v>1.5704583932766612E-2</v>
          </cell>
          <cell r="L92">
            <v>0.26021982070300503</v>
          </cell>
          <cell r="M92">
            <v>7.8572543203026909E-2</v>
          </cell>
          <cell r="N92">
            <v>0</v>
          </cell>
          <cell r="O92">
            <v>0.12587980235043239</v>
          </cell>
          <cell r="P92">
            <v>0.42628317160037638</v>
          </cell>
          <cell r="Q92">
            <v>5.5751124251933674E-2</v>
          </cell>
          <cell r="R92">
            <v>3.3786178850105784E-2</v>
          </cell>
          <cell r="S92">
            <v>3.8027751083539217E-3</v>
          </cell>
          <cell r="AC92" t="str">
            <v>SNPPH</v>
          </cell>
          <cell r="AF92">
            <v>1.0000000000000009</v>
          </cell>
          <cell r="AG92">
            <v>1.5704583932766612E-2</v>
          </cell>
          <cell r="AH92">
            <v>0.26021982070300503</v>
          </cell>
          <cell r="AI92">
            <v>7.8572543203026909E-2</v>
          </cell>
          <cell r="AJ92">
            <v>0</v>
          </cell>
          <cell r="AK92">
            <v>0.12587980235043236</v>
          </cell>
          <cell r="AL92">
            <v>0.42628317160037638</v>
          </cell>
          <cell r="AM92">
            <v>5.5751124251933674E-2</v>
          </cell>
          <cell r="AN92">
            <v>3.3786178850105784E-2</v>
          </cell>
          <cell r="AO92">
            <v>3.8027751083539222E-3</v>
          </cell>
        </row>
        <row r="93">
          <cell r="G93" t="str">
            <v>SNPPN</v>
          </cell>
          <cell r="J93">
            <v>1.0000000000000002</v>
          </cell>
          <cell r="K93">
            <v>1.5704583932766608E-2</v>
          </cell>
          <cell r="L93">
            <v>0.26021982070300487</v>
          </cell>
          <cell r="M93">
            <v>7.8572543203026896E-2</v>
          </cell>
          <cell r="N93">
            <v>0</v>
          </cell>
          <cell r="O93">
            <v>0.12587980235043225</v>
          </cell>
          <cell r="P93">
            <v>0.42628317160037604</v>
          </cell>
          <cell r="Q93">
            <v>5.5751124251933667E-2</v>
          </cell>
          <cell r="R93">
            <v>3.3786178850105771E-2</v>
          </cell>
          <cell r="S93">
            <v>3.80277510835392E-3</v>
          </cell>
          <cell r="AC93" t="str">
            <v>SNPPN</v>
          </cell>
          <cell r="AF93">
            <v>1.0000000000000002</v>
          </cell>
          <cell r="AG93">
            <v>1.5704583932766608E-2</v>
          </cell>
          <cell r="AH93">
            <v>0.26021982070300487</v>
          </cell>
          <cell r="AI93">
            <v>7.8572543203026896E-2</v>
          </cell>
          <cell r="AJ93">
            <v>0</v>
          </cell>
          <cell r="AK93">
            <v>0.12587980235043225</v>
          </cell>
          <cell r="AL93">
            <v>0.42628317160037604</v>
          </cell>
          <cell r="AM93">
            <v>5.5751124251933667E-2</v>
          </cell>
          <cell r="AN93">
            <v>3.3786178850105771E-2</v>
          </cell>
          <cell r="AO93">
            <v>3.80277510835392E-3</v>
          </cell>
        </row>
        <row r="94">
          <cell r="G94" t="str">
            <v>SNPPO</v>
          </cell>
          <cell r="J94">
            <v>1.0000000000000002</v>
          </cell>
          <cell r="K94">
            <v>1.5704331811530844E-2</v>
          </cell>
          <cell r="L94">
            <v>0.26023169712671629</v>
          </cell>
          <cell r="M94">
            <v>7.8571281800192336E-2</v>
          </cell>
          <cell r="N94">
            <v>0</v>
          </cell>
          <cell r="O94">
            <v>0.12587778147732526</v>
          </cell>
          <cell r="P94">
            <v>0.4262763280545383</v>
          </cell>
          <cell r="Q94">
            <v>5.575022922393412E-2</v>
          </cell>
          <cell r="R94">
            <v>3.3785636447123311E-2</v>
          </cell>
          <cell r="S94">
            <v>3.8027140586397905E-3</v>
          </cell>
          <cell r="AC94" t="str">
            <v>SNPPO</v>
          </cell>
          <cell r="AF94">
            <v>1.0000000000000002</v>
          </cell>
          <cell r="AG94">
            <v>1.5704583932766605E-2</v>
          </cell>
          <cell r="AH94">
            <v>0.26021982070300487</v>
          </cell>
          <cell r="AI94">
            <v>7.8572543203026951E-2</v>
          </cell>
          <cell r="AJ94">
            <v>0</v>
          </cell>
          <cell r="AK94">
            <v>0.12587980235043225</v>
          </cell>
          <cell r="AL94">
            <v>0.42628317160037615</v>
          </cell>
          <cell r="AM94">
            <v>5.5751124251933695E-2</v>
          </cell>
          <cell r="AN94">
            <v>3.3786178850105771E-2</v>
          </cell>
          <cell r="AO94">
            <v>3.8027751083539217E-3</v>
          </cell>
        </row>
        <row r="95">
          <cell r="G95" t="str">
            <v>SNPG</v>
          </cell>
          <cell r="J95">
            <v>1</v>
          </cell>
          <cell r="K95">
            <v>2.8006115658573725E-2</v>
          </cell>
          <cell r="L95">
            <v>0.29248046508482201</v>
          </cell>
          <cell r="M95">
            <v>7.1338638993639736E-2</v>
          </cell>
          <cell r="N95">
            <v>0</v>
          </cell>
          <cell r="O95">
            <v>0.11899395828877481</v>
          </cell>
          <cell r="P95">
            <v>0.39726390764340191</v>
          </cell>
          <cell r="Q95">
            <v>6.3189164163171135E-2</v>
          </cell>
          <cell r="R95">
            <v>2.7210004311461072E-2</v>
          </cell>
          <cell r="S95">
            <v>1.5177458561556048E-3</v>
          </cell>
          <cell r="AC95" t="str">
            <v>SNPG</v>
          </cell>
          <cell r="AF95">
            <v>1</v>
          </cell>
          <cell r="AG95">
            <v>2.8006115658573725E-2</v>
          </cell>
          <cell r="AH95">
            <v>0.29248046508482201</v>
          </cell>
          <cell r="AI95">
            <v>7.1338638993639736E-2</v>
          </cell>
          <cell r="AJ95">
            <v>0</v>
          </cell>
          <cell r="AK95">
            <v>0.11899395828877481</v>
          </cell>
          <cell r="AL95">
            <v>0.39726390764340191</v>
          </cell>
          <cell r="AM95">
            <v>6.3189164163171135E-2</v>
          </cell>
          <cell r="AN95">
            <v>2.7210004311461072E-2</v>
          </cell>
          <cell r="AO95">
            <v>1.5177458561556048E-3</v>
          </cell>
        </row>
        <row r="96">
          <cell r="G96" t="str">
            <v>SNPI</v>
          </cell>
          <cell r="J96">
            <v>1.0000000000000002</v>
          </cell>
          <cell r="K96">
            <v>1.8388849303200196E-2</v>
          </cell>
          <cell r="L96">
            <v>0.26839333258543308</v>
          </cell>
          <cell r="M96">
            <v>7.9573530756794159E-2</v>
          </cell>
          <cell r="N96">
            <v>0</v>
          </cell>
          <cell r="O96">
            <v>0.11854318171932303</v>
          </cell>
          <cell r="P96">
            <v>0.41723685856147935</v>
          </cell>
          <cell r="Q96">
            <v>6.4464487384881711E-2</v>
          </cell>
          <cell r="R96">
            <v>3.0192288293923012E-2</v>
          </cell>
          <cell r="S96">
            <v>3.2074713949655702E-3</v>
          </cell>
          <cell r="AC96" t="str">
            <v>SNPI</v>
          </cell>
          <cell r="AF96">
            <v>1.0000000000000002</v>
          </cell>
          <cell r="AG96">
            <v>1.8388849303200196E-2</v>
          </cell>
          <cell r="AH96">
            <v>0.26839333258543308</v>
          </cell>
          <cell r="AI96">
            <v>7.9573530756794159E-2</v>
          </cell>
          <cell r="AJ96">
            <v>0</v>
          </cell>
          <cell r="AK96">
            <v>0.11854318171932303</v>
          </cell>
          <cell r="AL96">
            <v>0.41723685856147935</v>
          </cell>
          <cell r="AM96">
            <v>6.4464487384881711E-2</v>
          </cell>
          <cell r="AN96">
            <v>3.0192288293923012E-2</v>
          </cell>
          <cell r="AO96">
            <v>3.2074713949655702E-3</v>
          </cell>
        </row>
        <row r="97">
          <cell r="G97" t="str">
            <v>TROJP</v>
          </cell>
          <cell r="J97">
            <v>1</v>
          </cell>
          <cell r="K97">
            <v>1.5589161273908124E-2</v>
          </cell>
          <cell r="L97">
            <v>0.25832984686383936</v>
          </cell>
          <cell r="M97">
            <v>7.7984932543265009E-2</v>
          </cell>
          <cell r="N97">
            <v>0</v>
          </cell>
          <cell r="O97">
            <v>0.12763271209516353</v>
          </cell>
          <cell r="P97">
            <v>0.42528575432362453</v>
          </cell>
          <cell r="Q97">
            <v>5.6815595758838724E-2</v>
          </cell>
          <cell r="R97">
            <v>3.4543551737856941E-2</v>
          </cell>
          <cell r="S97">
            <v>3.8184454035037328E-3</v>
          </cell>
          <cell r="AC97" t="str">
            <v>TROJP</v>
          </cell>
          <cell r="AF97">
            <v>1</v>
          </cell>
          <cell r="AG97">
            <v>1.5589161273908124E-2</v>
          </cell>
          <cell r="AH97">
            <v>0.25832984686383936</v>
          </cell>
          <cell r="AI97">
            <v>7.7984932543265009E-2</v>
          </cell>
          <cell r="AJ97">
            <v>0</v>
          </cell>
          <cell r="AK97">
            <v>0.12763271209516353</v>
          </cell>
          <cell r="AL97">
            <v>0.42528575432362453</v>
          </cell>
          <cell r="AM97">
            <v>5.6815595758838724E-2</v>
          </cell>
          <cell r="AN97">
            <v>3.4543551737856941E-2</v>
          </cell>
          <cell r="AO97">
            <v>3.8184454035037328E-3</v>
          </cell>
        </row>
        <row r="98">
          <cell r="G98" t="str">
            <v>TROJD</v>
          </cell>
          <cell r="J98">
            <v>1</v>
          </cell>
          <cell r="K98">
            <v>1.5568775299655099E-2</v>
          </cell>
          <cell r="L98">
            <v>0.25799603928736203</v>
          </cell>
          <cell r="M98">
            <v>7.788114862510559E-2</v>
          </cell>
          <cell r="N98">
            <v>0</v>
          </cell>
          <cell r="O98">
            <v>0.12794231138249049</v>
          </cell>
          <cell r="P98">
            <v>0.42510959027468942</v>
          </cell>
          <cell r="Q98">
            <v>5.7003602939988941E-2</v>
          </cell>
          <cell r="R98">
            <v>3.4677319096383719E-2</v>
          </cell>
          <cell r="S98">
            <v>3.8212130943247619E-3</v>
          </cell>
          <cell r="AC98" t="str">
            <v>TROJD</v>
          </cell>
          <cell r="AF98">
            <v>1</v>
          </cell>
          <cell r="AG98">
            <v>1.5568775299655099E-2</v>
          </cell>
          <cell r="AH98">
            <v>0.25799603928736203</v>
          </cell>
          <cell r="AI98">
            <v>7.788114862510559E-2</v>
          </cell>
          <cell r="AJ98">
            <v>0</v>
          </cell>
          <cell r="AK98">
            <v>0.12794231138249049</v>
          </cell>
          <cell r="AL98">
            <v>0.42510959027468942</v>
          </cell>
          <cell r="AM98">
            <v>5.7003602939988941E-2</v>
          </cell>
          <cell r="AN98">
            <v>3.4677319096383719E-2</v>
          </cell>
          <cell r="AO98">
            <v>3.8212130943247619E-3</v>
          </cell>
        </row>
        <row r="99">
          <cell r="G99" t="str">
            <v>IBT</v>
          </cell>
          <cell r="J99">
            <v>0.99999999999999745</v>
          </cell>
          <cell r="K99">
            <v>3.5709102664045686E-2</v>
          </cell>
          <cell r="L99">
            <v>0.31529886986362377</v>
          </cell>
          <cell r="M99">
            <v>3.0215237131450804E-2</v>
          </cell>
          <cell r="N99">
            <v>0</v>
          </cell>
          <cell r="O99">
            <v>0.10765294100041829</v>
          </cell>
          <cell r="P99">
            <v>0.35652894751577757</v>
          </cell>
          <cell r="Q99">
            <v>4.0373619392714555E-2</v>
          </cell>
          <cell r="R99">
            <v>3.1832089783654836E-3</v>
          </cell>
          <cell r="S99">
            <v>-2.9608066120839105E-5</v>
          </cell>
          <cell r="T99">
            <v>0.11140868779425667</v>
          </cell>
          <cell r="U99">
            <v>-3.4100627453447017E-4</v>
          </cell>
          <cell r="AC99" t="str">
            <v>IBT</v>
          </cell>
          <cell r="AF99">
            <v>0.99999999999999745</v>
          </cell>
          <cell r="AG99">
            <v>3.5709102664045686E-2</v>
          </cell>
          <cell r="AH99">
            <v>0.31529886986362377</v>
          </cell>
          <cell r="AI99">
            <v>3.0215237131450804E-2</v>
          </cell>
          <cell r="AJ99">
            <v>0</v>
          </cell>
          <cell r="AK99">
            <v>0.10765294100041829</v>
          </cell>
          <cell r="AL99">
            <v>0.35652894751577757</v>
          </cell>
          <cell r="AM99">
            <v>4.0373619392714555E-2</v>
          </cell>
          <cell r="AN99">
            <v>3.1832089783654836E-3</v>
          </cell>
          <cell r="AO99">
            <v>-2.9608066120839105E-5</v>
          </cell>
          <cell r="AP99">
            <v>0.11140868779425667</v>
          </cell>
          <cell r="AQ99">
            <v>-3.4100627453447017E-4</v>
          </cell>
        </row>
        <row r="100">
          <cell r="G100" t="str">
            <v>DITEXP</v>
          </cell>
          <cell r="J100">
            <v>1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1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1.0000000000000002</v>
          </cell>
          <cell r="K101">
            <v>2.1508961387296018E-2</v>
          </cell>
          <cell r="L101">
            <v>0.27024456448823519</v>
          </cell>
          <cell r="M101">
            <v>6.1806493446445981E-2</v>
          </cell>
          <cell r="N101">
            <v>0</v>
          </cell>
          <cell r="O101">
            <v>0.11613420836546938</v>
          </cell>
          <cell r="P101">
            <v>0.43239410988302956</v>
          </cell>
          <cell r="Q101">
            <v>5.5915571885509628E-2</v>
          </cell>
          <cell r="R101">
            <v>2.5242816352429115E-2</v>
          </cell>
          <cell r="S101">
            <v>2.8996953054697232E-3</v>
          </cell>
          <cell r="T101">
            <v>0</v>
          </cell>
          <cell r="U101">
            <v>1.3853578886115403E-2</v>
          </cell>
          <cell r="AC101" t="str">
            <v>DITBAL</v>
          </cell>
          <cell r="AF101">
            <v>1.0000000000000002</v>
          </cell>
          <cell r="AG101">
            <v>2.1508961387296018E-2</v>
          </cell>
          <cell r="AH101">
            <v>0.27024456448823519</v>
          </cell>
          <cell r="AI101">
            <v>6.1806493446445981E-2</v>
          </cell>
          <cell r="AJ101">
            <v>0</v>
          </cell>
          <cell r="AK101">
            <v>0.11613420836546938</v>
          </cell>
          <cell r="AL101">
            <v>0.43239410988302956</v>
          </cell>
          <cell r="AM101">
            <v>5.5915571885509628E-2</v>
          </cell>
          <cell r="AN101">
            <v>2.5242816352429115E-2</v>
          </cell>
          <cell r="AO101">
            <v>2.8996953054697232E-3</v>
          </cell>
          <cell r="AP101">
            <v>0</v>
          </cell>
          <cell r="AQ101">
            <v>1.3853578886115403E-2</v>
          </cell>
        </row>
        <row r="102">
          <cell r="G102" t="str">
            <v>TAXDEPR</v>
          </cell>
          <cell r="J102">
            <v>0.99999999999999989</v>
          </cell>
          <cell r="K102">
            <v>1.9671729007917346E-2</v>
          </cell>
          <cell r="L102">
            <v>0.26300826137413141</v>
          </cell>
          <cell r="M102">
            <v>7.5534221799142126E-2</v>
          </cell>
          <cell r="N102">
            <v>0</v>
          </cell>
          <cell r="O102">
            <v>0.11836665934515983</v>
          </cell>
          <cell r="P102">
            <v>0.43902941164823761</v>
          </cell>
          <cell r="Q102">
            <v>5.3902843930170329E-2</v>
          </cell>
          <cell r="R102">
            <v>3.0219990898190177E-2</v>
          </cell>
          <cell r="S102">
            <v>0</v>
          </cell>
          <cell r="T102">
            <v>0</v>
          </cell>
          <cell r="U102">
            <v>2.6688199705119178E-4</v>
          </cell>
          <cell r="AC102" t="str">
            <v>TAXDEPR</v>
          </cell>
          <cell r="AF102">
            <v>0.99999999999999989</v>
          </cell>
          <cell r="AG102">
            <v>1.9671729007917346E-2</v>
          </cell>
          <cell r="AH102">
            <v>0.26300826137413141</v>
          </cell>
          <cell r="AI102">
            <v>7.5534221799142126E-2</v>
          </cell>
          <cell r="AJ102">
            <v>0</v>
          </cell>
          <cell r="AK102">
            <v>0.11836665934515983</v>
          </cell>
          <cell r="AL102">
            <v>0.43902941164823761</v>
          </cell>
          <cell r="AM102">
            <v>5.3902843930170329E-2</v>
          </cell>
          <cell r="AN102">
            <v>3.0219990898190177E-2</v>
          </cell>
          <cell r="AO102">
            <v>0</v>
          </cell>
          <cell r="AP102">
            <v>0</v>
          </cell>
          <cell r="AQ102">
            <v>2.6688199705119178E-4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1</v>
          </cell>
          <cell r="K106">
            <v>2.366576403066116E-2</v>
          </cell>
          <cell r="L106">
            <v>0.28073914082169515</v>
          </cell>
          <cell r="M106">
            <v>8.1301484609666783E-2</v>
          </cell>
          <cell r="N106">
            <v>0</v>
          </cell>
          <cell r="O106">
            <v>0.12191787155590238</v>
          </cell>
          <cell r="P106">
            <v>0.40510858147157658</v>
          </cell>
          <cell r="Q106">
            <v>5.3400262034530528E-2</v>
          </cell>
          <cell r="R106">
            <v>3.0971283308988622E-2</v>
          </cell>
          <cell r="S106">
            <v>2.8956121669789095E-3</v>
          </cell>
          <cell r="T106">
            <v>0</v>
          </cell>
          <cell r="U106">
            <v>0</v>
          </cell>
          <cell r="AC106" t="str">
            <v>SCHMDEXP</v>
          </cell>
          <cell r="AF106">
            <v>1</v>
          </cell>
          <cell r="AG106">
            <v>2.366576403066116E-2</v>
          </cell>
          <cell r="AH106">
            <v>0.28073914082169515</v>
          </cell>
          <cell r="AI106">
            <v>8.1301484609666783E-2</v>
          </cell>
          <cell r="AJ106">
            <v>0</v>
          </cell>
          <cell r="AK106">
            <v>0.12191787155590238</v>
          </cell>
          <cell r="AL106">
            <v>0.40510858147157658</v>
          </cell>
          <cell r="AM106">
            <v>5.3400262034530528E-2</v>
          </cell>
          <cell r="AN106">
            <v>3.0971283308988622E-2</v>
          </cell>
          <cell r="AO106">
            <v>2.8956121669789095E-3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1.8590731433061919E-2</v>
          </cell>
          <cell r="L107">
            <v>0.24990156621072657</v>
          </cell>
          <cell r="M107">
            <v>6.2455030739986157E-2</v>
          </cell>
          <cell r="N107">
            <v>0</v>
          </cell>
          <cell r="O107">
            <v>0.11118457832715904</v>
          </cell>
          <cell r="P107">
            <v>0.44434559500214493</v>
          </cell>
          <cell r="Q107">
            <v>4.3650615157361773E-2</v>
          </cell>
          <cell r="R107">
            <v>2.2617278749617203E-2</v>
          </cell>
          <cell r="S107">
            <v>2.1953500888951057E-3</v>
          </cell>
          <cell r="T107">
            <v>4.5059254291047388E-2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1.8590731433061919E-2</v>
          </cell>
          <cell r="AH107">
            <v>0.24990156621072657</v>
          </cell>
          <cell r="AI107">
            <v>6.2455030739986157E-2</v>
          </cell>
          <cell r="AJ107">
            <v>0</v>
          </cell>
          <cell r="AK107">
            <v>0.11118457832715904</v>
          </cell>
          <cell r="AL107">
            <v>0.44434559500214493</v>
          </cell>
          <cell r="AM107">
            <v>4.3650615157361773E-2</v>
          </cell>
          <cell r="AN107">
            <v>2.2617278749617203E-2</v>
          </cell>
          <cell r="AO107">
            <v>2.1953500888951057E-3</v>
          </cell>
          <cell r="AP107">
            <v>4.5059254291047388E-2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1.5764532906096734E-2</v>
          </cell>
          <cell r="L108">
            <v>0.26121315558905345</v>
          </cell>
          <cell r="M108">
            <v>7.8872477497187399E-2</v>
          </cell>
          <cell r="N108">
            <v>0</v>
          </cell>
          <cell r="O108">
            <v>0.12636032223852448</v>
          </cell>
          <cell r="P108">
            <v>0.42791041868917257</v>
          </cell>
          <cell r="Q108">
            <v>5.5963942539588564E-2</v>
          </cell>
          <cell r="R108">
            <v>3.3915150540376783E-2</v>
          </cell>
          <cell r="AC108" t="str">
            <v>SGCT</v>
          </cell>
          <cell r="AF108">
            <v>1</v>
          </cell>
          <cell r="AG108">
            <v>1.5764532906096734E-2</v>
          </cell>
          <cell r="AH108">
            <v>0.26121315558905345</v>
          </cell>
          <cell r="AI108">
            <v>7.8872477497187399E-2</v>
          </cell>
          <cell r="AJ108">
            <v>0</v>
          </cell>
          <cell r="AK108">
            <v>0.12636032223852448</v>
          </cell>
          <cell r="AL108">
            <v>0.42791041868917257</v>
          </cell>
          <cell r="AM108">
            <v>5.5963942539588564E-2</v>
          </cell>
          <cell r="AN108">
            <v>3.3915150540376783E-2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9">
          <cell r="B29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 refreshError="1"/>
      <sheetData sheetId="13">
        <row r="90">
          <cell r="AW90">
            <v>71344469.561136618</v>
          </cell>
        </row>
      </sheetData>
      <sheetData sheetId="14">
        <row r="1">
          <cell r="E1">
            <v>24813392665.469231</v>
          </cell>
          <cell r="J1">
            <v>24813392665.469231</v>
          </cell>
        </row>
        <row r="3">
          <cell r="A3" t="str">
            <v>1011390OR</v>
          </cell>
          <cell r="B3" t="str">
            <v>1011390</v>
          </cell>
          <cell r="D3">
            <v>4470101.25</v>
          </cell>
          <cell r="F3" t="str">
            <v>1011390OR</v>
          </cell>
          <cell r="G3" t="str">
            <v>1011390</v>
          </cell>
          <cell r="I3">
            <v>4470101.25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30402955.816923</v>
          </cell>
          <cell r="F4" t="str">
            <v>1011390SG</v>
          </cell>
          <cell r="G4" t="str">
            <v>1011390</v>
          </cell>
          <cell r="I4">
            <v>30402955.816923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6798077.5099999998</v>
          </cell>
          <cell r="F5" t="str">
            <v>1011390SO</v>
          </cell>
          <cell r="G5" t="str">
            <v>1011390</v>
          </cell>
          <cell r="I5">
            <v>6798077.5099999998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10688872.193846099</v>
          </cell>
          <cell r="F6" t="str">
            <v>1011390UT</v>
          </cell>
          <cell r="G6" t="str">
            <v>1011390</v>
          </cell>
          <cell r="I6">
            <v>10688872.193846099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674688.93846153805</v>
          </cell>
          <cell r="F7" t="str">
            <v>1011390WYP</v>
          </cell>
          <cell r="G7" t="str">
            <v>1011390</v>
          </cell>
          <cell r="I7">
            <v>674688.93846153805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105CA</v>
          </cell>
          <cell r="B8" t="str">
            <v>105</v>
          </cell>
          <cell r="D8">
            <v>945563.83</v>
          </cell>
          <cell r="F8" t="str">
            <v>105CA</v>
          </cell>
          <cell r="G8" t="str">
            <v>105</v>
          </cell>
          <cell r="I8">
            <v>945563.83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105OR</v>
          </cell>
          <cell r="B9" t="str">
            <v>105</v>
          </cell>
          <cell r="D9">
            <v>4254106.1500000004</v>
          </cell>
          <cell r="F9" t="str">
            <v>105OR</v>
          </cell>
          <cell r="G9" t="str">
            <v>105</v>
          </cell>
          <cell r="I9">
            <v>4254106.1500000004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105SE</v>
          </cell>
          <cell r="B10" t="str">
            <v>105</v>
          </cell>
          <cell r="D10">
            <v>33556296.119230747</v>
          </cell>
          <cell r="F10" t="str">
            <v>105SE</v>
          </cell>
          <cell r="G10" t="str">
            <v>105</v>
          </cell>
          <cell r="I10">
            <v>33556296.119230747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0</v>
          </cell>
          <cell r="F11" t="str">
            <v>105SNPP</v>
          </cell>
          <cell r="G11" t="str">
            <v>105</v>
          </cell>
          <cell r="I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1002615.8723076899</v>
          </cell>
          <cell r="F12" t="str">
            <v>105SNPT</v>
          </cell>
          <cell r="G12" t="str">
            <v>105</v>
          </cell>
          <cell r="I12">
            <v>1002615.8723076899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4140116.03230769</v>
          </cell>
          <cell r="F13" t="str">
            <v>105UT</v>
          </cell>
          <cell r="G13" t="str">
            <v>105</v>
          </cell>
          <cell r="I13">
            <v>4140116.03230769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106SG</v>
          </cell>
          <cell r="B14" t="str">
            <v>106</v>
          </cell>
          <cell r="D14">
            <v>0</v>
          </cell>
          <cell r="F14" t="str">
            <v>106SG</v>
          </cell>
          <cell r="G14" t="str">
            <v>106</v>
          </cell>
          <cell r="I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108360CA</v>
          </cell>
          <cell r="B15" t="str">
            <v>108360</v>
          </cell>
          <cell r="D15">
            <v>-649386.50464240403</v>
          </cell>
          <cell r="F15" t="str">
            <v>108360CA</v>
          </cell>
          <cell r="G15" t="str">
            <v>108360</v>
          </cell>
          <cell r="I15">
            <v>-649386.50464240403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108360ID</v>
          </cell>
          <cell r="B16" t="str">
            <v>108360</v>
          </cell>
          <cell r="D16">
            <v>-521279.70582282695</v>
          </cell>
          <cell r="F16" t="str">
            <v>108360ID</v>
          </cell>
          <cell r="G16" t="str">
            <v>108360</v>
          </cell>
          <cell r="I16">
            <v>-521279.70582282695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108360OR</v>
          </cell>
          <cell r="B17" t="str">
            <v>108360</v>
          </cell>
          <cell r="D17">
            <v>-3201568.388753301</v>
          </cell>
          <cell r="F17" t="str">
            <v>108360OR</v>
          </cell>
          <cell r="G17" t="str">
            <v>108360</v>
          </cell>
          <cell r="I17">
            <v>-3201568.388753301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108360UT</v>
          </cell>
          <cell r="B18" t="str">
            <v>108360</v>
          </cell>
          <cell r="D18">
            <v>-3360196.2576226606</v>
          </cell>
          <cell r="F18" t="str">
            <v>108360UT</v>
          </cell>
          <cell r="G18" t="str">
            <v>108360</v>
          </cell>
          <cell r="I18">
            <v>-3360196.2576226606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108360WA</v>
          </cell>
          <cell r="B19" t="str">
            <v>108360</v>
          </cell>
          <cell r="D19">
            <v>-314278.7222328129</v>
          </cell>
          <cell r="F19" t="str">
            <v>108360WA</v>
          </cell>
          <cell r="G19" t="str">
            <v>108360</v>
          </cell>
          <cell r="I19">
            <v>-314278.7222328129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108360WYP</v>
          </cell>
          <cell r="B20" t="str">
            <v>108360</v>
          </cell>
          <cell r="D20">
            <v>-1281378.7887129295</v>
          </cell>
          <cell r="F20" t="str">
            <v>108360WYP</v>
          </cell>
          <cell r="G20" t="str">
            <v>108360</v>
          </cell>
          <cell r="I20">
            <v>-1281378.7887129295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108360WYU</v>
          </cell>
          <cell r="B21" t="str">
            <v>108360</v>
          </cell>
          <cell r="D21">
            <v>-583310.20538461499</v>
          </cell>
          <cell r="F21" t="str">
            <v>108360WYU</v>
          </cell>
          <cell r="G21" t="str">
            <v>108360</v>
          </cell>
          <cell r="I21">
            <v>-583310.20538461499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108361CA</v>
          </cell>
          <cell r="B22" t="str">
            <v>108361</v>
          </cell>
          <cell r="D22">
            <v>-847154.05634950812</v>
          </cell>
          <cell r="F22" t="str">
            <v>108361CA</v>
          </cell>
          <cell r="G22" t="str">
            <v>108361</v>
          </cell>
          <cell r="I22">
            <v>-847154.05634950812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108361ID</v>
          </cell>
          <cell r="B23" t="str">
            <v>108361</v>
          </cell>
          <cell r="D23">
            <v>-604549.05229932792</v>
          </cell>
          <cell r="F23" t="str">
            <v>108361ID</v>
          </cell>
          <cell r="G23" t="str">
            <v>108361</v>
          </cell>
          <cell r="I23">
            <v>-604549.05229932792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108361OR</v>
          </cell>
          <cell r="B24" t="str">
            <v>108361</v>
          </cell>
          <cell r="D24">
            <v>-5115373.6608647015</v>
          </cell>
          <cell r="F24" t="str">
            <v>108361OR</v>
          </cell>
          <cell r="G24" t="str">
            <v>108361</v>
          </cell>
          <cell r="I24">
            <v>-5115373.6608647015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108361UT</v>
          </cell>
          <cell r="B25" t="str">
            <v>108361</v>
          </cell>
          <cell r="D25">
            <v>-8915903.9065797944</v>
          </cell>
          <cell r="F25" t="str">
            <v>108361UT</v>
          </cell>
          <cell r="G25" t="str">
            <v>108361</v>
          </cell>
          <cell r="I25">
            <v>-8915903.9065797944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108361WA</v>
          </cell>
          <cell r="B26" t="str">
            <v>108361</v>
          </cell>
          <cell r="D26">
            <v>-921862.87302093254</v>
          </cell>
          <cell r="F26" t="str">
            <v>108361WA</v>
          </cell>
          <cell r="G26" t="str">
            <v>108361</v>
          </cell>
          <cell r="I26">
            <v>-921862.87302093254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108361WYP</v>
          </cell>
          <cell r="B27" t="str">
            <v>108361</v>
          </cell>
          <cell r="D27">
            <v>-2725195.431656816</v>
          </cell>
          <cell r="F27" t="str">
            <v>108361WYP</v>
          </cell>
          <cell r="G27" t="str">
            <v>108361</v>
          </cell>
          <cell r="I27">
            <v>-2725195.431656816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108361WYU</v>
          </cell>
          <cell r="B28" t="str">
            <v>108361</v>
          </cell>
          <cell r="D28">
            <v>-166456.87076923001</v>
          </cell>
          <cell r="F28" t="str">
            <v>108361WYU</v>
          </cell>
          <cell r="G28" t="str">
            <v>108361</v>
          </cell>
          <cell r="I28">
            <v>-166456.87076923001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108362CA</v>
          </cell>
          <cell r="B29" t="str">
            <v>108362</v>
          </cell>
          <cell r="D29">
            <v>-6220154.2671989454</v>
          </cell>
          <cell r="F29" t="str">
            <v>108362CA</v>
          </cell>
          <cell r="G29" t="str">
            <v>108362</v>
          </cell>
          <cell r="I29">
            <v>-6220154.2671989454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108362ID</v>
          </cell>
          <cell r="B30" t="str">
            <v>108362</v>
          </cell>
          <cell r="D30">
            <v>-10286131.556612674</v>
          </cell>
          <cell r="F30" t="str">
            <v>108362ID</v>
          </cell>
          <cell r="G30" t="str">
            <v>108362</v>
          </cell>
          <cell r="I30">
            <v>-10286131.556612674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108362OR</v>
          </cell>
          <cell r="B31" t="str">
            <v>108362</v>
          </cell>
          <cell r="D31">
            <v>-72634442.378828317</v>
          </cell>
          <cell r="F31" t="str">
            <v>108362OR</v>
          </cell>
          <cell r="G31" t="str">
            <v>108362</v>
          </cell>
          <cell r="I31">
            <v>-72634442.378828317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108362UT</v>
          </cell>
          <cell r="B32" t="str">
            <v>108362</v>
          </cell>
          <cell r="D32">
            <v>-98103208.506054446</v>
          </cell>
          <cell r="F32" t="str">
            <v>108362UT</v>
          </cell>
          <cell r="G32" t="str">
            <v>108362</v>
          </cell>
          <cell r="I32">
            <v>-98103208.506054446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108362WA</v>
          </cell>
          <cell r="B33" t="str">
            <v>108362</v>
          </cell>
          <cell r="D33">
            <v>-18509207.634418491</v>
          </cell>
          <cell r="F33" t="str">
            <v>108362WA</v>
          </cell>
          <cell r="G33" t="str">
            <v>108362</v>
          </cell>
          <cell r="I33">
            <v>-18509207.634418491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108362WYP</v>
          </cell>
          <cell r="B34" t="str">
            <v>108362</v>
          </cell>
          <cell r="D34">
            <v>-44668066.925166748</v>
          </cell>
          <cell r="F34" t="str">
            <v>108362WYP</v>
          </cell>
          <cell r="G34" t="str">
            <v>108362</v>
          </cell>
          <cell r="I34">
            <v>-44668066.925166748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108362WYU</v>
          </cell>
          <cell r="B35" t="str">
            <v>108362</v>
          </cell>
          <cell r="D35">
            <v>-2678212.5315384599</v>
          </cell>
          <cell r="F35" t="str">
            <v>108362WYU</v>
          </cell>
          <cell r="G35" t="str">
            <v>108362</v>
          </cell>
          <cell r="I35">
            <v>-2678212.5315384599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108363UT</v>
          </cell>
          <cell r="B36" t="str">
            <v>108363</v>
          </cell>
          <cell r="D36">
            <v>0</v>
          </cell>
          <cell r="F36" t="str">
            <v>108363UT</v>
          </cell>
          <cell r="G36" t="str">
            <v>108363</v>
          </cell>
          <cell r="I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108364CA</v>
          </cell>
          <cell r="B37" t="str">
            <v>108364</v>
          </cell>
          <cell r="D37">
            <v>-30397971.561188657</v>
          </cell>
          <cell r="F37" t="str">
            <v>108364CA</v>
          </cell>
          <cell r="G37" t="str">
            <v>108364</v>
          </cell>
          <cell r="I37">
            <v>-30397971.561188657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108364ID</v>
          </cell>
          <cell r="B38" t="str">
            <v>108364</v>
          </cell>
          <cell r="D38">
            <v>-44451057.446379416</v>
          </cell>
          <cell r="F38" t="str">
            <v>108364ID</v>
          </cell>
          <cell r="G38" t="str">
            <v>108364</v>
          </cell>
          <cell r="I38">
            <v>-44451057.446379416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108364OR</v>
          </cell>
          <cell r="B39" t="str">
            <v>108364</v>
          </cell>
          <cell r="D39">
            <v>-237161074.7305752</v>
          </cell>
          <cell r="F39" t="str">
            <v>108364OR</v>
          </cell>
          <cell r="G39" t="str">
            <v>108364</v>
          </cell>
          <cell r="I39">
            <v>-237161074.7305752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108364UT</v>
          </cell>
          <cell r="B40" t="str">
            <v>108364</v>
          </cell>
          <cell r="D40">
            <v>-174009382.47800928</v>
          </cell>
          <cell r="F40" t="str">
            <v>108364UT</v>
          </cell>
          <cell r="G40" t="str">
            <v>108364</v>
          </cell>
          <cell r="I40">
            <v>-174009382.47800928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108364WA</v>
          </cell>
          <cell r="B41" t="str">
            <v>108364</v>
          </cell>
          <cell r="D41">
            <v>-54553827.076057009</v>
          </cell>
          <cell r="F41" t="str">
            <v>108364WA</v>
          </cell>
          <cell r="G41" t="str">
            <v>108364</v>
          </cell>
          <cell r="I41">
            <v>-54553827.076057009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108364WYP</v>
          </cell>
          <cell r="B42" t="str">
            <v>108364</v>
          </cell>
          <cell r="D42">
            <v>-41359166.757471628</v>
          </cell>
          <cell r="F42" t="str">
            <v>108364WYP</v>
          </cell>
          <cell r="G42" t="str">
            <v>108364</v>
          </cell>
          <cell r="I42">
            <v>-41359166.757471628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108364WYU</v>
          </cell>
          <cell r="B43" t="str">
            <v>108364</v>
          </cell>
          <cell r="D43">
            <v>-8645592.0923076905</v>
          </cell>
          <cell r="F43" t="str">
            <v>108364WYU</v>
          </cell>
          <cell r="G43" t="str">
            <v>108364</v>
          </cell>
          <cell r="I43">
            <v>-8645592.0923076905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108365CA</v>
          </cell>
          <cell r="B44" t="str">
            <v>108365</v>
          </cell>
          <cell r="D44">
            <v>-14323400.331902392</v>
          </cell>
          <cell r="F44" t="str">
            <v>108365CA</v>
          </cell>
          <cell r="G44" t="str">
            <v>108365</v>
          </cell>
          <cell r="I44">
            <v>-14323400.331902392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108365ID</v>
          </cell>
          <cell r="B45" t="str">
            <v>108365</v>
          </cell>
          <cell r="D45">
            <v>-17313585.214652687</v>
          </cell>
          <cell r="F45" t="str">
            <v>108365ID</v>
          </cell>
          <cell r="G45" t="str">
            <v>108365</v>
          </cell>
          <cell r="I45">
            <v>-17313585.214652687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108365OR</v>
          </cell>
          <cell r="B46" t="str">
            <v>108365</v>
          </cell>
          <cell r="D46">
            <v>-143679293.57132697</v>
          </cell>
          <cell r="F46" t="str">
            <v>108365OR</v>
          </cell>
          <cell r="G46" t="str">
            <v>108365</v>
          </cell>
          <cell r="I46">
            <v>-143679293.57132697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108365UT</v>
          </cell>
          <cell r="B47" t="str">
            <v>108365</v>
          </cell>
          <cell r="D47">
            <v>-86471349.601963431</v>
          </cell>
          <cell r="F47" t="str">
            <v>108365UT</v>
          </cell>
          <cell r="G47" t="str">
            <v>108365</v>
          </cell>
          <cell r="I47">
            <v>-86471349.601963431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108365WA</v>
          </cell>
          <cell r="B48" t="str">
            <v>108365</v>
          </cell>
          <cell r="D48">
            <v>-31971509.10554878</v>
          </cell>
          <cell r="F48" t="str">
            <v>108365WA</v>
          </cell>
          <cell r="G48" t="str">
            <v>108365</v>
          </cell>
          <cell r="I48">
            <v>-31971509.10554878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108365WYP</v>
          </cell>
          <cell r="B49" t="str">
            <v>108365</v>
          </cell>
          <cell r="D49">
            <v>-39234631.446762241</v>
          </cell>
          <cell r="F49" t="str">
            <v>108365WYP</v>
          </cell>
          <cell r="G49" t="str">
            <v>108365</v>
          </cell>
          <cell r="I49">
            <v>-39234631.446762241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108365WYU</v>
          </cell>
          <cell r="B50" t="str">
            <v>108365</v>
          </cell>
          <cell r="D50">
            <v>-4728453.3</v>
          </cell>
          <cell r="F50" t="str">
            <v>108365WYU</v>
          </cell>
          <cell r="G50" t="str">
            <v>108365</v>
          </cell>
          <cell r="I50">
            <v>-4728453.3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108366CA</v>
          </cell>
          <cell r="B51" t="str">
            <v>108366</v>
          </cell>
          <cell r="D51">
            <v>-8982484.4527635686</v>
          </cell>
          <cell r="F51" t="str">
            <v>108366CA</v>
          </cell>
          <cell r="G51" t="str">
            <v>108366</v>
          </cell>
          <cell r="I51">
            <v>-8982484.4527635686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108366ID</v>
          </cell>
          <cell r="B52" t="str">
            <v>108366</v>
          </cell>
          <cell r="D52">
            <v>-3675375.6803078018</v>
          </cell>
          <cell r="F52" t="str">
            <v>108366ID</v>
          </cell>
          <cell r="G52" t="str">
            <v>108366</v>
          </cell>
          <cell r="I52">
            <v>-3675375.6803078018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108366OR</v>
          </cell>
          <cell r="B53" t="str">
            <v>108366</v>
          </cell>
          <cell r="D53">
            <v>-42826967.737273507</v>
          </cell>
          <cell r="F53" t="str">
            <v>108366OR</v>
          </cell>
          <cell r="G53" t="str">
            <v>108366</v>
          </cell>
          <cell r="I53">
            <v>-42826967.737273507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108366UT</v>
          </cell>
          <cell r="B54" t="str">
            <v>108366</v>
          </cell>
          <cell r="D54">
            <v>-64173863.715675086</v>
          </cell>
          <cell r="F54" t="str">
            <v>108366UT</v>
          </cell>
          <cell r="G54" t="str">
            <v>108366</v>
          </cell>
          <cell r="I54">
            <v>-64173863.715675086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108366WA</v>
          </cell>
          <cell r="B55" t="str">
            <v>108366</v>
          </cell>
          <cell r="D55">
            <v>-12237654.032045586</v>
          </cell>
          <cell r="F55" t="str">
            <v>108366WA</v>
          </cell>
          <cell r="G55" t="str">
            <v>108366</v>
          </cell>
          <cell r="I55">
            <v>-12237654.032045586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108366WYP</v>
          </cell>
          <cell r="B56" t="str">
            <v>108366</v>
          </cell>
          <cell r="D56">
            <v>-8946266.9790234938</v>
          </cell>
          <cell r="F56" t="str">
            <v>108366WYP</v>
          </cell>
          <cell r="G56" t="str">
            <v>108366</v>
          </cell>
          <cell r="I56">
            <v>-8946266.9790234938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108366WYU</v>
          </cell>
          <cell r="B57" t="str">
            <v>108366</v>
          </cell>
          <cell r="D57">
            <v>-2608217.4915384599</v>
          </cell>
          <cell r="F57" t="str">
            <v>108366WYU</v>
          </cell>
          <cell r="G57" t="str">
            <v>108366</v>
          </cell>
          <cell r="I57">
            <v>-2608217.4915384599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108367CA</v>
          </cell>
          <cell r="B58" t="str">
            <v>108367</v>
          </cell>
          <cell r="D58">
            <v>-16229751.335448435</v>
          </cell>
          <cell r="F58" t="str">
            <v>108367CA</v>
          </cell>
          <cell r="G58" t="str">
            <v>108367</v>
          </cell>
          <cell r="I58">
            <v>-16229751.335448435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108367ID</v>
          </cell>
          <cell r="B59" t="str">
            <v>108367</v>
          </cell>
          <cell r="D59">
            <v>-11369304.940335702</v>
          </cell>
          <cell r="F59" t="str">
            <v>108367ID</v>
          </cell>
          <cell r="G59" t="str">
            <v>108367</v>
          </cell>
          <cell r="I59">
            <v>-11369304.940335702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108367OR</v>
          </cell>
          <cell r="B60" t="str">
            <v>108367</v>
          </cell>
          <cell r="D60">
            <v>-73480802.076983243</v>
          </cell>
          <cell r="F60" t="str">
            <v>108367OR</v>
          </cell>
          <cell r="G60" t="str">
            <v>108367</v>
          </cell>
          <cell r="I60">
            <v>-73480802.076983243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108367UT</v>
          </cell>
          <cell r="B61" t="str">
            <v>108367</v>
          </cell>
          <cell r="D61">
            <v>-181161252.55483162</v>
          </cell>
          <cell r="F61" t="str">
            <v>108367UT</v>
          </cell>
          <cell r="G61" t="str">
            <v>108367</v>
          </cell>
          <cell r="I61">
            <v>-181161252.55483162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108367WA</v>
          </cell>
          <cell r="B62" t="str">
            <v>108367</v>
          </cell>
          <cell r="D62">
            <v>-12062218.810791479</v>
          </cell>
          <cell r="F62" t="str">
            <v>108367WA</v>
          </cell>
          <cell r="G62" t="str">
            <v>108367</v>
          </cell>
          <cell r="I62">
            <v>-12062218.810791479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108367WYP</v>
          </cell>
          <cell r="B63" t="str">
            <v>108367</v>
          </cell>
          <cell r="D63">
            <v>-21525470.942017466</v>
          </cell>
          <cell r="F63" t="str">
            <v>108367WYP</v>
          </cell>
          <cell r="G63" t="str">
            <v>108367</v>
          </cell>
          <cell r="I63">
            <v>-21525470.942017466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108367WYU</v>
          </cell>
          <cell r="B64" t="str">
            <v>108367</v>
          </cell>
          <cell r="D64">
            <v>-13066462.2430769</v>
          </cell>
          <cell r="F64" t="str">
            <v>108367WYU</v>
          </cell>
          <cell r="G64" t="str">
            <v>108367</v>
          </cell>
          <cell r="I64">
            <v>-13066462.2430769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108368CA</v>
          </cell>
          <cell r="B65" t="str">
            <v>108368</v>
          </cell>
          <cell r="D65">
            <v>-25527197.330441318</v>
          </cell>
          <cell r="F65" t="str">
            <v>108368CA</v>
          </cell>
          <cell r="G65" t="str">
            <v>108368</v>
          </cell>
          <cell r="I65">
            <v>-25527197.330441318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108368ID</v>
          </cell>
          <cell r="B66" t="str">
            <v>108368</v>
          </cell>
          <cell r="D66">
            <v>-23830889.471334435</v>
          </cell>
          <cell r="F66" t="str">
            <v>108368ID</v>
          </cell>
          <cell r="G66" t="str">
            <v>108368</v>
          </cell>
          <cell r="I66">
            <v>-23830889.471334435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108368OR</v>
          </cell>
          <cell r="B67" t="str">
            <v>108368</v>
          </cell>
          <cell r="D67">
            <v>-193673257.82877678</v>
          </cell>
          <cell r="F67" t="str">
            <v>108368OR</v>
          </cell>
          <cell r="G67" t="str">
            <v>108368</v>
          </cell>
          <cell r="I67">
            <v>-193673257.82877678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108368UT</v>
          </cell>
          <cell r="B68" t="str">
            <v>108368</v>
          </cell>
          <cell r="D68">
            <v>-106924707.95047767</v>
          </cell>
          <cell r="F68" t="str">
            <v>108368UT</v>
          </cell>
          <cell r="G68" t="str">
            <v>108368</v>
          </cell>
          <cell r="I68">
            <v>-106924707.95047767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108368WA</v>
          </cell>
          <cell r="B69" t="str">
            <v>108368</v>
          </cell>
          <cell r="D69">
            <v>-49036205.274688527</v>
          </cell>
          <cell r="F69" t="str">
            <v>108368WA</v>
          </cell>
          <cell r="G69" t="str">
            <v>108368</v>
          </cell>
          <cell r="I69">
            <v>-49036205.274688527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108368WYP</v>
          </cell>
          <cell r="B70" t="str">
            <v>108368</v>
          </cell>
          <cell r="D70">
            <v>-33887433.918844715</v>
          </cell>
          <cell r="F70" t="str">
            <v>108368WYP</v>
          </cell>
          <cell r="G70" t="str">
            <v>108368</v>
          </cell>
          <cell r="I70">
            <v>-33887433.918844715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108368WYU</v>
          </cell>
          <cell r="B71" t="str">
            <v>108368</v>
          </cell>
          <cell r="D71">
            <v>-4625695.0915384535</v>
          </cell>
          <cell r="F71" t="str">
            <v>108368WYU</v>
          </cell>
          <cell r="G71" t="str">
            <v>108368</v>
          </cell>
          <cell r="I71">
            <v>-4625695.0915384535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108369CA</v>
          </cell>
          <cell r="B72" t="str">
            <v>108369</v>
          </cell>
          <cell r="D72">
            <v>-10955476.733815398</v>
          </cell>
          <cell r="F72" t="str">
            <v>108369CA</v>
          </cell>
          <cell r="G72" t="str">
            <v>108369</v>
          </cell>
          <cell r="I72">
            <v>-10955476.733815398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108369ID</v>
          </cell>
          <cell r="B73" t="str">
            <v>108369</v>
          </cell>
          <cell r="D73">
            <v>-11639545.496142823</v>
          </cell>
          <cell r="F73" t="str">
            <v>108369ID</v>
          </cell>
          <cell r="G73" t="str">
            <v>108369</v>
          </cell>
          <cell r="I73">
            <v>-11639545.496142823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108369OR</v>
          </cell>
          <cell r="B74" t="str">
            <v>108369</v>
          </cell>
          <cell r="D74">
            <v>-82044646.52543731</v>
          </cell>
          <cell r="F74" t="str">
            <v>108369OR</v>
          </cell>
          <cell r="G74" t="str">
            <v>108369</v>
          </cell>
          <cell r="I74">
            <v>-82044646.52543731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108369UT</v>
          </cell>
          <cell r="B75" t="str">
            <v>108369</v>
          </cell>
          <cell r="D75">
            <v>-68238648.668842077</v>
          </cell>
          <cell r="F75" t="str">
            <v>108369UT</v>
          </cell>
          <cell r="G75" t="str">
            <v>108369</v>
          </cell>
          <cell r="I75">
            <v>-68238648.668842077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108369WA</v>
          </cell>
          <cell r="B76" t="str">
            <v>108369</v>
          </cell>
          <cell r="D76">
            <v>-20897753.660406027</v>
          </cell>
          <cell r="F76" t="str">
            <v>108369WA</v>
          </cell>
          <cell r="G76" t="str">
            <v>108369</v>
          </cell>
          <cell r="I76">
            <v>-20897753.660406027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108369WYP</v>
          </cell>
          <cell r="B77" t="str">
            <v>108369</v>
          </cell>
          <cell r="D77">
            <v>-17061316.796486251</v>
          </cell>
          <cell r="F77" t="str">
            <v>108369WYP</v>
          </cell>
          <cell r="G77" t="str">
            <v>108369</v>
          </cell>
          <cell r="I77">
            <v>-17061316.796486251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108369WYU</v>
          </cell>
          <cell r="B78" t="str">
            <v>108369</v>
          </cell>
          <cell r="D78">
            <v>-3034917.67538461</v>
          </cell>
          <cell r="F78" t="str">
            <v>108369WYU</v>
          </cell>
          <cell r="G78" t="str">
            <v>108369</v>
          </cell>
          <cell r="I78">
            <v>-3034917.67538461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108370CA</v>
          </cell>
          <cell r="B79" t="str">
            <v>108370</v>
          </cell>
          <cell r="D79">
            <v>-2139552.8826199551</v>
          </cell>
          <cell r="F79" t="str">
            <v>108370CA</v>
          </cell>
          <cell r="G79" t="str">
            <v>108370</v>
          </cell>
          <cell r="I79">
            <v>-2139552.8826199551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108370ID</v>
          </cell>
          <cell r="B80" t="str">
            <v>108370</v>
          </cell>
          <cell r="D80">
            <v>-7026768.1769582601</v>
          </cell>
          <cell r="F80" t="str">
            <v>108370ID</v>
          </cell>
          <cell r="G80" t="str">
            <v>108370</v>
          </cell>
          <cell r="I80">
            <v>-7026768.1769582601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108370OR</v>
          </cell>
          <cell r="B81" t="str">
            <v>108370</v>
          </cell>
          <cell r="D81">
            <v>-35865365.231613375</v>
          </cell>
          <cell r="F81" t="str">
            <v>108370OR</v>
          </cell>
          <cell r="G81" t="str">
            <v>108370</v>
          </cell>
          <cell r="I81">
            <v>-35865365.231613375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108370UT</v>
          </cell>
          <cell r="B82" t="str">
            <v>108370</v>
          </cell>
          <cell r="D82">
            <v>-27116856.64456293</v>
          </cell>
          <cell r="F82" t="str">
            <v>108370UT</v>
          </cell>
          <cell r="G82" t="str">
            <v>108370</v>
          </cell>
          <cell r="I82">
            <v>-27116856.64456293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108370WA</v>
          </cell>
          <cell r="B83" t="str">
            <v>108370</v>
          </cell>
          <cell r="D83">
            <v>-2600662.8990645162</v>
          </cell>
          <cell r="F83" t="str">
            <v>108370WA</v>
          </cell>
          <cell r="G83" t="str">
            <v>108370</v>
          </cell>
          <cell r="I83">
            <v>-2600662.8990645162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108370WYP</v>
          </cell>
          <cell r="B84" t="str">
            <v>108370</v>
          </cell>
          <cell r="D84">
            <v>-2423915.9884555154</v>
          </cell>
          <cell r="F84" t="str">
            <v>108370WYP</v>
          </cell>
          <cell r="G84" t="str">
            <v>108370</v>
          </cell>
          <cell r="I84">
            <v>-2423915.9884555154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108370WYU</v>
          </cell>
          <cell r="B85" t="str">
            <v>108370</v>
          </cell>
          <cell r="D85">
            <v>-668503.45923076919</v>
          </cell>
          <cell r="F85" t="str">
            <v>108370WYU</v>
          </cell>
          <cell r="G85" t="str">
            <v>108370</v>
          </cell>
          <cell r="I85">
            <v>-668503.45923076919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108371CA</v>
          </cell>
          <cell r="B86" t="str">
            <v>108371</v>
          </cell>
          <cell r="D86">
            <v>-236768.55777787571</v>
          </cell>
          <cell r="F86" t="str">
            <v>108371CA</v>
          </cell>
          <cell r="G86" t="str">
            <v>108371</v>
          </cell>
          <cell r="I86">
            <v>-236768.55777787571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108371ID</v>
          </cell>
          <cell r="B87" t="str">
            <v>108371</v>
          </cell>
          <cell r="D87">
            <v>-132957.07798834384</v>
          </cell>
          <cell r="F87" t="str">
            <v>108371ID</v>
          </cell>
          <cell r="G87" t="str">
            <v>108371</v>
          </cell>
          <cell r="I87">
            <v>-132957.07798834384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108371OR</v>
          </cell>
          <cell r="B88" t="str">
            <v>108371</v>
          </cell>
          <cell r="D88">
            <v>-2668134.874942461</v>
          </cell>
          <cell r="F88" t="str">
            <v>108371OR</v>
          </cell>
          <cell r="G88" t="str">
            <v>108371</v>
          </cell>
          <cell r="I88">
            <v>-2668134.874942461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108371UT</v>
          </cell>
          <cell r="B89" t="str">
            <v>108371</v>
          </cell>
          <cell r="D89">
            <v>-3491327.7789791804</v>
          </cell>
          <cell r="F89" t="str">
            <v>108371UT</v>
          </cell>
          <cell r="G89" t="str">
            <v>108371</v>
          </cell>
          <cell r="I89">
            <v>-3491327.7789791804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108371WA</v>
          </cell>
          <cell r="B90" t="str">
            <v>108371</v>
          </cell>
          <cell r="D90">
            <v>-311683.82796493149</v>
          </cell>
          <cell r="F90" t="str">
            <v>108371WA</v>
          </cell>
          <cell r="G90" t="str">
            <v>108371</v>
          </cell>
          <cell r="I90">
            <v>-311683.82796493149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108371WYP</v>
          </cell>
          <cell r="B91" t="str">
            <v>108371</v>
          </cell>
          <cell r="D91">
            <v>-966706.10506075167</v>
          </cell>
          <cell r="F91" t="str">
            <v>108371WYP</v>
          </cell>
          <cell r="G91" t="str">
            <v>108371</v>
          </cell>
          <cell r="I91">
            <v>-966706.10506075167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108371WYU</v>
          </cell>
          <cell r="B92" t="str">
            <v>108371</v>
          </cell>
          <cell r="D92">
            <v>-150307.63461538401</v>
          </cell>
          <cell r="F92" t="str">
            <v>108371WYU</v>
          </cell>
          <cell r="G92" t="str">
            <v>108371</v>
          </cell>
          <cell r="I92">
            <v>-150307.63461538401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108373CA</v>
          </cell>
          <cell r="B93" t="str">
            <v>108373</v>
          </cell>
          <cell r="D93">
            <v>-695017.07987100142</v>
          </cell>
          <cell r="F93" t="str">
            <v>108373CA</v>
          </cell>
          <cell r="G93" t="str">
            <v>108373</v>
          </cell>
          <cell r="I93">
            <v>-695017.07987100142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108373ID</v>
          </cell>
          <cell r="B94" t="str">
            <v>108373</v>
          </cell>
          <cell r="D94">
            <v>-529822.1213996507</v>
          </cell>
          <cell r="F94" t="str">
            <v>108373ID</v>
          </cell>
          <cell r="G94" t="str">
            <v>108373</v>
          </cell>
          <cell r="I94">
            <v>-529822.1213996507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108373OR</v>
          </cell>
          <cell r="B95" t="str">
            <v>108373</v>
          </cell>
          <cell r="D95">
            <v>-9945038.9914200716</v>
          </cell>
          <cell r="F95" t="str">
            <v>108373OR</v>
          </cell>
          <cell r="G95" t="str">
            <v>108373</v>
          </cell>
          <cell r="I95">
            <v>-9945038.9914200716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108373UT</v>
          </cell>
          <cell r="B96" t="str">
            <v>108373</v>
          </cell>
          <cell r="D96">
            <v>-12247790.932337198</v>
          </cell>
          <cell r="F96" t="str">
            <v>108373UT</v>
          </cell>
          <cell r="G96" t="str">
            <v>108373</v>
          </cell>
          <cell r="I96">
            <v>-12247790.932337198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108373WA</v>
          </cell>
          <cell r="B97" t="str">
            <v>108373</v>
          </cell>
          <cell r="D97">
            <v>-2432437.0037008184</v>
          </cell>
          <cell r="F97" t="str">
            <v>108373WA</v>
          </cell>
          <cell r="G97" t="str">
            <v>108373</v>
          </cell>
          <cell r="I97">
            <v>-2432437.0037008184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108373WYP</v>
          </cell>
          <cell r="B98" t="str">
            <v>108373</v>
          </cell>
          <cell r="D98">
            <v>-2937150.7083325535</v>
          </cell>
          <cell r="F98" t="str">
            <v>108373WYP</v>
          </cell>
          <cell r="G98" t="str">
            <v>108373</v>
          </cell>
          <cell r="I98">
            <v>-2937150.7083325535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108373WYU</v>
          </cell>
          <cell r="B99" t="str">
            <v>108373</v>
          </cell>
          <cell r="D99">
            <v>-890311.09692307608</v>
          </cell>
          <cell r="F99" t="str">
            <v>108373WYU</v>
          </cell>
          <cell r="G99" t="str">
            <v>108373</v>
          </cell>
          <cell r="I99">
            <v>-890311.09692307608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108DPCA</v>
          </cell>
          <cell r="B100" t="str">
            <v>108DP</v>
          </cell>
          <cell r="D100">
            <v>35099.715384615301</v>
          </cell>
          <cell r="F100" t="str">
            <v>108DPCA</v>
          </cell>
          <cell r="G100" t="str">
            <v>108DP</v>
          </cell>
          <cell r="I100">
            <v>35099.715384615301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108DPID</v>
          </cell>
          <cell r="B101" t="str">
            <v>108DP</v>
          </cell>
          <cell r="D101">
            <v>-35091.626923076903</v>
          </cell>
          <cell r="F101" t="str">
            <v>108DPID</v>
          </cell>
          <cell r="G101" t="str">
            <v>108DP</v>
          </cell>
          <cell r="I101">
            <v>-35091.626923076903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108DPOR</v>
          </cell>
          <cell r="B102" t="str">
            <v>108DP</v>
          </cell>
          <cell r="D102">
            <v>1027835.97538461</v>
          </cell>
          <cell r="F102" t="str">
            <v>108DPOR</v>
          </cell>
          <cell r="G102" t="str">
            <v>108DP</v>
          </cell>
          <cell r="I102">
            <v>1027835.97538461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108DPUT</v>
          </cell>
          <cell r="B103" t="str">
            <v>108DP</v>
          </cell>
          <cell r="D103">
            <v>3030553.9546153801</v>
          </cell>
          <cell r="F103" t="str">
            <v>108DPUT</v>
          </cell>
          <cell r="G103" t="str">
            <v>108DP</v>
          </cell>
          <cell r="I103">
            <v>3030553.9546153801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108DPWA</v>
          </cell>
          <cell r="B104" t="str">
            <v>108DP</v>
          </cell>
          <cell r="D104">
            <v>127826.33307692299</v>
          </cell>
          <cell r="F104" t="str">
            <v>108DPWA</v>
          </cell>
          <cell r="G104" t="str">
            <v>108DP</v>
          </cell>
          <cell r="I104">
            <v>127826.33307692299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108DPWYP</v>
          </cell>
          <cell r="B105" t="str">
            <v>108DP</v>
          </cell>
          <cell r="D105">
            <v>-6730.3238461538403</v>
          </cell>
          <cell r="F105" t="str">
            <v>108DPWYP</v>
          </cell>
          <cell r="G105" t="str">
            <v>108DP</v>
          </cell>
          <cell r="I105">
            <v>-6730.3238461538403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108DPWYU</v>
          </cell>
          <cell r="B106" t="str">
            <v>108DP</v>
          </cell>
          <cell r="D106">
            <v>230570.23076922999</v>
          </cell>
          <cell r="F106" t="str">
            <v>108DPWYU</v>
          </cell>
          <cell r="G106" t="str">
            <v>108DP</v>
          </cell>
          <cell r="I106">
            <v>230570.23076922999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108GPCA</v>
          </cell>
          <cell r="B107" t="str">
            <v>108GP</v>
          </cell>
          <cell r="D107">
            <v>-4713043.572934852</v>
          </cell>
          <cell r="F107" t="str">
            <v>108GPCA</v>
          </cell>
          <cell r="G107" t="str">
            <v>108GP</v>
          </cell>
          <cell r="I107">
            <v>-4713043.572934852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108GPCN</v>
          </cell>
          <cell r="B108" t="str">
            <v>108GP</v>
          </cell>
          <cell r="D108">
            <v>-8567792.2215177417</v>
          </cell>
          <cell r="F108" t="str">
            <v>108GPCN</v>
          </cell>
          <cell r="G108" t="str">
            <v>108GP</v>
          </cell>
          <cell r="I108">
            <v>-8567792.2215177417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108GPDGP</v>
          </cell>
          <cell r="B109" t="str">
            <v>108GP</v>
          </cell>
          <cell r="D109">
            <v>-613498.03535428783</v>
          </cell>
          <cell r="F109" t="str">
            <v>108GPDGP</v>
          </cell>
          <cell r="G109" t="str">
            <v>108GP</v>
          </cell>
          <cell r="I109">
            <v>-613498.03535428783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108GPDGU</v>
          </cell>
          <cell r="B110" t="str">
            <v>108GP</v>
          </cell>
          <cell r="D110">
            <v>-732110.32173830085</v>
          </cell>
          <cell r="F110" t="str">
            <v>108GPDGU</v>
          </cell>
          <cell r="G110" t="str">
            <v>108GP</v>
          </cell>
          <cell r="I110">
            <v>-732110.32173830085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108GPID</v>
          </cell>
          <cell r="B111" t="str">
            <v>108GP</v>
          </cell>
          <cell r="D111">
            <v>-12145966.515919618</v>
          </cell>
          <cell r="F111" t="str">
            <v>108GPID</v>
          </cell>
          <cell r="G111" t="str">
            <v>108GP</v>
          </cell>
          <cell r="I111">
            <v>-12145966.515919618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108GPOR</v>
          </cell>
          <cell r="B112" t="str">
            <v>108GP</v>
          </cell>
          <cell r="D112">
            <v>-53455763.119049862</v>
          </cell>
          <cell r="F112" t="str">
            <v>108GPOR</v>
          </cell>
          <cell r="G112" t="str">
            <v>108GP</v>
          </cell>
          <cell r="I112">
            <v>-53455763.119049862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108GPSE</v>
          </cell>
          <cell r="B113" t="str">
            <v>108GP</v>
          </cell>
          <cell r="D113">
            <v>-297021.52459667216</v>
          </cell>
          <cell r="F113" t="str">
            <v>108GPSE</v>
          </cell>
          <cell r="G113" t="str">
            <v>108GP</v>
          </cell>
          <cell r="I113">
            <v>-297021.52459667216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108GPSG</v>
          </cell>
          <cell r="B114" t="str">
            <v>108GP</v>
          </cell>
          <cell r="D114">
            <v>-77948077.435367316</v>
          </cell>
          <cell r="F114" t="str">
            <v>108GPSG</v>
          </cell>
          <cell r="G114" t="str">
            <v>108GP</v>
          </cell>
          <cell r="I114">
            <v>-77948077.435367316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108GPSO</v>
          </cell>
          <cell r="B115" t="str">
            <v>108GP</v>
          </cell>
          <cell r="D115">
            <v>-77720397.188664109</v>
          </cell>
          <cell r="F115" t="str">
            <v>108GPSO</v>
          </cell>
          <cell r="G115" t="str">
            <v>108GP</v>
          </cell>
          <cell r="I115">
            <v>-77720397.188664109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108GPSSGCH</v>
          </cell>
          <cell r="B116" t="str">
            <v>108GP</v>
          </cell>
          <cell r="D116">
            <v>-1989719.5774963056</v>
          </cell>
          <cell r="F116" t="str">
            <v>108GPSSGCH</v>
          </cell>
          <cell r="G116" t="str">
            <v>108GP</v>
          </cell>
          <cell r="I116">
            <v>-1989719.5774963056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108GPSSGCT</v>
          </cell>
          <cell r="B117" t="str">
            <v>108GP</v>
          </cell>
          <cell r="D117">
            <v>-56858.901682968703</v>
          </cell>
          <cell r="F117" t="str">
            <v>108GPSSGCT</v>
          </cell>
          <cell r="G117" t="str">
            <v>108GP</v>
          </cell>
          <cell r="I117">
            <v>-56858.901682968703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108GPUT</v>
          </cell>
          <cell r="B118" t="str">
            <v>108GP</v>
          </cell>
          <cell r="D118">
            <v>-68614064.873244792</v>
          </cell>
          <cell r="F118" t="str">
            <v>108GPUT</v>
          </cell>
          <cell r="G118" t="str">
            <v>108GP</v>
          </cell>
          <cell r="I118">
            <v>-68614064.873244792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108GPWA</v>
          </cell>
          <cell r="B119" t="str">
            <v>108GP</v>
          </cell>
          <cell r="D119">
            <v>-20462305.314695921</v>
          </cell>
          <cell r="F119" t="str">
            <v>108GPWA</v>
          </cell>
          <cell r="G119" t="str">
            <v>108GP</v>
          </cell>
          <cell r="I119">
            <v>-20462305.314695921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108GPWYP</v>
          </cell>
          <cell r="B120" t="str">
            <v>108GP</v>
          </cell>
          <cell r="D120">
            <v>-20860667.278504018</v>
          </cell>
          <cell r="F120" t="str">
            <v>108GPWYP</v>
          </cell>
          <cell r="G120" t="str">
            <v>108GP</v>
          </cell>
          <cell r="I120">
            <v>-20860667.278504018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108GPWYU</v>
          </cell>
          <cell r="B121" t="str">
            <v>108GP</v>
          </cell>
          <cell r="D121">
            <v>-5259426.8664477421</v>
          </cell>
          <cell r="F121" t="str">
            <v>108GPWYU</v>
          </cell>
          <cell r="G121" t="str">
            <v>108GP</v>
          </cell>
          <cell r="I121">
            <v>-5259426.8664477421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108HPDGP</v>
          </cell>
          <cell r="B122" t="str">
            <v>108HP</v>
          </cell>
          <cell r="D122">
            <v>-131848666.22582458</v>
          </cell>
          <cell r="F122" t="str">
            <v>108HPDGP</v>
          </cell>
          <cell r="G122" t="str">
            <v>108HP</v>
          </cell>
          <cell r="I122">
            <v>-131848666.22582458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108HPDGU</v>
          </cell>
          <cell r="B123" t="str">
            <v>108HP</v>
          </cell>
          <cell r="D123">
            <v>-30410512.993878014</v>
          </cell>
          <cell r="F123" t="str">
            <v>108HPDGU</v>
          </cell>
          <cell r="G123" t="str">
            <v>108HP</v>
          </cell>
          <cell r="I123">
            <v>-30410512.993878014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108HPSG-P</v>
          </cell>
          <cell r="B124" t="str">
            <v>108HP</v>
          </cell>
          <cell r="D124">
            <v>-119388608.86890797</v>
          </cell>
          <cell r="F124" t="str">
            <v>108HPSG-P</v>
          </cell>
          <cell r="G124" t="str">
            <v>108HP</v>
          </cell>
          <cell r="I124">
            <v>-119388608.86890797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108HPSG-U</v>
          </cell>
          <cell r="B125" t="str">
            <v>108HP</v>
          </cell>
          <cell r="D125">
            <v>-26313524.969657071</v>
          </cell>
          <cell r="F125" t="str">
            <v>108HPSG-U</v>
          </cell>
          <cell r="G125" t="str">
            <v>108HP</v>
          </cell>
          <cell r="I125">
            <v>-26313524.969657071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108MPSE</v>
          </cell>
          <cell r="B126" t="str">
            <v>108MP</v>
          </cell>
          <cell r="D126">
            <v>-189530811.14505243</v>
          </cell>
          <cell r="F126" t="str">
            <v>108MPSE</v>
          </cell>
          <cell r="G126" t="str">
            <v>108MP</v>
          </cell>
          <cell r="I126">
            <v>-189530811.14505243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108OPDGU</v>
          </cell>
          <cell r="B127" t="str">
            <v>108OP</v>
          </cell>
          <cell r="D127">
            <v>198235.28999999992</v>
          </cell>
          <cell r="F127" t="str">
            <v>108OPDGU</v>
          </cell>
          <cell r="G127" t="str">
            <v>108OP</v>
          </cell>
          <cell r="I127">
            <v>198235.28999999992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108OPSG</v>
          </cell>
          <cell r="B128" t="str">
            <v>108OP</v>
          </cell>
          <cell r="D128">
            <v>-276098064.32154006</v>
          </cell>
          <cell r="F128" t="str">
            <v>108OPSG</v>
          </cell>
          <cell r="G128" t="str">
            <v>108OP</v>
          </cell>
          <cell r="I128">
            <v>-276098064.32154006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108OPSG-W</v>
          </cell>
          <cell r="B129" t="str">
            <v>108OP</v>
          </cell>
          <cell r="D129">
            <v>-484107169.14003396</v>
          </cell>
          <cell r="F129" t="str">
            <v>108OPSG-W</v>
          </cell>
          <cell r="G129" t="str">
            <v>108OP</v>
          </cell>
          <cell r="I129">
            <v>-484107169.14003396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108OPSSGCT</v>
          </cell>
          <cell r="B130" t="str">
            <v>108OP</v>
          </cell>
          <cell r="D130">
            <v>-27010525.40785465</v>
          </cell>
          <cell r="F130" t="str">
            <v>108OPSSGCT</v>
          </cell>
          <cell r="G130" t="str">
            <v>108OP</v>
          </cell>
          <cell r="I130">
            <v>-27010525.40785465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108SPDGP</v>
          </cell>
          <cell r="B131" t="str">
            <v>108SP</v>
          </cell>
          <cell r="D131">
            <v>-748677951.53592491</v>
          </cell>
          <cell r="F131" t="str">
            <v>108SPDGP</v>
          </cell>
          <cell r="G131" t="str">
            <v>108SP</v>
          </cell>
          <cell r="I131">
            <v>-748677951.53592491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108SPDGU</v>
          </cell>
          <cell r="B132" t="str">
            <v>108SP</v>
          </cell>
          <cell r="D132">
            <v>-794547227.50475204</v>
          </cell>
          <cell r="F132" t="str">
            <v>108SPDGU</v>
          </cell>
          <cell r="G132" t="str">
            <v>108SP</v>
          </cell>
          <cell r="I132">
            <v>-794547227.50475204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108SPSE</v>
          </cell>
          <cell r="B133" t="str">
            <v>108SP</v>
          </cell>
          <cell r="D133">
            <v>0</v>
          </cell>
          <cell r="F133" t="str">
            <v>108SPSE</v>
          </cell>
          <cell r="G133" t="str">
            <v>108SP</v>
          </cell>
          <cell r="I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108SPSG</v>
          </cell>
          <cell r="B134" t="str">
            <v>108SP</v>
          </cell>
          <cell r="D134">
            <v>-891076197.29241848</v>
          </cell>
          <cell r="F134" t="str">
            <v>108SPSG</v>
          </cell>
          <cell r="G134" t="str">
            <v>108SP</v>
          </cell>
          <cell r="I134">
            <v>-891076197.29241848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108SPSG-W</v>
          </cell>
          <cell r="B135" t="str">
            <v>108SP</v>
          </cell>
          <cell r="D135">
            <v>0</v>
          </cell>
          <cell r="F135" t="str">
            <v>108SPSG-W</v>
          </cell>
          <cell r="G135" t="str">
            <v>108SP</v>
          </cell>
          <cell r="I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108SPSSGCH</v>
          </cell>
          <cell r="B136" t="str">
            <v>108SP</v>
          </cell>
          <cell r="D136">
            <v>-173316716.94154051</v>
          </cell>
          <cell r="F136" t="str">
            <v>108SPSSGCH</v>
          </cell>
          <cell r="G136" t="str">
            <v>108SP</v>
          </cell>
          <cell r="I136">
            <v>-173316716.94154051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108TPDGP</v>
          </cell>
          <cell r="B137" t="str">
            <v>108TP</v>
          </cell>
          <cell r="D137">
            <v>-384486161.15663534</v>
          </cell>
          <cell r="F137" t="str">
            <v>108TPDGP</v>
          </cell>
          <cell r="G137" t="str">
            <v>108TP</v>
          </cell>
          <cell r="I137">
            <v>-384486161.15663534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108TPDGU</v>
          </cell>
          <cell r="B138" t="str">
            <v>108TP</v>
          </cell>
          <cell r="D138">
            <v>-415338611.86075252</v>
          </cell>
          <cell r="F138" t="str">
            <v>108TPDGU</v>
          </cell>
          <cell r="G138" t="str">
            <v>108TP</v>
          </cell>
          <cell r="I138">
            <v>-415338611.86075252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108TPSG</v>
          </cell>
          <cell r="B139" t="str">
            <v>108TP</v>
          </cell>
          <cell r="D139">
            <v>-630835491.72440088</v>
          </cell>
          <cell r="F139" t="str">
            <v>108TPSG</v>
          </cell>
          <cell r="G139" t="str">
            <v>108TP</v>
          </cell>
          <cell r="I139">
            <v>-630835491.72440088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111390OR</v>
          </cell>
          <cell r="B140" t="str">
            <v>111390</v>
          </cell>
          <cell r="D140">
            <v>-1263382.4846153799</v>
          </cell>
          <cell r="F140" t="str">
            <v>111390OR</v>
          </cell>
          <cell r="G140" t="str">
            <v>111390</v>
          </cell>
          <cell r="I140">
            <v>-1263382.4846153799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111390SG</v>
          </cell>
          <cell r="B141" t="str">
            <v>111390</v>
          </cell>
          <cell r="D141">
            <v>-2267348.2438461501</v>
          </cell>
          <cell r="F141" t="str">
            <v>111390SG</v>
          </cell>
          <cell r="G141" t="str">
            <v>111390</v>
          </cell>
          <cell r="I141">
            <v>-2267348.2438461501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111390SO</v>
          </cell>
          <cell r="B142" t="str">
            <v>111390</v>
          </cell>
          <cell r="D142">
            <v>6395561.0415384602</v>
          </cell>
          <cell r="F142" t="str">
            <v>111390SO</v>
          </cell>
          <cell r="G142" t="str">
            <v>111390</v>
          </cell>
          <cell r="I142">
            <v>6395561.0415384602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111390UT</v>
          </cell>
          <cell r="B143" t="str">
            <v>111390</v>
          </cell>
          <cell r="D143">
            <v>-908296.58307692304</v>
          </cell>
          <cell r="F143" t="str">
            <v>111390UT</v>
          </cell>
          <cell r="G143" t="str">
            <v>111390</v>
          </cell>
          <cell r="I143">
            <v>-908296.58307692304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111390WYP</v>
          </cell>
          <cell r="B144" t="str">
            <v>111390</v>
          </cell>
          <cell r="D144">
            <v>-377356.27692307602</v>
          </cell>
          <cell r="F144" t="str">
            <v>111390WYP</v>
          </cell>
          <cell r="G144" t="str">
            <v>111390</v>
          </cell>
          <cell r="I144">
            <v>-377356.27692307602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111GPCA</v>
          </cell>
          <cell r="B145" t="str">
            <v>111GP</v>
          </cell>
          <cell r="D145">
            <v>-495847.87784289534</v>
          </cell>
          <cell r="F145" t="str">
            <v>111GPCA</v>
          </cell>
          <cell r="G145" t="str">
            <v>111GP</v>
          </cell>
          <cell r="I145">
            <v>-495847.87784289534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111GPCN</v>
          </cell>
          <cell r="B146" t="str">
            <v>111GP</v>
          </cell>
          <cell r="D146">
            <v>-3423578.593923301</v>
          </cell>
          <cell r="F146" t="str">
            <v>111GPCN</v>
          </cell>
          <cell r="G146" t="str">
            <v>111GP</v>
          </cell>
          <cell r="I146">
            <v>-3423578.593923301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111GPID</v>
          </cell>
          <cell r="B147" t="str">
            <v>111GP</v>
          </cell>
          <cell r="D147">
            <v>-79771.898142364735</v>
          </cell>
          <cell r="F147" t="str">
            <v>111GPID</v>
          </cell>
          <cell r="G147" t="str">
            <v>111GP</v>
          </cell>
          <cell r="I147">
            <v>-79771.898142364735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111GPOR</v>
          </cell>
          <cell r="B148" t="str">
            <v>111GP</v>
          </cell>
          <cell r="D148">
            <v>-6129415.6077631777</v>
          </cell>
          <cell r="F148" t="str">
            <v>111GPOR</v>
          </cell>
          <cell r="G148" t="str">
            <v>111GP</v>
          </cell>
          <cell r="I148">
            <v>-6129415.6077631777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111GPSG</v>
          </cell>
          <cell r="B149" t="str">
            <v>111GP</v>
          </cell>
          <cell r="D149">
            <v>-22182.29</v>
          </cell>
          <cell r="F149" t="str">
            <v>111GPSG</v>
          </cell>
          <cell r="G149" t="str">
            <v>111GP</v>
          </cell>
          <cell r="I149">
            <v>-22182.29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111GPSO</v>
          </cell>
          <cell r="B150" t="str">
            <v>111GP</v>
          </cell>
          <cell r="D150">
            <v>-15164054.283309354</v>
          </cell>
          <cell r="F150" t="str">
            <v>111GPSO</v>
          </cell>
          <cell r="G150" t="str">
            <v>111GP</v>
          </cell>
          <cell r="I150">
            <v>-15164054.283309354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111GPUT</v>
          </cell>
          <cell r="B151" t="str">
            <v>111GP</v>
          </cell>
          <cell r="D151">
            <v>-14668.07499999999</v>
          </cell>
          <cell r="F151" t="str">
            <v>111GPUT</v>
          </cell>
          <cell r="G151" t="str">
            <v>111GP</v>
          </cell>
          <cell r="I151">
            <v>-14668.07499999999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111GPWA</v>
          </cell>
          <cell r="B152" t="str">
            <v>111GP</v>
          </cell>
          <cell r="D152">
            <v>-1357723.2545892622</v>
          </cell>
          <cell r="F152" t="str">
            <v>111GPWA</v>
          </cell>
          <cell r="G152" t="str">
            <v>111GP</v>
          </cell>
          <cell r="I152">
            <v>-1357723.2545892622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111GPWYP</v>
          </cell>
          <cell r="B153" t="str">
            <v>111GP</v>
          </cell>
          <cell r="D153">
            <v>-5047342.6393981213</v>
          </cell>
          <cell r="F153" t="str">
            <v>111GPWYP</v>
          </cell>
          <cell r="G153" t="str">
            <v>111GP</v>
          </cell>
          <cell r="I153">
            <v>-5047342.6393981213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111GPWYU</v>
          </cell>
          <cell r="B154" t="str">
            <v>111GP</v>
          </cell>
          <cell r="D154">
            <v>-40612.66499999995</v>
          </cell>
          <cell r="F154" t="str">
            <v>111GPWYU</v>
          </cell>
          <cell r="G154" t="str">
            <v>111GP</v>
          </cell>
          <cell r="I154">
            <v>-40612.66499999995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111HPSG-P</v>
          </cell>
          <cell r="B155" t="str">
            <v>111HP</v>
          </cell>
          <cell r="D155">
            <v>-1159267.7038129903</v>
          </cell>
          <cell r="F155" t="str">
            <v>111HPSG-P</v>
          </cell>
          <cell r="G155" t="str">
            <v>111HP</v>
          </cell>
          <cell r="I155">
            <v>-1159267.7038129903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111HPSG-U</v>
          </cell>
          <cell r="B156" t="str">
            <v>111HP</v>
          </cell>
          <cell r="D156">
            <v>0</v>
          </cell>
          <cell r="F156" t="str">
            <v>111HPSG-U</v>
          </cell>
          <cell r="G156" t="str">
            <v>111HP</v>
          </cell>
          <cell r="I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111IPCN</v>
          </cell>
          <cell r="B157" t="str">
            <v>111IP</v>
          </cell>
          <cell r="D157">
            <v>-115283889.76765129</v>
          </cell>
          <cell r="F157" t="str">
            <v>111IPCN</v>
          </cell>
          <cell r="G157" t="str">
            <v>111IP</v>
          </cell>
          <cell r="I157">
            <v>-115283889.76765129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111IPDGP</v>
          </cell>
          <cell r="B158" t="str">
            <v>111IP</v>
          </cell>
          <cell r="D158">
            <v>103372.62600000002</v>
          </cell>
          <cell r="F158" t="str">
            <v>111IPDGP</v>
          </cell>
          <cell r="G158" t="str">
            <v>111IP</v>
          </cell>
          <cell r="I158">
            <v>103372.62600000002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111IPDGU</v>
          </cell>
          <cell r="B159" t="str">
            <v>111IP</v>
          </cell>
          <cell r="D159">
            <v>-415714.06500000047</v>
          </cell>
          <cell r="F159" t="str">
            <v>111IPDGU</v>
          </cell>
          <cell r="G159" t="str">
            <v>111IP</v>
          </cell>
          <cell r="I159">
            <v>-415714.06500000047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111IPID</v>
          </cell>
          <cell r="B160" t="str">
            <v>111IP</v>
          </cell>
          <cell r="D160">
            <v>-837798.29264913744</v>
          </cell>
          <cell r="F160" t="str">
            <v>111IPID</v>
          </cell>
          <cell r="G160" t="str">
            <v>111IP</v>
          </cell>
          <cell r="I160">
            <v>-837798.29264913744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111IPOR</v>
          </cell>
          <cell r="B161" t="str">
            <v>111IP</v>
          </cell>
          <cell r="D161">
            <v>-97932.027230748339</v>
          </cell>
          <cell r="F161" t="str">
            <v>111IPOR</v>
          </cell>
          <cell r="G161" t="str">
            <v>111IP</v>
          </cell>
          <cell r="I161">
            <v>-97932.027230748339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111IPSE</v>
          </cell>
          <cell r="B162" t="str">
            <v>111IP</v>
          </cell>
          <cell r="D162">
            <v>-2596753.8523180066</v>
          </cell>
          <cell r="F162" t="str">
            <v>111IPSE</v>
          </cell>
          <cell r="G162" t="str">
            <v>111IP</v>
          </cell>
          <cell r="I162">
            <v>-2596753.8523180066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111IPSG</v>
          </cell>
          <cell r="B163" t="str">
            <v>111IP</v>
          </cell>
          <cell r="D163">
            <v>-57012570.747281685</v>
          </cell>
          <cell r="F163" t="str">
            <v>111IPSG</v>
          </cell>
          <cell r="G163" t="str">
            <v>111IP</v>
          </cell>
          <cell r="I163">
            <v>-57012570.747281685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111IPSG-P</v>
          </cell>
          <cell r="B164" t="str">
            <v>111IP</v>
          </cell>
          <cell r="D164">
            <v>-23319535.543122921</v>
          </cell>
          <cell r="F164" t="str">
            <v>111IPSG-P</v>
          </cell>
          <cell r="G164" t="str">
            <v>111IP</v>
          </cell>
          <cell r="I164">
            <v>-23319535.543122921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111IPSG-U</v>
          </cell>
          <cell r="B165" t="str">
            <v>111IP</v>
          </cell>
          <cell r="D165">
            <v>-4583496.5967522832</v>
          </cell>
          <cell r="F165" t="str">
            <v>111IPSG-U</v>
          </cell>
          <cell r="G165" t="str">
            <v>111IP</v>
          </cell>
          <cell r="I165">
            <v>-4583496.5967522832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111IPSO</v>
          </cell>
          <cell r="B166" t="str">
            <v>111IP</v>
          </cell>
          <cell r="D166">
            <v>-286777968.83716089</v>
          </cell>
          <cell r="F166" t="str">
            <v>111IPSO</v>
          </cell>
          <cell r="G166" t="str">
            <v>111IP</v>
          </cell>
          <cell r="I166">
            <v>-286777968.83716089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111IPSSGCH</v>
          </cell>
          <cell r="B167" t="str">
            <v>111IP</v>
          </cell>
          <cell r="D167">
            <v>-538784.8600000001</v>
          </cell>
          <cell r="F167" t="str">
            <v>111IPSSGCH</v>
          </cell>
          <cell r="G167" t="str">
            <v>111IP</v>
          </cell>
          <cell r="I167">
            <v>-538784.8600000001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111IPUT</v>
          </cell>
          <cell r="B168" t="str">
            <v>111IP</v>
          </cell>
          <cell r="D168">
            <v>-86720.035586180267</v>
          </cell>
          <cell r="F168" t="str">
            <v>111IPUT</v>
          </cell>
          <cell r="G168" t="str">
            <v>111IP</v>
          </cell>
          <cell r="I168">
            <v>-86720.035586180267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111IPWA</v>
          </cell>
          <cell r="B169" t="str">
            <v>111IP</v>
          </cell>
          <cell r="D169">
            <v>856.5569999999999</v>
          </cell>
          <cell r="F169" t="str">
            <v>111IPWA</v>
          </cell>
          <cell r="G169" t="str">
            <v>111IP</v>
          </cell>
          <cell r="I169">
            <v>856.5569999999999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111IPWYP</v>
          </cell>
          <cell r="B170" t="str">
            <v>111IP</v>
          </cell>
          <cell r="D170">
            <v>-735492.00543515873</v>
          </cell>
          <cell r="F170" t="str">
            <v>111IPWYP</v>
          </cell>
          <cell r="G170" t="str">
            <v>111IP</v>
          </cell>
          <cell r="I170">
            <v>-735492.00543515873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114DGP</v>
          </cell>
          <cell r="B171" t="str">
            <v>114</v>
          </cell>
          <cell r="D171">
            <v>14560710.68</v>
          </cell>
          <cell r="F171" t="str">
            <v>114DGP</v>
          </cell>
          <cell r="G171" t="str">
            <v>114</v>
          </cell>
          <cell r="I171">
            <v>14560710.68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114SG</v>
          </cell>
          <cell r="B172" t="str">
            <v>114</v>
          </cell>
          <cell r="D172">
            <v>129052437.47538459</v>
          </cell>
          <cell r="F172" t="str">
            <v>114SG</v>
          </cell>
          <cell r="G172" t="str">
            <v>114</v>
          </cell>
          <cell r="I172">
            <v>129052437.47538459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115DGP</v>
          </cell>
          <cell r="B173" t="str">
            <v>115</v>
          </cell>
          <cell r="D173">
            <v>-14211717.527692299</v>
          </cell>
          <cell r="F173" t="str">
            <v>115DGP</v>
          </cell>
          <cell r="G173" t="str">
            <v>115</v>
          </cell>
          <cell r="I173">
            <v>-14211717.527692299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115SG</v>
          </cell>
          <cell r="B174" t="str">
            <v>115</v>
          </cell>
          <cell r="D174">
            <v>-93160254.266153723</v>
          </cell>
          <cell r="F174" t="str">
            <v>115SG</v>
          </cell>
          <cell r="G174" t="str">
            <v>115</v>
          </cell>
          <cell r="I174">
            <v>-93160254.266153723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124CA</v>
          </cell>
          <cell r="B175" t="str">
            <v>124</v>
          </cell>
          <cell r="D175">
            <v>390717</v>
          </cell>
          <cell r="F175" t="str">
            <v>124CA</v>
          </cell>
          <cell r="G175" t="str">
            <v>124</v>
          </cell>
          <cell r="I175">
            <v>390717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124ID</v>
          </cell>
          <cell r="B176" t="str">
            <v>124</v>
          </cell>
          <cell r="D176">
            <v>16650.8561538461</v>
          </cell>
          <cell r="F176" t="str">
            <v>124ID</v>
          </cell>
          <cell r="G176" t="str">
            <v>124</v>
          </cell>
          <cell r="I176">
            <v>16650.8561538461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124OR</v>
          </cell>
          <cell r="B177" t="str">
            <v>124</v>
          </cell>
          <cell r="D177">
            <v>0.17</v>
          </cell>
          <cell r="F177" t="str">
            <v>124OR</v>
          </cell>
          <cell r="G177" t="str">
            <v>124</v>
          </cell>
          <cell r="I177">
            <v>0.17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124OTHER</v>
          </cell>
          <cell r="B178" t="str">
            <v>124</v>
          </cell>
          <cell r="D178">
            <v>-5503114.87384615</v>
          </cell>
          <cell r="F178" t="str">
            <v>124OTHER</v>
          </cell>
          <cell r="G178" t="str">
            <v>124</v>
          </cell>
          <cell r="I178">
            <v>-5503114.87384615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124SO</v>
          </cell>
          <cell r="B179" t="str">
            <v>124</v>
          </cell>
          <cell r="D179">
            <v>-4453.6899999999996</v>
          </cell>
          <cell r="F179" t="str">
            <v>124SO</v>
          </cell>
          <cell r="G179" t="str">
            <v>124</v>
          </cell>
          <cell r="I179">
            <v>-4453.6899999999996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124UT</v>
          </cell>
          <cell r="B180" t="str">
            <v>124</v>
          </cell>
          <cell r="D180">
            <v>4639786.4530769195</v>
          </cell>
          <cell r="F180" t="str">
            <v>124UT</v>
          </cell>
          <cell r="G180" t="str">
            <v>124</v>
          </cell>
          <cell r="I180">
            <v>4639786.4530769195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124WA</v>
          </cell>
          <cell r="B181" t="str">
            <v>124</v>
          </cell>
          <cell r="D181">
            <v>1939571.70076923</v>
          </cell>
          <cell r="F181" t="str">
            <v>124WA</v>
          </cell>
          <cell r="G181" t="str">
            <v>124</v>
          </cell>
          <cell r="I181">
            <v>1939571.70076923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124WYP</v>
          </cell>
          <cell r="B182" t="str">
            <v>124</v>
          </cell>
          <cell r="D182">
            <v>117215.94</v>
          </cell>
          <cell r="F182" t="str">
            <v>124WYP</v>
          </cell>
          <cell r="G182" t="str">
            <v>124</v>
          </cell>
          <cell r="I182">
            <v>117215.94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124WYU</v>
          </cell>
          <cell r="B183" t="str">
            <v>124</v>
          </cell>
          <cell r="D183">
            <v>6557.39538461538</v>
          </cell>
          <cell r="F183" t="str">
            <v>124WYU</v>
          </cell>
          <cell r="G183" t="str">
            <v>124</v>
          </cell>
          <cell r="I183">
            <v>6557.39538461538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151SE</v>
          </cell>
          <cell r="B184" t="str">
            <v>151</v>
          </cell>
          <cell r="D184">
            <v>230012913.63785344</v>
          </cell>
          <cell r="F184" t="str">
            <v>151SE</v>
          </cell>
          <cell r="G184" t="str">
            <v>151</v>
          </cell>
          <cell r="I184">
            <v>230012913.63785344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151SSECH</v>
          </cell>
          <cell r="B185" t="str">
            <v>151</v>
          </cell>
          <cell r="D185">
            <v>9358237.3990492336</v>
          </cell>
          <cell r="F185" t="str">
            <v>151SSECH</v>
          </cell>
          <cell r="G185" t="str">
            <v>151</v>
          </cell>
          <cell r="I185">
            <v>9358237.3990492336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154CA</v>
          </cell>
          <cell r="B186" t="str">
            <v>154</v>
          </cell>
          <cell r="D186">
            <v>1308347.2707692301</v>
          </cell>
          <cell r="F186" t="str">
            <v>154CA</v>
          </cell>
          <cell r="G186" t="str">
            <v>154</v>
          </cell>
          <cell r="I186">
            <v>1308347.2707692301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154ID</v>
          </cell>
          <cell r="B187" t="str">
            <v>154</v>
          </cell>
          <cell r="D187">
            <v>5008365.0869230703</v>
          </cell>
          <cell r="F187" t="str">
            <v>154ID</v>
          </cell>
          <cell r="G187" t="str">
            <v>154</v>
          </cell>
          <cell r="I187">
            <v>5008365.0869230703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154OR</v>
          </cell>
          <cell r="B188" t="str">
            <v>154</v>
          </cell>
          <cell r="D188">
            <v>29466977.172307599</v>
          </cell>
          <cell r="F188" t="str">
            <v>154OR</v>
          </cell>
          <cell r="G188" t="str">
            <v>154</v>
          </cell>
          <cell r="I188">
            <v>29466977.172307599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154SE</v>
          </cell>
          <cell r="B189" t="str">
            <v>154</v>
          </cell>
          <cell r="D189">
            <v>6469117.5207692301</v>
          </cell>
          <cell r="F189" t="str">
            <v>154SE</v>
          </cell>
          <cell r="G189" t="str">
            <v>154</v>
          </cell>
          <cell r="I189">
            <v>6469117.5207692301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154SG</v>
          </cell>
          <cell r="B190" t="str">
            <v>154</v>
          </cell>
          <cell r="D190">
            <v>5219273.3123076903</v>
          </cell>
          <cell r="F190" t="str">
            <v>154SG</v>
          </cell>
          <cell r="G190" t="str">
            <v>154</v>
          </cell>
          <cell r="I190">
            <v>5219273.3123076903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154SNPD</v>
          </cell>
          <cell r="B191" t="str">
            <v>154</v>
          </cell>
          <cell r="D191">
            <v>-2104553.8607692299</v>
          </cell>
          <cell r="F191" t="str">
            <v>154SNPD</v>
          </cell>
          <cell r="G191" t="str">
            <v>154</v>
          </cell>
          <cell r="I191">
            <v>-2104553.8607692299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154SNPPH</v>
          </cell>
          <cell r="B192" t="str">
            <v>154</v>
          </cell>
          <cell r="D192">
            <v>3791.48076923076</v>
          </cell>
          <cell r="F192" t="str">
            <v>154SNPPH</v>
          </cell>
          <cell r="G192" t="str">
            <v>154</v>
          </cell>
          <cell r="I192">
            <v>3791.48076923076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154SNPPO</v>
          </cell>
          <cell r="B193" t="str">
            <v>154</v>
          </cell>
          <cell r="D193">
            <v>7910231.6623076899</v>
          </cell>
          <cell r="F193" t="str">
            <v>154SNPPO</v>
          </cell>
          <cell r="G193" t="str">
            <v>154</v>
          </cell>
          <cell r="I193">
            <v>7910231.6623076899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154SNPPS</v>
          </cell>
          <cell r="B194" t="str">
            <v>154</v>
          </cell>
          <cell r="D194">
            <v>97133208.781538397</v>
          </cell>
          <cell r="F194" t="str">
            <v>154SNPPS</v>
          </cell>
          <cell r="G194" t="str">
            <v>154</v>
          </cell>
          <cell r="I194">
            <v>97133208.781538397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154SO</v>
          </cell>
          <cell r="B195" t="str">
            <v>154</v>
          </cell>
          <cell r="D195">
            <v>99914.5507692307</v>
          </cell>
          <cell r="F195" t="str">
            <v>154SO</v>
          </cell>
          <cell r="G195" t="str">
            <v>154</v>
          </cell>
          <cell r="I195">
            <v>99914.5507692307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154SSGCH</v>
          </cell>
          <cell r="B196" t="str">
            <v>154</v>
          </cell>
          <cell r="D196">
            <v>0</v>
          </cell>
          <cell r="F196" t="str">
            <v>154SSGCH</v>
          </cell>
          <cell r="G196" t="str">
            <v>154</v>
          </cell>
          <cell r="I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154UT</v>
          </cell>
          <cell r="B197" t="str">
            <v>154</v>
          </cell>
          <cell r="D197">
            <v>38191399.588461503</v>
          </cell>
          <cell r="F197" t="str">
            <v>154UT</v>
          </cell>
          <cell r="G197" t="str">
            <v>154</v>
          </cell>
          <cell r="I197">
            <v>38191399.588461503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154WA</v>
          </cell>
          <cell r="B198" t="str">
            <v>154</v>
          </cell>
          <cell r="D198">
            <v>5636737.3376922999</v>
          </cell>
          <cell r="F198" t="str">
            <v>154WA</v>
          </cell>
          <cell r="G198" t="str">
            <v>154</v>
          </cell>
          <cell r="I198">
            <v>5636737.3376922999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154WYP</v>
          </cell>
          <cell r="B199" t="str">
            <v>154</v>
          </cell>
          <cell r="D199">
            <v>9481674.3838461507</v>
          </cell>
          <cell r="F199" t="str">
            <v>154WYP</v>
          </cell>
          <cell r="G199" t="str">
            <v>154</v>
          </cell>
          <cell r="I199">
            <v>9481674.3838461507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154WYU</v>
          </cell>
          <cell r="B200" t="str">
            <v>154</v>
          </cell>
          <cell r="D200">
            <v>1324997.5</v>
          </cell>
          <cell r="F200" t="str">
            <v>154WYU</v>
          </cell>
          <cell r="G200" t="str">
            <v>154</v>
          </cell>
          <cell r="I200">
            <v>1324997.5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163SO</v>
          </cell>
          <cell r="B201" t="str">
            <v>163</v>
          </cell>
          <cell r="D201">
            <v>0</v>
          </cell>
          <cell r="F201" t="str">
            <v>163SO</v>
          </cell>
          <cell r="G201" t="str">
            <v>163</v>
          </cell>
          <cell r="I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165GPS</v>
          </cell>
          <cell r="B202" t="str">
            <v>165</v>
          </cell>
          <cell r="D202">
            <v>4415374.4153846102</v>
          </cell>
          <cell r="F202" t="str">
            <v>165GPS</v>
          </cell>
          <cell r="G202" t="str">
            <v>165</v>
          </cell>
          <cell r="I202">
            <v>4415374.4153846102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165ID</v>
          </cell>
          <cell r="B203" t="str">
            <v>165</v>
          </cell>
          <cell r="D203">
            <v>210987.05</v>
          </cell>
          <cell r="F203" t="str">
            <v>165ID</v>
          </cell>
          <cell r="G203" t="str">
            <v>165</v>
          </cell>
          <cell r="I203">
            <v>210987.05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165OR</v>
          </cell>
          <cell r="B204" t="str">
            <v>165</v>
          </cell>
          <cell r="D204">
            <v>1813737.58692307</v>
          </cell>
          <cell r="F204" t="str">
            <v>165OR</v>
          </cell>
          <cell r="G204" t="str">
            <v>165</v>
          </cell>
          <cell r="I204">
            <v>1813737.58692307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165OTHER</v>
          </cell>
          <cell r="B205" t="str">
            <v>165</v>
          </cell>
          <cell r="D205">
            <v>1676146.3969230701</v>
          </cell>
          <cell r="F205" t="str">
            <v>165OTHER</v>
          </cell>
          <cell r="G205" t="str">
            <v>165</v>
          </cell>
          <cell r="I205">
            <v>1676146.3969230701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165SE</v>
          </cell>
          <cell r="B206" t="str">
            <v>165</v>
          </cell>
          <cell r="D206">
            <v>3554732.7976922998</v>
          </cell>
          <cell r="F206" t="str">
            <v>165SE</v>
          </cell>
          <cell r="G206" t="str">
            <v>165</v>
          </cell>
          <cell r="I206">
            <v>3554732.7976922998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165SG</v>
          </cell>
          <cell r="B207" t="str">
            <v>165</v>
          </cell>
          <cell r="D207">
            <v>3497278.4646153799</v>
          </cell>
          <cell r="F207" t="str">
            <v>165SG</v>
          </cell>
          <cell r="G207" t="str">
            <v>165</v>
          </cell>
          <cell r="I207">
            <v>3497278.4646153799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165SO</v>
          </cell>
          <cell r="B208" t="str">
            <v>165</v>
          </cell>
          <cell r="D208">
            <v>14626408.181538399</v>
          </cell>
          <cell r="F208" t="str">
            <v>165SO</v>
          </cell>
          <cell r="G208" t="str">
            <v>165</v>
          </cell>
          <cell r="I208">
            <v>14626408.181538399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165UT</v>
          </cell>
          <cell r="B209" t="str">
            <v>165</v>
          </cell>
          <cell r="D209">
            <v>2632572.5661538402</v>
          </cell>
          <cell r="F209" t="str">
            <v>165UT</v>
          </cell>
          <cell r="G209" t="str">
            <v>165</v>
          </cell>
          <cell r="I209">
            <v>2632572.5661538402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165WA</v>
          </cell>
          <cell r="B210" t="str">
            <v>165</v>
          </cell>
          <cell r="D210">
            <v>0</v>
          </cell>
          <cell r="F210" t="str">
            <v>165WA</v>
          </cell>
          <cell r="G210" t="str">
            <v>165</v>
          </cell>
          <cell r="I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165WYP</v>
          </cell>
          <cell r="B211" t="str">
            <v>165</v>
          </cell>
          <cell r="D211">
            <v>98811.833076922994</v>
          </cell>
          <cell r="F211" t="str">
            <v>165WYP</v>
          </cell>
          <cell r="G211" t="str">
            <v>165</v>
          </cell>
          <cell r="I211">
            <v>98811.833076922994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165WYU</v>
          </cell>
          <cell r="B212" t="str">
            <v>165</v>
          </cell>
          <cell r="D212">
            <v>0</v>
          </cell>
          <cell r="F212" t="str">
            <v>165WYU</v>
          </cell>
          <cell r="G212" t="str">
            <v>165</v>
          </cell>
          <cell r="I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18222OR</v>
          </cell>
          <cell r="B213" t="str">
            <v>18222</v>
          </cell>
          <cell r="D213">
            <v>0</v>
          </cell>
          <cell r="F213" t="str">
            <v>18222OR</v>
          </cell>
          <cell r="G213" t="str">
            <v>18222</v>
          </cell>
          <cell r="I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18222TROJD</v>
          </cell>
          <cell r="B214" t="str">
            <v>18222</v>
          </cell>
          <cell r="D214">
            <v>0</v>
          </cell>
          <cell r="F214" t="str">
            <v>18222TROJD</v>
          </cell>
          <cell r="G214" t="str">
            <v>18222</v>
          </cell>
          <cell r="I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18222TROJP</v>
          </cell>
          <cell r="B215" t="str">
            <v>18222</v>
          </cell>
          <cell r="D215">
            <v>0</v>
          </cell>
          <cell r="F215" t="str">
            <v>18222TROJP</v>
          </cell>
          <cell r="G215" t="str">
            <v>18222</v>
          </cell>
          <cell r="I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18222WA</v>
          </cell>
          <cell r="B216" t="str">
            <v>18222</v>
          </cell>
          <cell r="D216">
            <v>0</v>
          </cell>
          <cell r="F216" t="str">
            <v>18222WA</v>
          </cell>
          <cell r="G216" t="str">
            <v>18222</v>
          </cell>
          <cell r="I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182MCA</v>
          </cell>
          <cell r="B217" t="str">
            <v>182M</v>
          </cell>
          <cell r="D217">
            <v>3228.3730769230701</v>
          </cell>
          <cell r="F217" t="str">
            <v>182MCA</v>
          </cell>
          <cell r="G217" t="str">
            <v>182M</v>
          </cell>
          <cell r="I217">
            <v>3228.3730769230701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182MID</v>
          </cell>
          <cell r="B218" t="str">
            <v>182M</v>
          </cell>
          <cell r="D218">
            <v>104535.141538461</v>
          </cell>
          <cell r="F218" t="str">
            <v>182MID</v>
          </cell>
          <cell r="G218" t="str">
            <v>182M</v>
          </cell>
          <cell r="I218">
            <v>104535.141538461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182MOR</v>
          </cell>
          <cell r="B219" t="str">
            <v>182M</v>
          </cell>
          <cell r="D219">
            <v>-246643.44</v>
          </cell>
          <cell r="F219" t="str">
            <v>182MOR</v>
          </cell>
          <cell r="G219" t="str">
            <v>182M</v>
          </cell>
          <cell r="I219">
            <v>-246643.44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182MOTHER</v>
          </cell>
          <cell r="B220" t="str">
            <v>182M</v>
          </cell>
          <cell r="D220">
            <v>192594073.65615299</v>
          </cell>
          <cell r="F220" t="str">
            <v>182MOTHER</v>
          </cell>
          <cell r="G220" t="str">
            <v>182M</v>
          </cell>
          <cell r="I220">
            <v>192594073.65615299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182MSE</v>
          </cell>
          <cell r="B221" t="str">
            <v>182M</v>
          </cell>
          <cell r="D221">
            <v>0</v>
          </cell>
          <cell r="F221" t="str">
            <v>182MSE</v>
          </cell>
          <cell r="G221" t="str">
            <v>182M</v>
          </cell>
          <cell r="I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182MSG</v>
          </cell>
          <cell r="B222" t="str">
            <v>182M</v>
          </cell>
          <cell r="D222">
            <v>10563245.34208215</v>
          </cell>
          <cell r="F222" t="str">
            <v>182MSG</v>
          </cell>
          <cell r="G222" t="str">
            <v>182M</v>
          </cell>
          <cell r="I222">
            <v>10563245.34208215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182MSGCT</v>
          </cell>
          <cell r="B223" t="str">
            <v>182M</v>
          </cell>
          <cell r="D223">
            <v>2899598.0200000019</v>
          </cell>
          <cell r="F223" t="str">
            <v>182MSGCT</v>
          </cell>
          <cell r="G223" t="str">
            <v>182M</v>
          </cell>
          <cell r="I223">
            <v>2899598.0200000019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182MSG-P</v>
          </cell>
          <cell r="B224" t="str">
            <v>182M</v>
          </cell>
          <cell r="D224">
            <v>-127102.99999999953</v>
          </cell>
          <cell r="F224" t="str">
            <v>182MSG-P</v>
          </cell>
          <cell r="G224" t="str">
            <v>182M</v>
          </cell>
          <cell r="I224">
            <v>-127102.99999999953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182MSO</v>
          </cell>
          <cell r="B225" t="str">
            <v>182M</v>
          </cell>
          <cell r="D225">
            <v>292438762.53692323</v>
          </cell>
          <cell r="F225" t="str">
            <v>182MSO</v>
          </cell>
          <cell r="G225" t="str">
            <v>182M</v>
          </cell>
          <cell r="I225">
            <v>292438762.53692323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182MUT</v>
          </cell>
          <cell r="B226" t="str">
            <v>182M</v>
          </cell>
          <cell r="D226">
            <v>602848.61604668666</v>
          </cell>
          <cell r="F226" t="str">
            <v>182MUT</v>
          </cell>
          <cell r="G226" t="str">
            <v>182M</v>
          </cell>
          <cell r="I226">
            <v>602848.61604668666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182MWA</v>
          </cell>
          <cell r="B227" t="str">
            <v>182M</v>
          </cell>
          <cell r="D227">
            <v>8448464.0569230709</v>
          </cell>
          <cell r="F227" t="str">
            <v>182MWA</v>
          </cell>
          <cell r="G227" t="str">
            <v>182M</v>
          </cell>
          <cell r="I227">
            <v>8448464.0569230709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182MWYP</v>
          </cell>
          <cell r="B228" t="str">
            <v>182M</v>
          </cell>
          <cell r="D228">
            <v>2633231.72230769</v>
          </cell>
          <cell r="F228" t="str">
            <v>182MWYP</v>
          </cell>
          <cell r="G228" t="str">
            <v>182M</v>
          </cell>
          <cell r="I228">
            <v>2633231.72230769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182MWYU</v>
          </cell>
          <cell r="B229" t="str">
            <v>182M</v>
          </cell>
          <cell r="D229">
            <v>65783.707692307595</v>
          </cell>
          <cell r="F229" t="str">
            <v>182MWYU</v>
          </cell>
          <cell r="G229" t="str">
            <v>182M</v>
          </cell>
          <cell r="I229">
            <v>65783.707692307595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182WCA</v>
          </cell>
          <cell r="B230" t="str">
            <v>182W</v>
          </cell>
          <cell r="D230">
            <v>0.01</v>
          </cell>
          <cell r="F230" t="str">
            <v>182WCA</v>
          </cell>
          <cell r="G230" t="str">
            <v>182W</v>
          </cell>
          <cell r="I230">
            <v>0.01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182WID</v>
          </cell>
          <cell r="B231" t="str">
            <v>182W</v>
          </cell>
          <cell r="D231">
            <v>2579653.83384615</v>
          </cell>
          <cell r="F231" t="str">
            <v>182WID</v>
          </cell>
          <cell r="G231" t="str">
            <v>182W</v>
          </cell>
          <cell r="I231">
            <v>2579653.83384615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182WOTHER</v>
          </cell>
          <cell r="B232" t="str">
            <v>182W</v>
          </cell>
          <cell r="D232">
            <v>-11074871.486923</v>
          </cell>
          <cell r="F232" t="str">
            <v>182WOTHER</v>
          </cell>
          <cell r="G232" t="str">
            <v>182W</v>
          </cell>
          <cell r="I232">
            <v>-11074871.486923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182WUT</v>
          </cell>
          <cell r="B233" t="str">
            <v>182W</v>
          </cell>
          <cell r="D233">
            <v>0.48461538461015152</v>
          </cell>
          <cell r="F233" t="str">
            <v>182WUT</v>
          </cell>
          <cell r="G233" t="str">
            <v>182W</v>
          </cell>
          <cell r="I233">
            <v>0.48461538461015152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182WWYP</v>
          </cell>
          <cell r="B234" t="str">
            <v>182W</v>
          </cell>
          <cell r="D234">
            <v>75111.123076923002</v>
          </cell>
          <cell r="F234" t="str">
            <v>182WWYP</v>
          </cell>
          <cell r="G234" t="str">
            <v>182W</v>
          </cell>
          <cell r="I234">
            <v>75111.123076923002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182WWYU</v>
          </cell>
          <cell r="B235" t="str">
            <v>182W</v>
          </cell>
          <cell r="D235">
            <v>0</v>
          </cell>
          <cell r="F235" t="str">
            <v>182WWYU</v>
          </cell>
          <cell r="G235" t="str">
            <v>182W</v>
          </cell>
          <cell r="I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186MDGP</v>
          </cell>
          <cell r="B236" t="str">
            <v>186M</v>
          </cell>
          <cell r="D236">
            <v>0</v>
          </cell>
          <cell r="F236" t="str">
            <v>186MDGP</v>
          </cell>
          <cell r="G236" t="str">
            <v>186M</v>
          </cell>
          <cell r="I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186MID</v>
          </cell>
          <cell r="B237" t="str">
            <v>186M</v>
          </cell>
          <cell r="D237">
            <v>0</v>
          </cell>
          <cell r="F237" t="str">
            <v>186MID</v>
          </cell>
          <cell r="G237" t="str">
            <v>186M</v>
          </cell>
          <cell r="I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186MOR</v>
          </cell>
          <cell r="B238" t="str">
            <v>186M</v>
          </cell>
          <cell r="D238">
            <v>0</v>
          </cell>
          <cell r="F238" t="str">
            <v>186MOR</v>
          </cell>
          <cell r="G238" t="str">
            <v>186M</v>
          </cell>
          <cell r="I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186MOTHER</v>
          </cell>
          <cell r="B239" t="str">
            <v>186M</v>
          </cell>
          <cell r="D239">
            <v>17443653.773846101</v>
          </cell>
          <cell r="F239" t="str">
            <v>186MOTHER</v>
          </cell>
          <cell r="G239" t="str">
            <v>186M</v>
          </cell>
          <cell r="I239">
            <v>17443653.773846101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186MSE</v>
          </cell>
          <cell r="B240" t="str">
            <v>186M</v>
          </cell>
          <cell r="D240">
            <v>15069549.609230701</v>
          </cell>
          <cell r="F240" t="str">
            <v>186MSE</v>
          </cell>
          <cell r="G240" t="str">
            <v>186M</v>
          </cell>
          <cell r="I240">
            <v>15069549.609230701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186MSG</v>
          </cell>
          <cell r="B241" t="str">
            <v>186M</v>
          </cell>
          <cell r="D241">
            <v>78260592.956859231</v>
          </cell>
          <cell r="F241" t="str">
            <v>186MSG</v>
          </cell>
          <cell r="G241" t="str">
            <v>186M</v>
          </cell>
          <cell r="I241">
            <v>78260592.956859231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186MSO</v>
          </cell>
          <cell r="B242" t="str">
            <v>186M</v>
          </cell>
          <cell r="D242">
            <v>129378.58076923</v>
          </cell>
          <cell r="F242" t="str">
            <v>186MSO</v>
          </cell>
          <cell r="G242" t="str">
            <v>186M</v>
          </cell>
          <cell r="I242">
            <v>129378.58076923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186MWA</v>
          </cell>
          <cell r="B243" t="str">
            <v>186M</v>
          </cell>
          <cell r="D243">
            <v>0</v>
          </cell>
          <cell r="F243" t="str">
            <v>186MWA</v>
          </cell>
          <cell r="G243" t="str">
            <v>186M</v>
          </cell>
          <cell r="I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186WOTHER</v>
          </cell>
          <cell r="B244" t="str">
            <v>186W</v>
          </cell>
          <cell r="D244">
            <v>0</v>
          </cell>
          <cell r="F244" t="str">
            <v>186WOTHER</v>
          </cell>
          <cell r="G244" t="str">
            <v>186W</v>
          </cell>
          <cell r="I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190BADDEBT</v>
          </cell>
          <cell r="B245" t="str">
            <v>190</v>
          </cell>
          <cell r="D245">
            <v>4253978.9999999963</v>
          </cell>
          <cell r="F245" t="str">
            <v>190BADDEBT</v>
          </cell>
          <cell r="G245" t="str">
            <v>190</v>
          </cell>
          <cell r="I245">
            <v>4253978.9999999963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190CA</v>
          </cell>
          <cell r="B246" t="str">
            <v>190</v>
          </cell>
          <cell r="D246">
            <v>35854</v>
          </cell>
          <cell r="F246" t="str">
            <v>190CA</v>
          </cell>
          <cell r="G246" t="str">
            <v>190</v>
          </cell>
          <cell r="I246">
            <v>35854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190CN</v>
          </cell>
          <cell r="B247" t="str">
            <v>190</v>
          </cell>
          <cell r="D247">
            <v>0</v>
          </cell>
          <cell r="F247" t="str">
            <v>190CN</v>
          </cell>
          <cell r="G247" t="str">
            <v>190</v>
          </cell>
          <cell r="I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190DGP</v>
          </cell>
          <cell r="B248" t="str">
            <v>190</v>
          </cell>
          <cell r="D248">
            <v>0</v>
          </cell>
          <cell r="F248" t="str">
            <v>190DGP</v>
          </cell>
          <cell r="G248" t="str">
            <v>190</v>
          </cell>
          <cell r="I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190DGU</v>
          </cell>
          <cell r="B249" t="str">
            <v>190</v>
          </cell>
          <cell r="D249">
            <v>0</v>
          </cell>
          <cell r="F249" t="str">
            <v>190DGU</v>
          </cell>
          <cell r="G249" t="str">
            <v>190</v>
          </cell>
          <cell r="I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190ID</v>
          </cell>
          <cell r="B250" t="str">
            <v>190</v>
          </cell>
          <cell r="D250">
            <v>454733</v>
          </cell>
          <cell r="F250" t="str">
            <v>190ID</v>
          </cell>
          <cell r="G250" t="str">
            <v>190</v>
          </cell>
          <cell r="I250">
            <v>454733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190OR</v>
          </cell>
          <cell r="B251" t="str">
            <v>190</v>
          </cell>
          <cell r="D251">
            <v>1722622.9999999986</v>
          </cell>
          <cell r="F251" t="str">
            <v>190OR</v>
          </cell>
          <cell r="G251" t="str">
            <v>190</v>
          </cell>
          <cell r="I251">
            <v>1722622.9999999986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190OTHER</v>
          </cell>
          <cell r="B252" t="str">
            <v>190</v>
          </cell>
          <cell r="D252">
            <v>27555845.999999955</v>
          </cell>
          <cell r="F252" t="str">
            <v>190OTHER</v>
          </cell>
          <cell r="G252" t="str">
            <v>190</v>
          </cell>
          <cell r="I252">
            <v>27555845.999999955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190SE</v>
          </cell>
          <cell r="B253" t="str">
            <v>190</v>
          </cell>
          <cell r="D253">
            <v>-9158734.6229638141</v>
          </cell>
          <cell r="F253" t="str">
            <v>190SE</v>
          </cell>
          <cell r="G253" t="str">
            <v>190</v>
          </cell>
          <cell r="I253">
            <v>-9158734.6229638141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190SG</v>
          </cell>
          <cell r="B254" t="str">
            <v>190</v>
          </cell>
          <cell r="D254">
            <v>683831.99999991804</v>
          </cell>
          <cell r="F254" t="str">
            <v>190SG</v>
          </cell>
          <cell r="G254" t="str">
            <v>190</v>
          </cell>
          <cell r="I254">
            <v>683831.99999991804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190SNP</v>
          </cell>
          <cell r="B255" t="str">
            <v>190</v>
          </cell>
          <cell r="D255">
            <v>0</v>
          </cell>
          <cell r="F255" t="str">
            <v>190SNP</v>
          </cell>
          <cell r="G255" t="str">
            <v>190</v>
          </cell>
          <cell r="I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190SNPD</v>
          </cell>
          <cell r="B256" t="str">
            <v>190</v>
          </cell>
          <cell r="D256">
            <v>0</v>
          </cell>
          <cell r="F256" t="str">
            <v>190SNPD</v>
          </cell>
          <cell r="G256" t="str">
            <v>190</v>
          </cell>
          <cell r="I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190SO</v>
          </cell>
          <cell r="B257" t="str">
            <v>190</v>
          </cell>
          <cell r="D257">
            <v>90297590.769230679</v>
          </cell>
          <cell r="F257" t="str">
            <v>190SO</v>
          </cell>
          <cell r="G257" t="str">
            <v>190</v>
          </cell>
          <cell r="I257">
            <v>90297590.769230679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190SSGCT</v>
          </cell>
          <cell r="B258" t="str">
            <v>190</v>
          </cell>
          <cell r="D258">
            <v>0</v>
          </cell>
          <cell r="F258" t="str">
            <v>190SSGCT</v>
          </cell>
          <cell r="G258" t="str">
            <v>190</v>
          </cell>
          <cell r="I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190TROJD</v>
          </cell>
          <cell r="B259" t="str">
            <v>190</v>
          </cell>
          <cell r="D259">
            <v>2076914.9999999993</v>
          </cell>
          <cell r="F259" t="str">
            <v>190TROJD</v>
          </cell>
          <cell r="G259" t="str">
            <v>190</v>
          </cell>
          <cell r="I259">
            <v>2076914.9999999993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190TROJP</v>
          </cell>
          <cell r="B260" t="str">
            <v>190</v>
          </cell>
          <cell r="D260">
            <v>0</v>
          </cell>
          <cell r="F260" t="str">
            <v>190TROJP</v>
          </cell>
          <cell r="G260" t="str">
            <v>190</v>
          </cell>
          <cell r="I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190UT</v>
          </cell>
          <cell r="B261" t="str">
            <v>190</v>
          </cell>
          <cell r="D261">
            <v>1542908.0769230765</v>
          </cell>
          <cell r="F261" t="str">
            <v>190UT</v>
          </cell>
          <cell r="G261" t="str">
            <v>190</v>
          </cell>
          <cell r="I261">
            <v>1542908.0769230765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190WA</v>
          </cell>
          <cell r="B262" t="str">
            <v>190</v>
          </cell>
          <cell r="D262">
            <v>25294.999999994412</v>
          </cell>
          <cell r="F262" t="str">
            <v>190WA</v>
          </cell>
          <cell r="G262" t="str">
            <v>190</v>
          </cell>
          <cell r="I262">
            <v>25294.999999994412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190WYP</v>
          </cell>
          <cell r="B263" t="str">
            <v>190</v>
          </cell>
          <cell r="D263">
            <v>605500.99999999965</v>
          </cell>
          <cell r="F263" t="str">
            <v>190WYP</v>
          </cell>
          <cell r="G263" t="str">
            <v>190</v>
          </cell>
          <cell r="I263">
            <v>605500.99999999965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2281SO</v>
          </cell>
          <cell r="B264" t="str">
            <v>2281</v>
          </cell>
          <cell r="D264">
            <v>0</v>
          </cell>
          <cell r="F264" t="str">
            <v>2281SO</v>
          </cell>
          <cell r="G264" t="str">
            <v>2281</v>
          </cell>
          <cell r="I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2282SO</v>
          </cell>
          <cell r="B265" t="str">
            <v>2282</v>
          </cell>
          <cell r="D265">
            <v>-33266423.069230702</v>
          </cell>
          <cell r="F265" t="str">
            <v>2282SO</v>
          </cell>
          <cell r="G265" t="str">
            <v>2282</v>
          </cell>
          <cell r="I265">
            <v>-33266423.069230702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2283SO</v>
          </cell>
          <cell r="B266" t="str">
            <v>2283</v>
          </cell>
          <cell r="D266">
            <v>-3312999.61692307</v>
          </cell>
          <cell r="F266" t="str">
            <v>2283SO</v>
          </cell>
          <cell r="G266" t="str">
            <v>2283</v>
          </cell>
          <cell r="I266">
            <v>-3312999.61692307</v>
          </cell>
        </row>
        <row r="267">
          <cell r="A267" t="str">
            <v>22841SE</v>
          </cell>
          <cell r="B267" t="str">
            <v>22841</v>
          </cell>
          <cell r="D267">
            <v>0</v>
          </cell>
          <cell r="F267" t="str">
            <v>22841SE</v>
          </cell>
          <cell r="G267" t="str">
            <v>22841</v>
          </cell>
          <cell r="I267">
            <v>0</v>
          </cell>
        </row>
        <row r="268">
          <cell r="A268" t="str">
            <v>22841SG</v>
          </cell>
          <cell r="B268" t="str">
            <v>22841</v>
          </cell>
          <cell r="D268">
            <v>-1471922.26692307</v>
          </cell>
          <cell r="F268" t="str">
            <v>22841SG</v>
          </cell>
          <cell r="G268" t="str">
            <v>22841</v>
          </cell>
          <cell r="I268">
            <v>-1471922.26692307</v>
          </cell>
        </row>
        <row r="269">
          <cell r="A269" t="str">
            <v>22842TROJD</v>
          </cell>
          <cell r="B269" t="str">
            <v>22842</v>
          </cell>
          <cell r="D269">
            <v>0</v>
          </cell>
          <cell r="F269" t="str">
            <v>22842TROJD</v>
          </cell>
          <cell r="G269" t="str">
            <v>22842</v>
          </cell>
          <cell r="I269">
            <v>0</v>
          </cell>
        </row>
        <row r="270">
          <cell r="A270" t="str">
            <v>230TROJD</v>
          </cell>
          <cell r="B270" t="str">
            <v>230</v>
          </cell>
          <cell r="D270">
            <v>-1803524.75461538</v>
          </cell>
          <cell r="F270" t="str">
            <v>230TROJD</v>
          </cell>
          <cell r="G270" t="str">
            <v>230</v>
          </cell>
          <cell r="I270">
            <v>-1803524.75461538</v>
          </cell>
        </row>
        <row r="271">
          <cell r="A271" t="str">
            <v>235UT</v>
          </cell>
          <cell r="B271" t="str">
            <v>235</v>
          </cell>
          <cell r="D271">
            <v>-15625767.562307693</v>
          </cell>
          <cell r="F271" t="str">
            <v>235UT</v>
          </cell>
          <cell r="G271" t="str">
            <v>235</v>
          </cell>
          <cell r="I271">
            <v>-15625767.562307693</v>
          </cell>
        </row>
        <row r="272">
          <cell r="A272" t="str">
            <v>252CA</v>
          </cell>
          <cell r="B272" t="str">
            <v>252</v>
          </cell>
          <cell r="D272">
            <v>-53081.246923076927</v>
          </cell>
          <cell r="F272" t="str">
            <v>252CA</v>
          </cell>
          <cell r="G272" t="str">
            <v>252</v>
          </cell>
          <cell r="I272">
            <v>-53081.246923076927</v>
          </cell>
        </row>
        <row r="273">
          <cell r="A273" t="str">
            <v>252CN</v>
          </cell>
          <cell r="B273" t="str">
            <v>252</v>
          </cell>
          <cell r="D273">
            <v>0</v>
          </cell>
          <cell r="F273" t="str">
            <v>252CN</v>
          </cell>
          <cell r="G273" t="str">
            <v>252</v>
          </cell>
          <cell r="I273">
            <v>0</v>
          </cell>
        </row>
        <row r="274">
          <cell r="A274" t="str">
            <v>252ID</v>
          </cell>
          <cell r="B274" t="str">
            <v>252</v>
          </cell>
          <cell r="D274">
            <v>-72699.149230769224</v>
          </cell>
          <cell r="F274" t="str">
            <v>252ID</v>
          </cell>
          <cell r="G274" t="str">
            <v>252</v>
          </cell>
          <cell r="I274">
            <v>-72699.149230769224</v>
          </cell>
        </row>
        <row r="275">
          <cell r="A275" t="str">
            <v>252OR</v>
          </cell>
          <cell r="B275" t="str">
            <v>252</v>
          </cell>
          <cell r="D275">
            <v>-609426.43999999994</v>
          </cell>
          <cell r="F275" t="str">
            <v>252OR</v>
          </cell>
          <cell r="G275" t="str">
            <v>252</v>
          </cell>
          <cell r="I275">
            <v>-609426.43999999994</v>
          </cell>
        </row>
        <row r="276">
          <cell r="A276" t="str">
            <v>252SG</v>
          </cell>
          <cell r="B276" t="str">
            <v>252</v>
          </cell>
          <cell r="D276">
            <v>-14826232.400769137</v>
          </cell>
          <cell r="F276" t="str">
            <v>252SG</v>
          </cell>
          <cell r="G276" t="str">
            <v>252</v>
          </cell>
          <cell r="I276">
            <v>-14826232.400769137</v>
          </cell>
        </row>
        <row r="277">
          <cell r="A277" t="str">
            <v>252UT</v>
          </cell>
          <cell r="B277" t="str">
            <v>252</v>
          </cell>
          <cell r="D277">
            <v>-3604784.289230769</v>
          </cell>
          <cell r="F277" t="str">
            <v>252UT</v>
          </cell>
          <cell r="G277" t="str">
            <v>252</v>
          </cell>
          <cell r="I277">
            <v>-3604784.289230769</v>
          </cell>
        </row>
        <row r="278">
          <cell r="A278" t="str">
            <v>252WA</v>
          </cell>
          <cell r="B278" t="str">
            <v>252</v>
          </cell>
          <cell r="D278">
            <v>-157113.76307692306</v>
          </cell>
          <cell r="F278" t="str">
            <v>252WA</v>
          </cell>
          <cell r="G278" t="str">
            <v>252</v>
          </cell>
          <cell r="I278">
            <v>-157113.76307692306</v>
          </cell>
        </row>
        <row r="279">
          <cell r="A279" t="str">
            <v>252WYP</v>
          </cell>
          <cell r="B279" t="str">
            <v>252</v>
          </cell>
          <cell r="D279">
            <v>-613224.18000000075</v>
          </cell>
          <cell r="F279" t="str">
            <v>252WYP</v>
          </cell>
          <cell r="G279" t="str">
            <v>252</v>
          </cell>
          <cell r="I279">
            <v>-613224.18000000075</v>
          </cell>
        </row>
        <row r="280">
          <cell r="A280" t="str">
            <v>252WYU</v>
          </cell>
          <cell r="B280" t="str">
            <v>252</v>
          </cell>
          <cell r="D280">
            <v>-966281.40692307602</v>
          </cell>
          <cell r="F280" t="str">
            <v>252WYU</v>
          </cell>
          <cell r="G280" t="str">
            <v>252</v>
          </cell>
          <cell r="I280">
            <v>-966281.40692307602</v>
          </cell>
        </row>
        <row r="281">
          <cell r="A281" t="str">
            <v>25316SE</v>
          </cell>
          <cell r="B281" t="str">
            <v>25316</v>
          </cell>
          <cell r="D281">
            <v>-3714615.3846153775</v>
          </cell>
          <cell r="F281" t="str">
            <v>25316SE</v>
          </cell>
          <cell r="G281" t="str">
            <v>25316</v>
          </cell>
          <cell r="I281">
            <v>-3714615.3846153775</v>
          </cell>
        </row>
        <row r="282">
          <cell r="A282" t="str">
            <v>25317SE</v>
          </cell>
          <cell r="B282" t="str">
            <v>25317</v>
          </cell>
          <cell r="D282">
            <v>-2939886.8461538414</v>
          </cell>
          <cell r="F282" t="str">
            <v>25317SE</v>
          </cell>
          <cell r="G282" t="str">
            <v>25317</v>
          </cell>
          <cell r="I282">
            <v>-2939886.8461538414</v>
          </cell>
        </row>
        <row r="283">
          <cell r="A283" t="str">
            <v>25318SNPPS</v>
          </cell>
          <cell r="B283" t="str">
            <v>25318</v>
          </cell>
          <cell r="D283">
            <v>-273000</v>
          </cell>
          <cell r="F283" t="str">
            <v>25318SNPPS</v>
          </cell>
          <cell r="G283" t="str">
            <v>25318</v>
          </cell>
          <cell r="I283">
            <v>-273000</v>
          </cell>
        </row>
        <row r="284">
          <cell r="A284" t="str">
            <v>25325SE</v>
          </cell>
          <cell r="B284" t="str">
            <v>25325</v>
          </cell>
          <cell r="D284">
            <v>0</v>
          </cell>
          <cell r="F284" t="str">
            <v>25325SE</v>
          </cell>
          <cell r="G284" t="str">
            <v>25325</v>
          </cell>
          <cell r="I284">
            <v>0</v>
          </cell>
        </row>
        <row r="285">
          <cell r="A285" t="str">
            <v>25398SE</v>
          </cell>
          <cell r="B285" t="str">
            <v>25398</v>
          </cell>
          <cell r="D285">
            <v>-56867.6515</v>
          </cell>
          <cell r="F285" t="str">
            <v>25398SE</v>
          </cell>
          <cell r="G285" t="str">
            <v>25398</v>
          </cell>
          <cell r="I285">
            <v>-56867.6515</v>
          </cell>
        </row>
        <row r="286">
          <cell r="A286" t="str">
            <v>25399CA</v>
          </cell>
          <cell r="B286" t="str">
            <v>25399</v>
          </cell>
          <cell r="D286">
            <v>-184109.46615384601</v>
          </cell>
          <cell r="F286" t="str">
            <v>25399CA</v>
          </cell>
          <cell r="G286" t="str">
            <v>25399</v>
          </cell>
          <cell r="I286">
            <v>-184109.46615384601</v>
          </cell>
        </row>
        <row r="287">
          <cell r="A287" t="str">
            <v>25399ID</v>
          </cell>
          <cell r="B287" t="str">
            <v>25399</v>
          </cell>
          <cell r="D287">
            <v>-52153.630769230702</v>
          </cell>
          <cell r="F287" t="str">
            <v>25399ID</v>
          </cell>
          <cell r="G287" t="str">
            <v>25399</v>
          </cell>
          <cell r="I287">
            <v>-52153.630769230702</v>
          </cell>
        </row>
        <row r="288">
          <cell r="A288" t="str">
            <v>25399OR</v>
          </cell>
          <cell r="B288" t="str">
            <v>25399</v>
          </cell>
          <cell r="D288">
            <v>-1006599.0292307599</v>
          </cell>
          <cell r="F288" t="str">
            <v>25399OR</v>
          </cell>
          <cell r="G288" t="str">
            <v>25399</v>
          </cell>
          <cell r="I288">
            <v>-1006599.0292307599</v>
          </cell>
        </row>
        <row r="289">
          <cell r="A289" t="str">
            <v>25399OTHER</v>
          </cell>
          <cell r="B289" t="str">
            <v>25399</v>
          </cell>
          <cell r="D289">
            <v>-21784.8576923076</v>
          </cell>
          <cell r="F289" t="str">
            <v>25399OTHER</v>
          </cell>
          <cell r="G289" t="str">
            <v>25399</v>
          </cell>
          <cell r="I289">
            <v>-21784.8576923076</v>
          </cell>
        </row>
        <row r="290">
          <cell r="A290" t="str">
            <v>25399SE</v>
          </cell>
          <cell r="B290" t="str">
            <v>25399</v>
          </cell>
          <cell r="D290">
            <v>0</v>
          </cell>
          <cell r="F290" t="str">
            <v>25399SE</v>
          </cell>
          <cell r="G290" t="str">
            <v>25399</v>
          </cell>
          <cell r="I290">
            <v>0</v>
          </cell>
        </row>
        <row r="291">
          <cell r="A291" t="str">
            <v>25399SG</v>
          </cell>
          <cell r="B291" t="str">
            <v>25399</v>
          </cell>
          <cell r="D291">
            <v>-5554645.1784615302</v>
          </cell>
          <cell r="F291" t="str">
            <v>25399SG</v>
          </cell>
          <cell r="G291" t="str">
            <v>25399</v>
          </cell>
          <cell r="I291">
            <v>-5554645.1784615302</v>
          </cell>
        </row>
        <row r="292">
          <cell r="A292" t="str">
            <v>25399SO</v>
          </cell>
          <cell r="B292" t="str">
            <v>25399</v>
          </cell>
          <cell r="D292">
            <v>-19348002.1338461</v>
          </cell>
          <cell r="F292" t="str">
            <v>25399SO</v>
          </cell>
          <cell r="G292" t="str">
            <v>25399</v>
          </cell>
          <cell r="I292">
            <v>-19348002.1338461</v>
          </cell>
        </row>
        <row r="293">
          <cell r="A293" t="str">
            <v>25399UT</v>
          </cell>
          <cell r="B293" t="str">
            <v>25399</v>
          </cell>
          <cell r="D293">
            <v>-656829.63384615304</v>
          </cell>
          <cell r="F293" t="str">
            <v>25399UT</v>
          </cell>
          <cell r="G293" t="str">
            <v>25399</v>
          </cell>
          <cell r="I293">
            <v>-656829.63384615304</v>
          </cell>
        </row>
        <row r="294">
          <cell r="A294" t="str">
            <v>25399WA</v>
          </cell>
          <cell r="B294" t="str">
            <v>25399</v>
          </cell>
          <cell r="D294">
            <v>-306967.56153846101</v>
          </cell>
          <cell r="F294" t="str">
            <v>25399WA</v>
          </cell>
          <cell r="G294" t="str">
            <v>25399</v>
          </cell>
          <cell r="I294">
            <v>-306967.56153846101</v>
          </cell>
        </row>
        <row r="295">
          <cell r="A295" t="str">
            <v>25399WYP</v>
          </cell>
          <cell r="B295" t="str">
            <v>25399</v>
          </cell>
          <cell r="D295">
            <v>-973691.35307692306</v>
          </cell>
          <cell r="F295" t="str">
            <v>25399WYP</v>
          </cell>
          <cell r="G295" t="str">
            <v>25399</v>
          </cell>
          <cell r="I295">
            <v>-973691.35307692306</v>
          </cell>
        </row>
        <row r="296">
          <cell r="A296" t="str">
            <v>25399WYU</v>
          </cell>
          <cell r="B296" t="str">
            <v>25399</v>
          </cell>
          <cell r="D296">
            <v>0</v>
          </cell>
          <cell r="F296" t="str">
            <v>25399WYU</v>
          </cell>
          <cell r="G296" t="str">
            <v>25399</v>
          </cell>
          <cell r="I296">
            <v>0</v>
          </cell>
        </row>
        <row r="297">
          <cell r="A297" t="str">
            <v>254105TROJD</v>
          </cell>
          <cell r="B297" t="str">
            <v>254105</v>
          </cell>
          <cell r="D297">
            <v>-3134267.9123076899</v>
          </cell>
          <cell r="F297" t="str">
            <v>254105TROJD</v>
          </cell>
          <cell r="G297" t="str">
            <v>254105</v>
          </cell>
          <cell r="I297">
            <v>-3134267.9123076899</v>
          </cell>
        </row>
        <row r="298">
          <cell r="A298" t="str">
            <v>254CA</v>
          </cell>
          <cell r="B298" t="str">
            <v>254</v>
          </cell>
          <cell r="D298">
            <v>0</v>
          </cell>
          <cell r="F298" t="str">
            <v>254CA</v>
          </cell>
          <cell r="G298" t="str">
            <v>254</v>
          </cell>
          <cell r="I298">
            <v>0</v>
          </cell>
        </row>
        <row r="299">
          <cell r="A299" t="str">
            <v>254ID</v>
          </cell>
          <cell r="B299" t="str">
            <v>254</v>
          </cell>
          <cell r="D299">
            <v>-201755.91</v>
          </cell>
          <cell r="F299" t="str">
            <v>254ID</v>
          </cell>
          <cell r="G299" t="str">
            <v>254</v>
          </cell>
          <cell r="I299">
            <v>-201755.91</v>
          </cell>
        </row>
        <row r="300">
          <cell r="A300" t="str">
            <v>254OR</v>
          </cell>
          <cell r="B300" t="str">
            <v>254</v>
          </cell>
          <cell r="D300">
            <v>1426156.9776923</v>
          </cell>
          <cell r="F300" t="str">
            <v>254OR</v>
          </cell>
          <cell r="G300" t="str">
            <v>254</v>
          </cell>
          <cell r="I300">
            <v>1426156.9776923</v>
          </cell>
        </row>
        <row r="301">
          <cell r="A301" t="str">
            <v>254OTHER</v>
          </cell>
          <cell r="B301" t="str">
            <v>254</v>
          </cell>
          <cell r="D301">
            <v>-33578545.996923</v>
          </cell>
          <cell r="F301" t="str">
            <v>254OTHER</v>
          </cell>
          <cell r="G301" t="str">
            <v>254</v>
          </cell>
          <cell r="I301">
            <v>-33578545.996923</v>
          </cell>
        </row>
        <row r="302">
          <cell r="A302" t="str">
            <v>254SE</v>
          </cell>
          <cell r="B302" t="str">
            <v>254</v>
          </cell>
          <cell r="D302">
            <v>0</v>
          </cell>
          <cell r="F302" t="str">
            <v>254SE</v>
          </cell>
          <cell r="G302" t="str">
            <v>254</v>
          </cell>
          <cell r="I302">
            <v>0</v>
          </cell>
        </row>
        <row r="303">
          <cell r="A303" t="str">
            <v>254SG</v>
          </cell>
          <cell r="B303" t="str">
            <v>254</v>
          </cell>
          <cell r="D303">
            <v>-416499.50000000029</v>
          </cell>
          <cell r="F303" t="str">
            <v>254SG</v>
          </cell>
          <cell r="G303" t="str">
            <v>254</v>
          </cell>
          <cell r="I303">
            <v>-416499.50000000029</v>
          </cell>
        </row>
        <row r="304">
          <cell r="A304" t="str">
            <v>254SO</v>
          </cell>
          <cell r="B304" t="str">
            <v>254</v>
          </cell>
          <cell r="D304">
            <v>0</v>
          </cell>
          <cell r="F304" t="str">
            <v>254SO</v>
          </cell>
          <cell r="G304" t="str">
            <v>254</v>
          </cell>
          <cell r="I304">
            <v>0</v>
          </cell>
        </row>
        <row r="305">
          <cell r="A305" t="str">
            <v>254UT</v>
          </cell>
          <cell r="B305" t="str">
            <v>254</v>
          </cell>
          <cell r="D305">
            <v>-785401.74153845687</v>
          </cell>
          <cell r="F305" t="str">
            <v>254UT</v>
          </cell>
          <cell r="G305" t="str">
            <v>254</v>
          </cell>
          <cell r="I305">
            <v>-785401.74153845687</v>
          </cell>
        </row>
        <row r="306">
          <cell r="A306" t="str">
            <v>254WA</v>
          </cell>
          <cell r="B306" t="str">
            <v>254</v>
          </cell>
          <cell r="D306">
            <v>85.71</v>
          </cell>
          <cell r="F306" t="str">
            <v>254WA</v>
          </cell>
          <cell r="G306" t="str">
            <v>254</v>
          </cell>
          <cell r="I306">
            <v>85.71</v>
          </cell>
        </row>
        <row r="307">
          <cell r="A307" t="str">
            <v>254WYP</v>
          </cell>
          <cell r="B307" t="str">
            <v>254</v>
          </cell>
          <cell r="D307">
            <v>-621570.92000000004</v>
          </cell>
          <cell r="F307" t="str">
            <v>254WYP</v>
          </cell>
          <cell r="G307" t="str">
            <v>254</v>
          </cell>
          <cell r="I307">
            <v>-621570.92000000004</v>
          </cell>
        </row>
        <row r="308">
          <cell r="A308" t="str">
            <v>255DGU</v>
          </cell>
          <cell r="B308" t="str">
            <v>255</v>
          </cell>
          <cell r="D308">
            <v>0</v>
          </cell>
          <cell r="F308" t="str">
            <v>255DGU</v>
          </cell>
          <cell r="G308" t="str">
            <v>255</v>
          </cell>
          <cell r="I308">
            <v>0</v>
          </cell>
        </row>
        <row r="309">
          <cell r="A309" t="str">
            <v>255ID</v>
          </cell>
          <cell r="B309" t="str">
            <v>255</v>
          </cell>
          <cell r="D309">
            <v>-59509</v>
          </cell>
          <cell r="F309" t="str">
            <v>255ID</v>
          </cell>
          <cell r="G309" t="str">
            <v>255</v>
          </cell>
          <cell r="I309">
            <v>-59509</v>
          </cell>
        </row>
        <row r="310">
          <cell r="A310" t="str">
            <v>255ITC84</v>
          </cell>
          <cell r="B310" t="str">
            <v>255</v>
          </cell>
          <cell r="D310">
            <v>5.3842086344957352E-10</v>
          </cell>
          <cell r="F310" t="str">
            <v>255ITC84</v>
          </cell>
          <cell r="G310" t="str">
            <v>255</v>
          </cell>
          <cell r="I310">
            <v>5.3842086344957352E-10</v>
          </cell>
        </row>
        <row r="311">
          <cell r="A311" t="str">
            <v>255ITC85</v>
          </cell>
          <cell r="B311" t="str">
            <v>255</v>
          </cell>
          <cell r="D311">
            <v>-44339.99999999383</v>
          </cell>
          <cell r="F311" t="str">
            <v>255ITC85</v>
          </cell>
          <cell r="G311" t="str">
            <v>255</v>
          </cell>
          <cell r="I311">
            <v>-44339.99999999383</v>
          </cell>
        </row>
        <row r="312">
          <cell r="A312" t="str">
            <v>255ITC86</v>
          </cell>
          <cell r="B312" t="str">
            <v>255</v>
          </cell>
          <cell r="D312">
            <v>-246638.99999999907</v>
          </cell>
          <cell r="F312" t="str">
            <v>255ITC86</v>
          </cell>
          <cell r="G312" t="str">
            <v>255</v>
          </cell>
          <cell r="I312">
            <v>-246638.99999999907</v>
          </cell>
        </row>
        <row r="313">
          <cell r="A313" t="str">
            <v>255ITC88</v>
          </cell>
          <cell r="B313" t="str">
            <v>255</v>
          </cell>
          <cell r="D313">
            <v>-74105.999999999069</v>
          </cell>
          <cell r="F313" t="str">
            <v>255ITC88</v>
          </cell>
          <cell r="G313" t="str">
            <v>255</v>
          </cell>
          <cell r="I313">
            <v>-74105.999999999069</v>
          </cell>
        </row>
        <row r="314">
          <cell r="A314" t="str">
            <v>255ITC89</v>
          </cell>
          <cell r="B314" t="str">
            <v>255</v>
          </cell>
          <cell r="D314">
            <v>-192231.99999999936</v>
          </cell>
          <cell r="F314" t="str">
            <v>255ITC89</v>
          </cell>
          <cell r="G314" t="str">
            <v>255</v>
          </cell>
          <cell r="I314">
            <v>-192231.99999999936</v>
          </cell>
        </row>
        <row r="315">
          <cell r="A315" t="str">
            <v>255ITC90</v>
          </cell>
          <cell r="B315" t="str">
            <v>255</v>
          </cell>
          <cell r="D315">
            <v>-172025.99999999953</v>
          </cell>
          <cell r="F315" t="str">
            <v>255ITC90</v>
          </cell>
          <cell r="G315" t="str">
            <v>255</v>
          </cell>
          <cell r="I315">
            <v>-172025.99999999953</v>
          </cell>
        </row>
        <row r="316">
          <cell r="A316" t="str">
            <v>281DGP</v>
          </cell>
          <cell r="B316" t="str">
            <v>281</v>
          </cell>
          <cell r="D316">
            <v>0</v>
          </cell>
          <cell r="F316" t="str">
            <v>281DGP</v>
          </cell>
          <cell r="G316" t="str">
            <v>281</v>
          </cell>
          <cell r="I316">
            <v>0</v>
          </cell>
        </row>
        <row r="317">
          <cell r="A317" t="str">
            <v>281SG</v>
          </cell>
          <cell r="B317" t="str">
            <v>281</v>
          </cell>
          <cell r="D317">
            <v>0</v>
          </cell>
          <cell r="F317" t="str">
            <v>281SG</v>
          </cell>
          <cell r="G317" t="str">
            <v>281</v>
          </cell>
          <cell r="I317">
            <v>0</v>
          </cell>
        </row>
        <row r="318">
          <cell r="A318" t="str">
            <v>282CA</v>
          </cell>
          <cell r="B318" t="str">
            <v>282</v>
          </cell>
          <cell r="D318">
            <v>-87523795</v>
          </cell>
          <cell r="F318" t="str">
            <v>282CA</v>
          </cell>
          <cell r="G318" t="str">
            <v>282</v>
          </cell>
          <cell r="I318">
            <v>-87523795</v>
          </cell>
        </row>
        <row r="319">
          <cell r="A319" t="str">
            <v>282CN</v>
          </cell>
          <cell r="B319" t="str">
            <v>282</v>
          </cell>
          <cell r="D319">
            <v>-19967.5</v>
          </cell>
          <cell r="F319" t="str">
            <v>282CN</v>
          </cell>
          <cell r="G319" t="str">
            <v>282</v>
          </cell>
          <cell r="I319">
            <v>-19967.5</v>
          </cell>
        </row>
        <row r="320">
          <cell r="A320" t="str">
            <v>282DGP</v>
          </cell>
          <cell r="B320" t="str">
            <v>282</v>
          </cell>
          <cell r="D320">
            <v>0</v>
          </cell>
          <cell r="F320" t="str">
            <v>282DGP</v>
          </cell>
          <cell r="G320" t="str">
            <v>282</v>
          </cell>
          <cell r="I320">
            <v>0</v>
          </cell>
        </row>
        <row r="321">
          <cell r="A321" t="str">
            <v>282DITBAL</v>
          </cell>
          <cell r="B321" t="str">
            <v>282</v>
          </cell>
          <cell r="D321">
            <v>9.1538486480712891</v>
          </cell>
          <cell r="F321" t="str">
            <v>282DITBAL</v>
          </cell>
          <cell r="G321" t="str">
            <v>282</v>
          </cell>
          <cell r="I321">
            <v>9.1538486480712891</v>
          </cell>
        </row>
        <row r="322">
          <cell r="A322" t="str">
            <v>282FERC</v>
          </cell>
          <cell r="B322" t="str">
            <v>282</v>
          </cell>
          <cell r="D322">
            <v>0</v>
          </cell>
          <cell r="F322" t="str">
            <v>282FERC</v>
          </cell>
          <cell r="G322" t="str">
            <v>282</v>
          </cell>
          <cell r="I322">
            <v>0</v>
          </cell>
        </row>
        <row r="323">
          <cell r="A323" t="str">
            <v>282ID</v>
          </cell>
          <cell r="B323" t="str">
            <v>282</v>
          </cell>
          <cell r="D323">
            <v>-226829535.5</v>
          </cell>
          <cell r="F323" t="str">
            <v>282ID</v>
          </cell>
          <cell r="G323" t="str">
            <v>282</v>
          </cell>
          <cell r="I323">
            <v>-226829535.5</v>
          </cell>
        </row>
        <row r="324">
          <cell r="A324" t="str">
            <v>282OR</v>
          </cell>
          <cell r="B324" t="str">
            <v>282</v>
          </cell>
          <cell r="D324">
            <v>-1095789592</v>
          </cell>
          <cell r="F324" t="str">
            <v>282OR</v>
          </cell>
          <cell r="G324" t="str">
            <v>282</v>
          </cell>
          <cell r="I324">
            <v>-1095789592</v>
          </cell>
        </row>
        <row r="325">
          <cell r="A325" t="str">
            <v>282OTHER</v>
          </cell>
          <cell r="B325" t="str">
            <v>282</v>
          </cell>
          <cell r="D325">
            <v>-44135034.730769232</v>
          </cell>
          <cell r="F325" t="str">
            <v>282OTHER</v>
          </cell>
          <cell r="G325" t="str">
            <v>282</v>
          </cell>
          <cell r="I325">
            <v>-44135034.730769232</v>
          </cell>
        </row>
        <row r="326">
          <cell r="A326" t="str">
            <v>282SE</v>
          </cell>
          <cell r="B326" t="str">
            <v>282</v>
          </cell>
          <cell r="D326">
            <v>-5352817.9999999907</v>
          </cell>
          <cell r="F326" t="str">
            <v>282SE</v>
          </cell>
          <cell r="G326" t="str">
            <v>282</v>
          </cell>
          <cell r="I326">
            <v>-5352817.9999999907</v>
          </cell>
        </row>
        <row r="327">
          <cell r="A327" t="str">
            <v>282SG</v>
          </cell>
          <cell r="B327" t="str">
            <v>282</v>
          </cell>
          <cell r="D327">
            <v>-14665890.150021534</v>
          </cell>
          <cell r="F327" t="str">
            <v>282SG</v>
          </cell>
          <cell r="G327" t="str">
            <v>282</v>
          </cell>
          <cell r="I327">
            <v>-14665890.150021534</v>
          </cell>
        </row>
        <row r="328">
          <cell r="A328" t="str">
            <v>282SO</v>
          </cell>
          <cell r="B328" t="str">
            <v>282</v>
          </cell>
          <cell r="D328">
            <v>19575730.499999907</v>
          </cell>
          <cell r="F328" t="str">
            <v>282SO</v>
          </cell>
          <cell r="G328" t="str">
            <v>282</v>
          </cell>
          <cell r="I328">
            <v>19575730.499999907</v>
          </cell>
        </row>
        <row r="329">
          <cell r="A329" t="str">
            <v>282CIAC</v>
          </cell>
          <cell r="B329" t="str">
            <v>282</v>
          </cell>
          <cell r="D329">
            <v>0</v>
          </cell>
          <cell r="F329" t="str">
            <v>282CIAC</v>
          </cell>
          <cell r="G329" t="str">
            <v>282</v>
          </cell>
          <cell r="I329">
            <v>0</v>
          </cell>
        </row>
        <row r="330">
          <cell r="A330" t="str">
            <v>282SNP</v>
          </cell>
          <cell r="B330" t="str">
            <v>282</v>
          </cell>
          <cell r="D330">
            <v>0</v>
          </cell>
          <cell r="F330" t="str">
            <v>282SNP</v>
          </cell>
          <cell r="G330" t="str">
            <v>282</v>
          </cell>
          <cell r="I330">
            <v>0</v>
          </cell>
        </row>
        <row r="331">
          <cell r="A331" t="str">
            <v>282SNPD</v>
          </cell>
          <cell r="B331" t="str">
            <v>282</v>
          </cell>
          <cell r="D331">
            <v>-19837.5</v>
          </cell>
          <cell r="F331" t="str">
            <v>282SNPD</v>
          </cell>
          <cell r="G331" t="str">
            <v>282</v>
          </cell>
          <cell r="I331">
            <v>-19837.5</v>
          </cell>
        </row>
        <row r="332">
          <cell r="A332" t="str">
            <v>282UT</v>
          </cell>
          <cell r="B332" t="str">
            <v>282</v>
          </cell>
          <cell r="D332">
            <v>-1763593428.5</v>
          </cell>
          <cell r="F332" t="str">
            <v>282UT</v>
          </cell>
          <cell r="G332" t="str">
            <v>282</v>
          </cell>
          <cell r="I332">
            <v>-1763593428.5</v>
          </cell>
        </row>
        <row r="333">
          <cell r="A333" t="str">
            <v>282WA</v>
          </cell>
          <cell r="B333" t="str">
            <v>282</v>
          </cell>
          <cell r="D333">
            <v>-249292934.5</v>
          </cell>
          <cell r="F333" t="str">
            <v>282WA</v>
          </cell>
          <cell r="G333" t="str">
            <v>282</v>
          </cell>
          <cell r="I333">
            <v>-249292934.5</v>
          </cell>
        </row>
        <row r="334">
          <cell r="A334" t="str">
            <v>282WYP</v>
          </cell>
          <cell r="B334" t="str">
            <v>282</v>
          </cell>
          <cell r="D334">
            <v>-571771825.5</v>
          </cell>
          <cell r="F334" t="str">
            <v>282WYP</v>
          </cell>
          <cell r="G334" t="str">
            <v>282</v>
          </cell>
          <cell r="I334">
            <v>-571771825.5</v>
          </cell>
        </row>
        <row r="335">
          <cell r="A335" t="str">
            <v>283CA</v>
          </cell>
          <cell r="B335" t="str">
            <v>283</v>
          </cell>
          <cell r="D335">
            <v>128723.99999999921</v>
          </cell>
          <cell r="F335" t="str">
            <v>283CA</v>
          </cell>
          <cell r="G335" t="str">
            <v>283</v>
          </cell>
          <cell r="I335">
            <v>128723.99999999921</v>
          </cell>
        </row>
        <row r="336">
          <cell r="A336" t="str">
            <v>283GPS</v>
          </cell>
          <cell r="B336" t="str">
            <v>283</v>
          </cell>
          <cell r="D336">
            <v>-8108734.9999999953</v>
          </cell>
          <cell r="F336" t="str">
            <v>283GPS</v>
          </cell>
          <cell r="G336" t="str">
            <v>283</v>
          </cell>
          <cell r="I336">
            <v>-8108734.9999999953</v>
          </cell>
        </row>
        <row r="337">
          <cell r="A337" t="str">
            <v>283ID</v>
          </cell>
          <cell r="B337" t="str">
            <v>283</v>
          </cell>
          <cell r="D337">
            <v>-935231.99999999977</v>
          </cell>
          <cell r="F337" t="str">
            <v>283ID</v>
          </cell>
          <cell r="G337" t="str">
            <v>283</v>
          </cell>
          <cell r="I337">
            <v>-935231.99999999977</v>
          </cell>
        </row>
        <row r="338">
          <cell r="A338" t="str">
            <v>283OR</v>
          </cell>
          <cell r="B338" t="str">
            <v>283</v>
          </cell>
          <cell r="D338">
            <v>726809.99999999604</v>
          </cell>
          <cell r="F338" t="str">
            <v>283OR</v>
          </cell>
          <cell r="G338" t="str">
            <v>283</v>
          </cell>
          <cell r="I338">
            <v>726809.99999999604</v>
          </cell>
        </row>
        <row r="339">
          <cell r="A339" t="str">
            <v>283OTHER</v>
          </cell>
          <cell r="B339" t="str">
            <v>283</v>
          </cell>
          <cell r="D339">
            <v>-62035069.789999902</v>
          </cell>
          <cell r="F339" t="str">
            <v>283OTHER</v>
          </cell>
          <cell r="G339" t="str">
            <v>283</v>
          </cell>
          <cell r="I339">
            <v>-62035069.789999902</v>
          </cell>
        </row>
        <row r="340">
          <cell r="A340" t="str">
            <v>283SE</v>
          </cell>
          <cell r="B340" t="str">
            <v>283</v>
          </cell>
          <cell r="D340">
            <v>-22519501.149999999</v>
          </cell>
          <cell r="F340" t="str">
            <v>283SE</v>
          </cell>
          <cell r="G340" t="str">
            <v>283</v>
          </cell>
          <cell r="I340">
            <v>-22519501.149999999</v>
          </cell>
        </row>
        <row r="341">
          <cell r="A341" t="str">
            <v>283SG</v>
          </cell>
          <cell r="B341" t="str">
            <v>283</v>
          </cell>
          <cell r="D341">
            <v>-5623146.0921553746</v>
          </cell>
          <cell r="F341" t="str">
            <v>283SG</v>
          </cell>
          <cell r="G341" t="str">
            <v>283</v>
          </cell>
          <cell r="I341">
            <v>-5623146.0921553746</v>
          </cell>
        </row>
        <row r="342">
          <cell r="A342" t="str">
            <v>283SGCT</v>
          </cell>
          <cell r="B342" t="str">
            <v>283</v>
          </cell>
          <cell r="D342">
            <v>-1100432.9999999963</v>
          </cell>
          <cell r="F342" t="str">
            <v>283SGCT</v>
          </cell>
          <cell r="G342" t="str">
            <v>283</v>
          </cell>
          <cell r="I342">
            <v>-1100432.9999999963</v>
          </cell>
        </row>
        <row r="343">
          <cell r="A343" t="str">
            <v>283SNP</v>
          </cell>
          <cell r="B343" t="str">
            <v>283</v>
          </cell>
          <cell r="D343">
            <v>-2724621.9999999991</v>
          </cell>
          <cell r="F343" t="str">
            <v>283SNP</v>
          </cell>
          <cell r="G343" t="str">
            <v>283</v>
          </cell>
          <cell r="I343">
            <v>-2724621.9999999991</v>
          </cell>
        </row>
        <row r="344">
          <cell r="A344" t="str">
            <v>283SO</v>
          </cell>
          <cell r="B344" t="str">
            <v>283</v>
          </cell>
          <cell r="D344">
            <v>-135593964.17384619</v>
          </cell>
          <cell r="F344" t="str">
            <v>283SO</v>
          </cell>
          <cell r="G344" t="str">
            <v>283</v>
          </cell>
          <cell r="I344">
            <v>-135593964.17384619</v>
          </cell>
        </row>
        <row r="345">
          <cell r="A345" t="str">
            <v>283TROJD</v>
          </cell>
          <cell r="B345" t="str">
            <v>283</v>
          </cell>
          <cell r="D345">
            <v>0</v>
          </cell>
          <cell r="F345" t="str">
            <v>283TROJD</v>
          </cell>
          <cell r="G345" t="str">
            <v>283</v>
          </cell>
          <cell r="I345">
            <v>0</v>
          </cell>
        </row>
        <row r="346">
          <cell r="A346" t="str">
            <v>283UT</v>
          </cell>
          <cell r="B346" t="str">
            <v>283</v>
          </cell>
          <cell r="D346">
            <v>-4407565.692307692</v>
          </cell>
          <cell r="F346" t="str">
            <v>283UT</v>
          </cell>
          <cell r="G346" t="str">
            <v>283</v>
          </cell>
          <cell r="I346">
            <v>-4407565.692307692</v>
          </cell>
        </row>
        <row r="347">
          <cell r="A347" t="str">
            <v>283WA</v>
          </cell>
          <cell r="B347" t="str">
            <v>283</v>
          </cell>
          <cell r="D347">
            <v>-692831.99999999953</v>
          </cell>
          <cell r="F347" t="str">
            <v>283WA</v>
          </cell>
          <cell r="G347" t="str">
            <v>283</v>
          </cell>
          <cell r="I347">
            <v>-692831.99999999953</v>
          </cell>
        </row>
        <row r="348">
          <cell r="A348" t="str">
            <v>283WYP</v>
          </cell>
          <cell r="B348" t="str">
            <v>283</v>
          </cell>
          <cell r="D348">
            <v>-3711370.2307692305</v>
          </cell>
          <cell r="F348" t="str">
            <v>283WYP</v>
          </cell>
          <cell r="G348" t="str">
            <v>283</v>
          </cell>
          <cell r="I348">
            <v>-3711370.2307692305</v>
          </cell>
        </row>
        <row r="349">
          <cell r="A349" t="str">
            <v>283WYU</v>
          </cell>
          <cell r="B349" t="str">
            <v>283</v>
          </cell>
          <cell r="D349">
            <v>-388515.76923076902</v>
          </cell>
          <cell r="F349" t="str">
            <v>283WYU</v>
          </cell>
          <cell r="G349" t="str">
            <v>283</v>
          </cell>
          <cell r="I349">
            <v>-388515.76923076902</v>
          </cell>
        </row>
        <row r="350">
          <cell r="A350" t="str">
            <v>302DGP</v>
          </cell>
          <cell r="B350" t="str">
            <v>302</v>
          </cell>
          <cell r="D350">
            <v>-103372.62600000002</v>
          </cell>
          <cell r="F350" t="str">
            <v>302DGP</v>
          </cell>
          <cell r="G350" t="str">
            <v>302</v>
          </cell>
          <cell r="I350">
            <v>-103372.62600000002</v>
          </cell>
        </row>
        <row r="351">
          <cell r="A351" t="str">
            <v>302DGU</v>
          </cell>
          <cell r="B351" t="str">
            <v>302</v>
          </cell>
          <cell r="D351">
            <v>600993.05000000005</v>
          </cell>
          <cell r="F351" t="str">
            <v>302DGU</v>
          </cell>
          <cell r="G351" t="str">
            <v>302</v>
          </cell>
          <cell r="I351">
            <v>600993.05000000005</v>
          </cell>
        </row>
        <row r="352">
          <cell r="A352" t="str">
            <v>302ID</v>
          </cell>
          <cell r="B352" t="str">
            <v>302</v>
          </cell>
          <cell r="D352">
            <v>1000000</v>
          </cell>
          <cell r="F352" t="str">
            <v>302ID</v>
          </cell>
          <cell r="G352" t="str">
            <v>302</v>
          </cell>
          <cell r="I352">
            <v>1000000</v>
          </cell>
        </row>
        <row r="353">
          <cell r="A353" t="str">
            <v>302SG</v>
          </cell>
          <cell r="B353" t="str">
            <v>302</v>
          </cell>
          <cell r="D353">
            <v>4335558.8880778141</v>
          </cell>
          <cell r="F353" t="str">
            <v>302SG</v>
          </cell>
          <cell r="G353" t="str">
            <v>302</v>
          </cell>
          <cell r="I353">
            <v>4335558.8880778141</v>
          </cell>
        </row>
        <row r="354">
          <cell r="A354" t="str">
            <v>302SG-P</v>
          </cell>
          <cell r="B354" t="str">
            <v>302</v>
          </cell>
          <cell r="D354">
            <v>98371712.908000022</v>
          </cell>
          <cell r="F354" t="str">
            <v>302SG-P</v>
          </cell>
          <cell r="G354" t="str">
            <v>302</v>
          </cell>
          <cell r="I354">
            <v>98371712.908000022</v>
          </cell>
        </row>
        <row r="355">
          <cell r="A355" t="str">
            <v>302SG-U</v>
          </cell>
          <cell r="B355" t="str">
            <v>302</v>
          </cell>
          <cell r="D355">
            <v>9173949.3650000058</v>
          </cell>
          <cell r="F355" t="str">
            <v>302SG-U</v>
          </cell>
          <cell r="G355" t="str">
            <v>302</v>
          </cell>
          <cell r="I355">
            <v>9173949.3650000058</v>
          </cell>
        </row>
        <row r="356">
          <cell r="A356" t="str">
            <v>303CA</v>
          </cell>
          <cell r="B356" t="str">
            <v>303</v>
          </cell>
          <cell r="D356">
            <v>360599.00999999989</v>
          </cell>
          <cell r="F356" t="str">
            <v>303CA</v>
          </cell>
          <cell r="G356" t="str">
            <v>303</v>
          </cell>
          <cell r="I356">
            <v>360599.00999999989</v>
          </cell>
        </row>
        <row r="357">
          <cell r="A357" t="str">
            <v>303CN</v>
          </cell>
          <cell r="B357" t="str">
            <v>303</v>
          </cell>
          <cell r="D357">
            <v>123153422.21899992</v>
          </cell>
          <cell r="F357" t="str">
            <v>303CN</v>
          </cell>
          <cell r="G357" t="str">
            <v>303</v>
          </cell>
          <cell r="I357">
            <v>123153422.21899992</v>
          </cell>
        </row>
        <row r="358">
          <cell r="A358" t="str">
            <v>303ID</v>
          </cell>
          <cell r="B358" t="str">
            <v>303</v>
          </cell>
          <cell r="D358">
            <v>3105887.2590000005</v>
          </cell>
          <cell r="F358" t="str">
            <v>303ID</v>
          </cell>
          <cell r="G358" t="str">
            <v>303</v>
          </cell>
          <cell r="I358">
            <v>3105887.2590000005</v>
          </cell>
        </row>
        <row r="359">
          <cell r="A359" t="str">
            <v>303OR</v>
          </cell>
          <cell r="B359" t="str">
            <v>303</v>
          </cell>
          <cell r="D359">
            <v>4289164.7039999962</v>
          </cell>
          <cell r="F359" t="str">
            <v>303OR</v>
          </cell>
          <cell r="G359" t="str">
            <v>303</v>
          </cell>
          <cell r="I359">
            <v>4289164.7039999962</v>
          </cell>
        </row>
        <row r="360">
          <cell r="A360" t="str">
            <v>303SE</v>
          </cell>
          <cell r="B360" t="str">
            <v>303</v>
          </cell>
          <cell r="D360">
            <v>4754453.0649999948</v>
          </cell>
          <cell r="F360" t="str">
            <v>303SE</v>
          </cell>
          <cell r="G360" t="str">
            <v>303</v>
          </cell>
          <cell r="I360">
            <v>4754453.0649999948</v>
          </cell>
        </row>
        <row r="361">
          <cell r="A361" t="str">
            <v>303SG</v>
          </cell>
          <cell r="B361" t="str">
            <v>303</v>
          </cell>
          <cell r="D361">
            <v>143795897.31615299</v>
          </cell>
          <cell r="F361" t="str">
            <v>303SG</v>
          </cell>
          <cell r="G361" t="str">
            <v>303</v>
          </cell>
          <cell r="I361">
            <v>143795897.31615299</v>
          </cell>
        </row>
        <row r="362">
          <cell r="A362" t="str">
            <v>303SO</v>
          </cell>
          <cell r="B362" t="str">
            <v>303</v>
          </cell>
          <cell r="D362">
            <v>367952165.29523909</v>
          </cell>
          <cell r="F362" t="str">
            <v>303SO</v>
          </cell>
          <cell r="G362" t="str">
            <v>303</v>
          </cell>
          <cell r="I362">
            <v>367952165.29523909</v>
          </cell>
        </row>
        <row r="363">
          <cell r="A363" t="str">
            <v>303UT</v>
          </cell>
          <cell r="B363" t="str">
            <v>303</v>
          </cell>
          <cell r="D363">
            <v>3018316.3410000051</v>
          </cell>
          <cell r="F363" t="str">
            <v>303UT</v>
          </cell>
          <cell r="G363" t="str">
            <v>303</v>
          </cell>
          <cell r="I363">
            <v>3018316.3410000051</v>
          </cell>
        </row>
        <row r="364">
          <cell r="A364" t="str">
            <v>303WA</v>
          </cell>
          <cell r="B364" t="str">
            <v>303</v>
          </cell>
          <cell r="D364">
            <v>1505376.8930000006</v>
          </cell>
          <cell r="F364" t="str">
            <v>303WA</v>
          </cell>
          <cell r="G364" t="str">
            <v>303</v>
          </cell>
          <cell r="I364">
            <v>1505376.8930000006</v>
          </cell>
        </row>
        <row r="365">
          <cell r="A365" t="str">
            <v>303WYP</v>
          </cell>
          <cell r="B365" t="str">
            <v>303</v>
          </cell>
          <cell r="D365">
            <v>1491428.798999999</v>
          </cell>
          <cell r="F365" t="str">
            <v>303WYP</v>
          </cell>
          <cell r="G365" t="str">
            <v>303</v>
          </cell>
          <cell r="I365">
            <v>1491428.798999999</v>
          </cell>
        </row>
        <row r="366">
          <cell r="A366" t="str">
            <v>310DGP</v>
          </cell>
          <cell r="B366" t="str">
            <v>310</v>
          </cell>
          <cell r="D366">
            <v>2328228.2400000002</v>
          </cell>
          <cell r="F366" t="str">
            <v>310DGP</v>
          </cell>
          <cell r="G366" t="str">
            <v>310</v>
          </cell>
          <cell r="I366">
            <v>2328228.2400000002</v>
          </cell>
        </row>
        <row r="367">
          <cell r="A367" t="str">
            <v>310DGU</v>
          </cell>
          <cell r="B367" t="str">
            <v>310</v>
          </cell>
          <cell r="D367">
            <v>34798445.670000002</v>
          </cell>
          <cell r="F367" t="str">
            <v>310DGU</v>
          </cell>
          <cell r="G367" t="str">
            <v>310</v>
          </cell>
          <cell r="I367">
            <v>34798445.670000002</v>
          </cell>
        </row>
        <row r="368">
          <cell r="A368" t="str">
            <v>310SG</v>
          </cell>
          <cell r="B368" t="str">
            <v>310</v>
          </cell>
          <cell r="D368">
            <v>53412118.816153802</v>
          </cell>
          <cell r="F368" t="str">
            <v>310SG</v>
          </cell>
          <cell r="G368" t="str">
            <v>310</v>
          </cell>
          <cell r="I368">
            <v>53412118.816153802</v>
          </cell>
        </row>
        <row r="369">
          <cell r="A369" t="str">
            <v>310SSGCH</v>
          </cell>
          <cell r="B369" t="str">
            <v>310</v>
          </cell>
          <cell r="D369">
            <v>2556496.7876923</v>
          </cell>
          <cell r="F369" t="str">
            <v>310SSGCH</v>
          </cell>
          <cell r="G369" t="str">
            <v>310</v>
          </cell>
          <cell r="I369">
            <v>2556496.7876923</v>
          </cell>
        </row>
        <row r="370">
          <cell r="A370" t="str">
            <v>311DGP</v>
          </cell>
          <cell r="B370" t="str">
            <v>311</v>
          </cell>
          <cell r="D370">
            <v>233126167.38999999</v>
          </cell>
          <cell r="F370" t="str">
            <v>311DGP</v>
          </cell>
          <cell r="G370" t="str">
            <v>311</v>
          </cell>
          <cell r="I370">
            <v>233126167.38999999</v>
          </cell>
        </row>
        <row r="371">
          <cell r="A371" t="str">
            <v>311DGU</v>
          </cell>
          <cell r="B371" t="str">
            <v>311</v>
          </cell>
          <cell r="D371">
            <v>320181305.61461502</v>
          </cell>
          <cell r="F371" t="str">
            <v>311DGU</v>
          </cell>
          <cell r="G371" t="str">
            <v>311</v>
          </cell>
          <cell r="I371">
            <v>320181305.61461502</v>
          </cell>
        </row>
        <row r="372">
          <cell r="A372" t="str">
            <v>311SG</v>
          </cell>
          <cell r="B372" t="str">
            <v>311</v>
          </cell>
          <cell r="D372">
            <v>385016763.75692302</v>
          </cell>
          <cell r="F372" t="str">
            <v>311SG</v>
          </cell>
          <cell r="G372" t="str">
            <v>311</v>
          </cell>
          <cell r="I372">
            <v>385016763.75692302</v>
          </cell>
        </row>
        <row r="373">
          <cell r="A373" t="str">
            <v>311SSGCH</v>
          </cell>
          <cell r="B373" t="str">
            <v>311</v>
          </cell>
          <cell r="D373">
            <v>60698448.014615297</v>
          </cell>
          <cell r="F373" t="str">
            <v>311SSGCH</v>
          </cell>
          <cell r="G373" t="str">
            <v>311</v>
          </cell>
          <cell r="I373">
            <v>60698448.014615297</v>
          </cell>
        </row>
        <row r="374">
          <cell r="A374" t="str">
            <v>312DGP</v>
          </cell>
          <cell r="B374" t="str">
            <v>312</v>
          </cell>
          <cell r="D374">
            <v>579336644.03761649</v>
          </cell>
          <cell r="F374" t="str">
            <v>312DGP</v>
          </cell>
          <cell r="G374" t="str">
            <v>312</v>
          </cell>
          <cell r="I374">
            <v>579336644.03761649</v>
          </cell>
        </row>
        <row r="375">
          <cell r="A375" t="str">
            <v>312DGU</v>
          </cell>
          <cell r="B375" t="str">
            <v>312</v>
          </cell>
          <cell r="D375">
            <v>490212689.78865147</v>
          </cell>
          <cell r="F375" t="str">
            <v>312DGU</v>
          </cell>
          <cell r="G375" t="str">
            <v>312</v>
          </cell>
          <cell r="I375">
            <v>490212689.78865147</v>
          </cell>
        </row>
        <row r="376">
          <cell r="A376" t="str">
            <v>312SG</v>
          </cell>
          <cell r="B376" t="str">
            <v>312</v>
          </cell>
          <cell r="D376">
            <v>2818205668.7776284</v>
          </cell>
          <cell r="F376" t="str">
            <v>312SG</v>
          </cell>
          <cell r="G376" t="str">
            <v>312</v>
          </cell>
          <cell r="I376">
            <v>2818205668.7776284</v>
          </cell>
        </row>
        <row r="377">
          <cell r="A377" t="str">
            <v>312SSGCH</v>
          </cell>
          <cell r="B377" t="str">
            <v>312</v>
          </cell>
          <cell r="D377">
            <v>319424941.35139436</v>
          </cell>
          <cell r="F377" t="str">
            <v>312SSGCH</v>
          </cell>
          <cell r="G377" t="str">
            <v>312</v>
          </cell>
          <cell r="I377">
            <v>319424941.35139436</v>
          </cell>
        </row>
        <row r="378">
          <cell r="A378" t="str">
            <v>314DGP</v>
          </cell>
          <cell r="B378" t="str">
            <v>314</v>
          </cell>
          <cell r="D378">
            <v>120294854.55153801</v>
          </cell>
          <cell r="F378" t="str">
            <v>314DGP</v>
          </cell>
          <cell r="G378" t="str">
            <v>314</v>
          </cell>
          <cell r="I378">
            <v>120294854.55153801</v>
          </cell>
        </row>
        <row r="379">
          <cell r="A379" t="str">
            <v>314DGU</v>
          </cell>
          <cell r="B379" t="str">
            <v>314</v>
          </cell>
          <cell r="D379">
            <v>134015649.711538</v>
          </cell>
          <cell r="F379" t="str">
            <v>314DGU</v>
          </cell>
          <cell r="G379" t="str">
            <v>314</v>
          </cell>
          <cell r="I379">
            <v>134015649.711538</v>
          </cell>
        </row>
        <row r="380">
          <cell r="A380" t="str">
            <v>314SG</v>
          </cell>
          <cell r="B380" t="str">
            <v>314</v>
          </cell>
          <cell r="D380">
            <v>642822639.16307652</v>
          </cell>
          <cell r="F380" t="str">
            <v>314SG</v>
          </cell>
          <cell r="G380" t="str">
            <v>314</v>
          </cell>
          <cell r="I380">
            <v>642822639.16307652</v>
          </cell>
        </row>
        <row r="381">
          <cell r="A381" t="str">
            <v>314SSGCH</v>
          </cell>
          <cell r="B381" t="str">
            <v>314</v>
          </cell>
          <cell r="D381">
            <v>66776433.186922997</v>
          </cell>
          <cell r="F381" t="str">
            <v>314SSGCH</v>
          </cell>
          <cell r="G381" t="str">
            <v>314</v>
          </cell>
          <cell r="I381">
            <v>66776433.186922997</v>
          </cell>
        </row>
        <row r="382">
          <cell r="A382" t="str">
            <v>315DGP</v>
          </cell>
          <cell r="B382" t="str">
            <v>315</v>
          </cell>
          <cell r="D382">
            <v>86511775.329230696</v>
          </cell>
          <cell r="F382" t="str">
            <v>315DGP</v>
          </cell>
          <cell r="G382" t="str">
            <v>315</v>
          </cell>
          <cell r="I382">
            <v>86511775.329230696</v>
          </cell>
        </row>
        <row r="383">
          <cell r="A383" t="str">
            <v>315DGU</v>
          </cell>
          <cell r="B383" t="str">
            <v>315</v>
          </cell>
          <cell r="D383">
            <v>136942465.677692</v>
          </cell>
          <cell r="F383" t="str">
            <v>315DGU</v>
          </cell>
          <cell r="G383" t="str">
            <v>315</v>
          </cell>
          <cell r="I383">
            <v>136942465.677692</v>
          </cell>
        </row>
        <row r="384">
          <cell r="A384" t="str">
            <v>315SG</v>
          </cell>
          <cell r="B384" t="str">
            <v>315</v>
          </cell>
          <cell r="D384">
            <v>182403660.442307</v>
          </cell>
          <cell r="F384" t="str">
            <v>315SG</v>
          </cell>
          <cell r="G384" t="str">
            <v>315</v>
          </cell>
          <cell r="I384">
            <v>182403660.442307</v>
          </cell>
        </row>
        <row r="385">
          <cell r="A385" t="str">
            <v>315SSGCH</v>
          </cell>
          <cell r="B385" t="str">
            <v>315</v>
          </cell>
          <cell r="D385">
            <v>67313730.715384603</v>
          </cell>
          <cell r="F385" t="str">
            <v>315SSGCH</v>
          </cell>
          <cell r="G385" t="str">
            <v>315</v>
          </cell>
          <cell r="I385">
            <v>67313730.715384603</v>
          </cell>
        </row>
        <row r="386">
          <cell r="A386" t="str">
            <v>316DGP</v>
          </cell>
          <cell r="B386" t="str">
            <v>316</v>
          </cell>
          <cell r="D386">
            <v>4478376.8546153801</v>
          </cell>
          <cell r="F386" t="str">
            <v>316DGP</v>
          </cell>
          <cell r="G386" t="str">
            <v>316</v>
          </cell>
          <cell r="I386">
            <v>4478376.8546153801</v>
          </cell>
        </row>
        <row r="387">
          <cell r="A387" t="str">
            <v>316DGU</v>
          </cell>
          <cell r="B387" t="str">
            <v>316</v>
          </cell>
          <cell r="D387">
            <v>5085196.9400000004</v>
          </cell>
          <cell r="F387" t="str">
            <v>316DGU</v>
          </cell>
          <cell r="G387" t="str">
            <v>316</v>
          </cell>
          <cell r="I387">
            <v>5085196.9400000004</v>
          </cell>
        </row>
        <row r="388">
          <cell r="A388" t="str">
            <v>316SG</v>
          </cell>
          <cell r="B388" t="str">
            <v>316</v>
          </cell>
          <cell r="D388">
            <v>20061109.140000001</v>
          </cell>
          <cell r="F388" t="str">
            <v>316SG</v>
          </cell>
          <cell r="G388" t="str">
            <v>316</v>
          </cell>
          <cell r="I388">
            <v>20061109.140000001</v>
          </cell>
        </row>
        <row r="389">
          <cell r="A389" t="str">
            <v>316SSGCH</v>
          </cell>
          <cell r="B389" t="str">
            <v>316</v>
          </cell>
          <cell r="D389">
            <v>4150804.4669230701</v>
          </cell>
          <cell r="F389" t="str">
            <v>316SSGCH</v>
          </cell>
          <cell r="G389" t="str">
            <v>316</v>
          </cell>
          <cell r="I389">
            <v>4150804.4669230701</v>
          </cell>
        </row>
        <row r="390">
          <cell r="A390" t="str">
            <v>330DGP</v>
          </cell>
          <cell r="B390" t="str">
            <v>330</v>
          </cell>
          <cell r="D390">
            <v>10437659.5807692</v>
          </cell>
          <cell r="F390" t="str">
            <v>330DGP</v>
          </cell>
          <cell r="G390" t="str">
            <v>330</v>
          </cell>
          <cell r="I390">
            <v>10437659.5807692</v>
          </cell>
        </row>
        <row r="391">
          <cell r="A391" t="str">
            <v>330DGU</v>
          </cell>
          <cell r="B391" t="str">
            <v>330</v>
          </cell>
          <cell r="D391">
            <v>5271667.9230769202</v>
          </cell>
          <cell r="F391" t="str">
            <v>330DGU</v>
          </cell>
          <cell r="G391" t="str">
            <v>330</v>
          </cell>
          <cell r="I391">
            <v>5271667.9230769202</v>
          </cell>
        </row>
        <row r="392">
          <cell r="A392" t="str">
            <v>330SG-P</v>
          </cell>
          <cell r="B392" t="str">
            <v>330</v>
          </cell>
          <cell r="D392">
            <v>15043335.543846101</v>
          </cell>
          <cell r="F392" t="str">
            <v>330SG-P</v>
          </cell>
          <cell r="G392" t="str">
            <v>330</v>
          </cell>
          <cell r="I392">
            <v>15043335.543846101</v>
          </cell>
        </row>
        <row r="393">
          <cell r="A393" t="str">
            <v>330SG-U</v>
          </cell>
          <cell r="B393" t="str">
            <v>330</v>
          </cell>
          <cell r="D393">
            <v>673075.01</v>
          </cell>
          <cell r="F393" t="str">
            <v>330SG-U</v>
          </cell>
          <cell r="G393" t="str">
            <v>330</v>
          </cell>
          <cell r="I393">
            <v>673075.01</v>
          </cell>
        </row>
        <row r="394">
          <cell r="A394" t="str">
            <v>331DGP</v>
          </cell>
          <cell r="B394" t="str">
            <v>331</v>
          </cell>
          <cell r="D394">
            <v>20337622.783076901</v>
          </cell>
          <cell r="F394" t="str">
            <v>331DGP</v>
          </cell>
          <cell r="G394" t="str">
            <v>331</v>
          </cell>
          <cell r="I394">
            <v>20337622.783076901</v>
          </cell>
        </row>
        <row r="395">
          <cell r="A395" t="str">
            <v>331DGU</v>
          </cell>
          <cell r="B395" t="str">
            <v>331</v>
          </cell>
          <cell r="D395">
            <v>5240850.7161538396</v>
          </cell>
          <cell r="F395" t="str">
            <v>331DGU</v>
          </cell>
          <cell r="G395" t="str">
            <v>331</v>
          </cell>
          <cell r="I395">
            <v>5240850.7161538396</v>
          </cell>
        </row>
        <row r="396">
          <cell r="A396" t="str">
            <v>331SG-P</v>
          </cell>
          <cell r="B396" t="str">
            <v>331</v>
          </cell>
          <cell r="D396">
            <v>136110683.64384601</v>
          </cell>
          <cell r="F396" t="str">
            <v>331SG-P</v>
          </cell>
          <cell r="G396" t="str">
            <v>331</v>
          </cell>
          <cell r="I396">
            <v>136110683.64384601</v>
          </cell>
        </row>
        <row r="397">
          <cell r="A397" t="str">
            <v>331SG-U</v>
          </cell>
          <cell r="B397" t="str">
            <v>331</v>
          </cell>
          <cell r="D397">
            <v>8876630.1584615298</v>
          </cell>
          <cell r="F397" t="str">
            <v>331SG-U</v>
          </cell>
          <cell r="G397" t="str">
            <v>331</v>
          </cell>
          <cell r="I397">
            <v>8876630.1584615298</v>
          </cell>
        </row>
        <row r="398">
          <cell r="A398" t="str">
            <v>332DGP</v>
          </cell>
          <cell r="B398" t="str">
            <v>332</v>
          </cell>
          <cell r="D398">
            <v>90638467.433846503</v>
          </cell>
          <cell r="F398" t="str">
            <v>332DGP</v>
          </cell>
          <cell r="G398" t="str">
            <v>332</v>
          </cell>
          <cell r="I398">
            <v>90638467.433846503</v>
          </cell>
        </row>
        <row r="399">
          <cell r="A399" t="str">
            <v>332DGU</v>
          </cell>
          <cell r="B399" t="str">
            <v>332</v>
          </cell>
          <cell r="D399">
            <v>18520405.593000084</v>
          </cell>
          <cell r="F399" t="str">
            <v>332DGU</v>
          </cell>
          <cell r="G399" t="str">
            <v>332</v>
          </cell>
          <cell r="I399">
            <v>18520405.593000084</v>
          </cell>
        </row>
        <row r="400">
          <cell r="A400" t="str">
            <v>332SG-P</v>
          </cell>
          <cell r="B400" t="str">
            <v>332</v>
          </cell>
          <cell r="D400">
            <v>394861420.65370816</v>
          </cell>
          <cell r="F400" t="str">
            <v>332SG-P</v>
          </cell>
          <cell r="G400" t="str">
            <v>332</v>
          </cell>
          <cell r="I400">
            <v>394861420.65370816</v>
          </cell>
        </row>
        <row r="401">
          <cell r="A401" t="str">
            <v>332SG-U</v>
          </cell>
          <cell r="B401" t="str">
            <v>332</v>
          </cell>
          <cell r="D401">
            <v>69035337.09712337</v>
          </cell>
          <cell r="F401" t="str">
            <v>332SG-U</v>
          </cell>
          <cell r="G401" t="str">
            <v>332</v>
          </cell>
          <cell r="I401">
            <v>69035337.09712337</v>
          </cell>
        </row>
        <row r="402">
          <cell r="A402" t="str">
            <v>333DGP</v>
          </cell>
          <cell r="B402" t="str">
            <v>333</v>
          </cell>
          <cell r="D402">
            <v>29372304.2515384</v>
          </cell>
          <cell r="F402" t="str">
            <v>333DGP</v>
          </cell>
          <cell r="G402" t="str">
            <v>333</v>
          </cell>
          <cell r="I402">
            <v>29372304.2515384</v>
          </cell>
        </row>
        <row r="403">
          <cell r="A403" t="str">
            <v>333DGU</v>
          </cell>
          <cell r="B403" t="str">
            <v>333</v>
          </cell>
          <cell r="D403">
            <v>8438633.78230769</v>
          </cell>
          <cell r="F403" t="str">
            <v>333DGU</v>
          </cell>
          <cell r="G403" t="str">
            <v>333</v>
          </cell>
          <cell r="I403">
            <v>8438633.78230769</v>
          </cell>
        </row>
        <row r="404">
          <cell r="A404" t="str">
            <v>333SG-P</v>
          </cell>
          <cell r="B404" t="str">
            <v>333</v>
          </cell>
          <cell r="D404">
            <v>51586132.658461504</v>
          </cell>
          <cell r="F404" t="str">
            <v>333SG-P</v>
          </cell>
          <cell r="G404" t="str">
            <v>333</v>
          </cell>
          <cell r="I404">
            <v>51586132.658461504</v>
          </cell>
        </row>
        <row r="405">
          <cell r="A405" t="str">
            <v>333SG-U</v>
          </cell>
          <cell r="B405" t="str">
            <v>333</v>
          </cell>
          <cell r="D405">
            <v>30484834.276923001</v>
          </cell>
          <cell r="F405" t="str">
            <v>333SG-U</v>
          </cell>
          <cell r="G405" t="str">
            <v>333</v>
          </cell>
          <cell r="I405">
            <v>30484834.276923001</v>
          </cell>
        </row>
        <row r="406">
          <cell r="A406" t="str">
            <v>334DGP</v>
          </cell>
          <cell r="B406" t="str">
            <v>334</v>
          </cell>
          <cell r="D406">
            <v>4094148.4984615301</v>
          </cell>
          <cell r="F406" t="str">
            <v>334DGP</v>
          </cell>
          <cell r="G406" t="str">
            <v>334</v>
          </cell>
          <cell r="I406">
            <v>4094148.4984615301</v>
          </cell>
        </row>
        <row r="407">
          <cell r="A407" t="str">
            <v>334DGU</v>
          </cell>
          <cell r="B407" t="str">
            <v>334</v>
          </cell>
          <cell r="D407">
            <v>3490021.3684615302</v>
          </cell>
          <cell r="F407" t="str">
            <v>334DGU</v>
          </cell>
          <cell r="G407" t="str">
            <v>334</v>
          </cell>
          <cell r="I407">
            <v>3490021.3684615302</v>
          </cell>
        </row>
        <row r="408">
          <cell r="A408" t="str">
            <v>334SG-P</v>
          </cell>
          <cell r="B408" t="str">
            <v>334</v>
          </cell>
          <cell r="D408">
            <v>56096688.812307604</v>
          </cell>
          <cell r="F408" t="str">
            <v>334SG-P</v>
          </cell>
          <cell r="G408" t="str">
            <v>334</v>
          </cell>
          <cell r="I408">
            <v>56096688.812307604</v>
          </cell>
        </row>
        <row r="409">
          <cell r="A409" t="str">
            <v>334SG-U</v>
          </cell>
          <cell r="B409" t="str">
            <v>334</v>
          </cell>
          <cell r="D409">
            <v>7624309.7892307602</v>
          </cell>
          <cell r="F409" t="str">
            <v>334SG-U</v>
          </cell>
          <cell r="G409" t="str">
            <v>334</v>
          </cell>
          <cell r="I409">
            <v>7624309.7892307602</v>
          </cell>
        </row>
        <row r="410">
          <cell r="A410" t="str">
            <v>335DGP</v>
          </cell>
          <cell r="B410" t="str">
            <v>335</v>
          </cell>
          <cell r="D410">
            <v>1142941.8007692299</v>
          </cell>
          <cell r="F410" t="str">
            <v>335DGP</v>
          </cell>
          <cell r="G410" t="str">
            <v>335</v>
          </cell>
          <cell r="I410">
            <v>1142941.8007692299</v>
          </cell>
        </row>
        <row r="411">
          <cell r="A411" t="str">
            <v>335DGU</v>
          </cell>
          <cell r="B411" t="str">
            <v>335</v>
          </cell>
          <cell r="D411">
            <v>157261.45000000001</v>
          </cell>
          <cell r="F411" t="str">
            <v>335DGU</v>
          </cell>
          <cell r="G411" t="str">
            <v>335</v>
          </cell>
          <cell r="I411">
            <v>157261.45000000001</v>
          </cell>
        </row>
        <row r="412">
          <cell r="A412" t="str">
            <v>335SG-P</v>
          </cell>
          <cell r="B412" t="str">
            <v>335</v>
          </cell>
          <cell r="D412">
            <v>1046589.80538461</v>
          </cell>
          <cell r="F412" t="str">
            <v>335SG-P</v>
          </cell>
          <cell r="G412" t="str">
            <v>335</v>
          </cell>
          <cell r="I412">
            <v>1046589.80538461</v>
          </cell>
        </row>
        <row r="413">
          <cell r="A413" t="str">
            <v>335SG-U</v>
          </cell>
          <cell r="B413" t="str">
            <v>335</v>
          </cell>
          <cell r="D413">
            <v>13039.41</v>
          </cell>
          <cell r="F413" t="str">
            <v>335SG-U</v>
          </cell>
          <cell r="G413" t="str">
            <v>335</v>
          </cell>
          <cell r="I413">
            <v>13039.41</v>
          </cell>
        </row>
        <row r="414">
          <cell r="A414" t="str">
            <v>336DGP</v>
          </cell>
          <cell r="B414" t="str">
            <v>336</v>
          </cell>
          <cell r="D414">
            <v>4529874.4415384596</v>
          </cell>
          <cell r="F414" t="str">
            <v>336DGP</v>
          </cell>
          <cell r="G414" t="str">
            <v>336</v>
          </cell>
          <cell r="I414">
            <v>4529874.4415384596</v>
          </cell>
        </row>
        <row r="415">
          <cell r="A415" t="str">
            <v>336DGU</v>
          </cell>
          <cell r="B415" t="str">
            <v>336</v>
          </cell>
          <cell r="D415">
            <v>822765.78</v>
          </cell>
          <cell r="F415" t="str">
            <v>336DGU</v>
          </cell>
          <cell r="G415" t="str">
            <v>336</v>
          </cell>
          <cell r="I415">
            <v>822765.78</v>
          </cell>
        </row>
        <row r="416">
          <cell r="A416" t="str">
            <v>336SG-P</v>
          </cell>
          <cell r="B416" t="str">
            <v>336</v>
          </cell>
          <cell r="D416">
            <v>11662075.6592307</v>
          </cell>
          <cell r="F416" t="str">
            <v>336SG-P</v>
          </cell>
          <cell r="G416" t="str">
            <v>336</v>
          </cell>
          <cell r="I416">
            <v>11662075.6592307</v>
          </cell>
        </row>
        <row r="417">
          <cell r="A417" t="str">
            <v>336SG-U</v>
          </cell>
          <cell r="B417" t="str">
            <v>336</v>
          </cell>
          <cell r="D417">
            <v>741166.879230769</v>
          </cell>
          <cell r="F417" t="str">
            <v>336SG-U</v>
          </cell>
          <cell r="G417" t="str">
            <v>336</v>
          </cell>
          <cell r="I417">
            <v>741166.879230769</v>
          </cell>
        </row>
        <row r="418">
          <cell r="A418" t="str">
            <v>340OR</v>
          </cell>
          <cell r="B418" t="str">
            <v>340</v>
          </cell>
          <cell r="D418">
            <v>51913.294615384599</v>
          </cell>
          <cell r="F418" t="str">
            <v>340OR</v>
          </cell>
          <cell r="G418" t="str">
            <v>340</v>
          </cell>
          <cell r="I418">
            <v>51913.294615384599</v>
          </cell>
        </row>
        <row r="419">
          <cell r="A419" t="str">
            <v>340SG</v>
          </cell>
          <cell r="B419" t="str">
            <v>340</v>
          </cell>
          <cell r="D419">
            <v>23576717.333076902</v>
          </cell>
          <cell r="F419" t="str">
            <v>340SG</v>
          </cell>
          <cell r="G419" t="str">
            <v>340</v>
          </cell>
          <cell r="I419">
            <v>23576717.333076902</v>
          </cell>
        </row>
        <row r="420">
          <cell r="A420" t="str">
            <v>340SG-W</v>
          </cell>
          <cell r="B420" t="str">
            <v>340</v>
          </cell>
          <cell r="D420">
            <v>5395984.6900000004</v>
          </cell>
          <cell r="F420" t="str">
            <v>340SG-W</v>
          </cell>
          <cell r="G420" t="str">
            <v>340</v>
          </cell>
          <cell r="I420">
            <v>5395984.6900000004</v>
          </cell>
        </row>
        <row r="421">
          <cell r="A421" t="str">
            <v>341DGU</v>
          </cell>
          <cell r="B421" t="str">
            <v>341</v>
          </cell>
          <cell r="D421">
            <v>150933.94153846099</v>
          </cell>
          <cell r="F421" t="str">
            <v>341DGU</v>
          </cell>
          <cell r="G421" t="str">
            <v>341</v>
          </cell>
          <cell r="I421">
            <v>150933.94153846099</v>
          </cell>
        </row>
        <row r="422">
          <cell r="A422" t="str">
            <v>341SG</v>
          </cell>
          <cell r="B422" t="str">
            <v>341</v>
          </cell>
          <cell r="D422">
            <v>108393285.20923001</v>
          </cell>
          <cell r="F422" t="str">
            <v>341SG</v>
          </cell>
          <cell r="G422" t="str">
            <v>341</v>
          </cell>
          <cell r="I422">
            <v>108393285.20923001</v>
          </cell>
        </row>
        <row r="423">
          <cell r="A423" t="str">
            <v>341SG-W</v>
          </cell>
          <cell r="B423" t="str">
            <v>341</v>
          </cell>
          <cell r="D423">
            <v>51432970.013846099</v>
          </cell>
          <cell r="F423" t="str">
            <v>341SG-W</v>
          </cell>
          <cell r="G423" t="str">
            <v>341</v>
          </cell>
          <cell r="I423">
            <v>51432970.013846099</v>
          </cell>
        </row>
        <row r="424">
          <cell r="A424" t="str">
            <v>341SSGCT</v>
          </cell>
          <cell r="B424" t="str">
            <v>341</v>
          </cell>
          <cell r="D424">
            <v>4257909.8023076896</v>
          </cell>
          <cell r="F424" t="str">
            <v>341SSGCT</v>
          </cell>
          <cell r="G424" t="str">
            <v>341</v>
          </cell>
          <cell r="I424">
            <v>4257909.8023076896</v>
          </cell>
        </row>
        <row r="425">
          <cell r="A425" t="str">
            <v>342DGU</v>
          </cell>
          <cell r="B425" t="str">
            <v>342</v>
          </cell>
          <cell r="D425">
            <v>0</v>
          </cell>
          <cell r="F425" t="str">
            <v>342DGU</v>
          </cell>
          <cell r="G425" t="str">
            <v>342</v>
          </cell>
          <cell r="I425">
            <v>0</v>
          </cell>
        </row>
        <row r="426">
          <cell r="A426" t="str">
            <v>342SG</v>
          </cell>
          <cell r="B426" t="str">
            <v>342</v>
          </cell>
          <cell r="D426">
            <v>8424526.3599999994</v>
          </cell>
          <cell r="F426" t="str">
            <v>342SG</v>
          </cell>
          <cell r="G426" t="str">
            <v>342</v>
          </cell>
          <cell r="I426">
            <v>8424526.3599999994</v>
          </cell>
        </row>
        <row r="427">
          <cell r="A427" t="str">
            <v>342SSGCT</v>
          </cell>
          <cell r="B427" t="str">
            <v>342</v>
          </cell>
          <cell r="D427">
            <v>2366086.7276923</v>
          </cell>
          <cell r="F427" t="str">
            <v>342SSGCT</v>
          </cell>
          <cell r="G427" t="str">
            <v>342</v>
          </cell>
          <cell r="I427">
            <v>2366086.7276923</v>
          </cell>
        </row>
        <row r="428">
          <cell r="A428" t="str">
            <v>343DGU</v>
          </cell>
          <cell r="B428" t="str">
            <v>343</v>
          </cell>
          <cell r="D428">
            <v>-490846.76384615316</v>
          </cell>
          <cell r="F428" t="str">
            <v>343DGU</v>
          </cell>
          <cell r="G428" t="str">
            <v>343</v>
          </cell>
          <cell r="I428">
            <v>-490846.76384615316</v>
          </cell>
        </row>
        <row r="429">
          <cell r="A429" t="str">
            <v>343SG</v>
          </cell>
          <cell r="B429" t="str">
            <v>343</v>
          </cell>
          <cell r="D429">
            <v>1355415899.1065598</v>
          </cell>
          <cell r="F429" t="str">
            <v>343SG</v>
          </cell>
          <cell r="G429" t="str">
            <v>343</v>
          </cell>
          <cell r="I429">
            <v>1355415899.1065598</v>
          </cell>
        </row>
        <row r="430">
          <cell r="A430" t="str">
            <v>343SG-W</v>
          </cell>
          <cell r="B430" t="str">
            <v>343</v>
          </cell>
          <cell r="D430">
            <v>1792945966.2742043</v>
          </cell>
          <cell r="F430" t="str">
            <v>343SG-W</v>
          </cell>
          <cell r="G430" t="str">
            <v>343</v>
          </cell>
          <cell r="I430">
            <v>1792945966.2742043</v>
          </cell>
        </row>
        <row r="431">
          <cell r="A431" t="str">
            <v>343SSGCT</v>
          </cell>
          <cell r="B431" t="str">
            <v>343</v>
          </cell>
          <cell r="D431">
            <v>53830226.539720081</v>
          </cell>
          <cell r="F431" t="str">
            <v>343SSGCT</v>
          </cell>
          <cell r="G431" t="str">
            <v>343</v>
          </cell>
          <cell r="I431">
            <v>53830226.539720081</v>
          </cell>
        </row>
        <row r="432">
          <cell r="A432" t="str">
            <v>344SG</v>
          </cell>
          <cell r="B432" t="str">
            <v>344</v>
          </cell>
          <cell r="D432">
            <v>283264160.25538403</v>
          </cell>
          <cell r="F432" t="str">
            <v>344SG</v>
          </cell>
          <cell r="G432" t="str">
            <v>344</v>
          </cell>
          <cell r="I432">
            <v>283264160.25538403</v>
          </cell>
        </row>
        <row r="433">
          <cell r="A433" t="str">
            <v>344SG-W</v>
          </cell>
          <cell r="B433" t="str">
            <v>344</v>
          </cell>
          <cell r="D433">
            <v>53708178.465384603</v>
          </cell>
          <cell r="F433" t="str">
            <v>344SG-W</v>
          </cell>
          <cell r="G433" t="str">
            <v>344</v>
          </cell>
          <cell r="I433">
            <v>53708178.465384603</v>
          </cell>
        </row>
        <row r="434">
          <cell r="A434" t="str">
            <v>344SSGCT</v>
          </cell>
          <cell r="B434" t="str">
            <v>344</v>
          </cell>
          <cell r="D434">
            <v>16261701.2530769</v>
          </cell>
          <cell r="F434" t="str">
            <v>344SSGCT</v>
          </cell>
          <cell r="G434" t="str">
            <v>344</v>
          </cell>
          <cell r="I434">
            <v>16261701.2530769</v>
          </cell>
        </row>
        <row r="435">
          <cell r="A435" t="str">
            <v>345DGU</v>
          </cell>
          <cell r="B435" t="str">
            <v>345</v>
          </cell>
          <cell r="D435">
            <v>130773.123076923</v>
          </cell>
          <cell r="F435" t="str">
            <v>345DGU</v>
          </cell>
          <cell r="G435" t="str">
            <v>345</v>
          </cell>
          <cell r="I435">
            <v>130773.123076923</v>
          </cell>
        </row>
        <row r="436">
          <cell r="A436" t="str">
            <v>345SG</v>
          </cell>
          <cell r="B436" t="str">
            <v>345</v>
          </cell>
          <cell r="D436">
            <v>135257318.94769201</v>
          </cell>
          <cell r="F436" t="str">
            <v>345SG</v>
          </cell>
          <cell r="G436" t="str">
            <v>345</v>
          </cell>
          <cell r="I436">
            <v>135257318.94769201</v>
          </cell>
        </row>
        <row r="437">
          <cell r="A437" t="str">
            <v>345SG-W</v>
          </cell>
          <cell r="B437" t="str">
            <v>345</v>
          </cell>
          <cell r="D437">
            <v>110965692.095384</v>
          </cell>
          <cell r="F437" t="str">
            <v>345SG-W</v>
          </cell>
          <cell r="G437" t="str">
            <v>345</v>
          </cell>
          <cell r="I437">
            <v>110965692.095384</v>
          </cell>
        </row>
        <row r="438">
          <cell r="A438" t="str">
            <v>345SSGCT</v>
          </cell>
          <cell r="B438" t="str">
            <v>345</v>
          </cell>
          <cell r="D438">
            <v>2942166.43</v>
          </cell>
          <cell r="F438" t="str">
            <v>345SSGCT</v>
          </cell>
          <cell r="G438" t="str">
            <v>345</v>
          </cell>
          <cell r="I438">
            <v>2942166.43</v>
          </cell>
        </row>
        <row r="439">
          <cell r="A439" t="str">
            <v>346DGU</v>
          </cell>
          <cell r="B439" t="str">
            <v>346</v>
          </cell>
          <cell r="D439">
            <v>10904.409230769201</v>
          </cell>
          <cell r="F439" t="str">
            <v>346DGU</v>
          </cell>
          <cell r="G439" t="str">
            <v>346</v>
          </cell>
          <cell r="I439">
            <v>10904.409230769201</v>
          </cell>
        </row>
        <row r="440">
          <cell r="A440" t="str">
            <v>346SG</v>
          </cell>
          <cell r="B440" t="str">
            <v>346</v>
          </cell>
          <cell r="D440">
            <v>9825442.8961538393</v>
          </cell>
          <cell r="F440" t="str">
            <v>346SG</v>
          </cell>
          <cell r="G440" t="str">
            <v>346</v>
          </cell>
          <cell r="I440">
            <v>9825442.8961538393</v>
          </cell>
        </row>
        <row r="441">
          <cell r="A441" t="str">
            <v>346SG-W</v>
          </cell>
          <cell r="B441" t="str">
            <v>346</v>
          </cell>
          <cell r="D441">
            <v>2530729.7861538399</v>
          </cell>
          <cell r="F441" t="str">
            <v>346SG-W</v>
          </cell>
          <cell r="G441" t="str">
            <v>346</v>
          </cell>
          <cell r="I441">
            <v>2530729.7861538399</v>
          </cell>
        </row>
        <row r="442">
          <cell r="A442" t="str">
            <v>350DGP</v>
          </cell>
          <cell r="B442" t="str">
            <v>350</v>
          </cell>
          <cell r="D442">
            <v>21075451.682307601</v>
          </cell>
          <cell r="F442" t="str">
            <v>350DGP</v>
          </cell>
          <cell r="G442" t="str">
            <v>350</v>
          </cell>
          <cell r="I442">
            <v>21075451.682307601</v>
          </cell>
        </row>
        <row r="443">
          <cell r="A443" t="str">
            <v>350DGU</v>
          </cell>
          <cell r="B443" t="str">
            <v>350</v>
          </cell>
          <cell r="D443">
            <v>48391660.206923001</v>
          </cell>
          <cell r="F443" t="str">
            <v>350DGU</v>
          </cell>
          <cell r="G443" t="str">
            <v>350</v>
          </cell>
          <cell r="I443">
            <v>48391660.206923001</v>
          </cell>
        </row>
        <row r="444">
          <cell r="A444" t="str">
            <v>350SG</v>
          </cell>
          <cell r="B444" t="str">
            <v>350</v>
          </cell>
          <cell r="D444">
            <v>131266900.25769199</v>
          </cell>
          <cell r="F444" t="str">
            <v>350SG</v>
          </cell>
          <cell r="G444" t="str">
            <v>350</v>
          </cell>
          <cell r="I444">
            <v>131266900.25769199</v>
          </cell>
        </row>
        <row r="445">
          <cell r="A445" t="str">
            <v>352DGP</v>
          </cell>
          <cell r="B445" t="str">
            <v>352</v>
          </cell>
          <cell r="D445">
            <v>7400307.7738461504</v>
          </cell>
          <cell r="F445" t="str">
            <v>352DGP</v>
          </cell>
          <cell r="G445" t="str">
            <v>352</v>
          </cell>
          <cell r="I445">
            <v>7400307.7738461504</v>
          </cell>
        </row>
        <row r="446">
          <cell r="A446" t="str">
            <v>352DGU</v>
          </cell>
          <cell r="B446" t="str">
            <v>352</v>
          </cell>
          <cell r="D446">
            <v>18083548.176153801</v>
          </cell>
          <cell r="F446" t="str">
            <v>352DGU</v>
          </cell>
          <cell r="G446" t="str">
            <v>352</v>
          </cell>
          <cell r="I446">
            <v>18083548.176153801</v>
          </cell>
        </row>
        <row r="447">
          <cell r="A447" t="str">
            <v>352SG</v>
          </cell>
          <cell r="B447" t="str">
            <v>352</v>
          </cell>
          <cell r="D447">
            <v>142314666.00999999</v>
          </cell>
          <cell r="F447" t="str">
            <v>352SG</v>
          </cell>
          <cell r="G447" t="str">
            <v>352</v>
          </cell>
          <cell r="I447">
            <v>142314666.00999999</v>
          </cell>
        </row>
        <row r="448">
          <cell r="A448" t="str">
            <v>353DGP</v>
          </cell>
          <cell r="B448" t="str">
            <v>353</v>
          </cell>
          <cell r="D448">
            <v>119104294.076153</v>
          </cell>
          <cell r="F448" t="str">
            <v>353DGP</v>
          </cell>
          <cell r="G448" t="str">
            <v>353</v>
          </cell>
          <cell r="I448">
            <v>119104294.076153</v>
          </cell>
        </row>
        <row r="449">
          <cell r="A449" t="str">
            <v>353DGU</v>
          </cell>
          <cell r="B449" t="str">
            <v>353</v>
          </cell>
          <cell r="D449">
            <v>177648365.53</v>
          </cell>
          <cell r="F449" t="str">
            <v>353DGU</v>
          </cell>
          <cell r="G449" t="str">
            <v>353</v>
          </cell>
          <cell r="I449">
            <v>177648365.53</v>
          </cell>
        </row>
        <row r="450">
          <cell r="A450" t="str">
            <v>353SG</v>
          </cell>
          <cell r="B450" t="str">
            <v>353</v>
          </cell>
          <cell r="D450">
            <v>1412806882.681536</v>
          </cell>
          <cell r="F450" t="str">
            <v>353SG</v>
          </cell>
          <cell r="G450" t="str">
            <v>353</v>
          </cell>
          <cell r="I450">
            <v>1412806882.681536</v>
          </cell>
        </row>
        <row r="451">
          <cell r="A451" t="str">
            <v>354DGP</v>
          </cell>
          <cell r="B451" t="str">
            <v>354</v>
          </cell>
          <cell r="D451">
            <v>155435932.93000001</v>
          </cell>
          <cell r="F451" t="str">
            <v>354DGP</v>
          </cell>
          <cell r="G451" t="str">
            <v>354</v>
          </cell>
          <cell r="I451">
            <v>155435932.93000001</v>
          </cell>
        </row>
        <row r="452">
          <cell r="A452" t="str">
            <v>354DGU</v>
          </cell>
          <cell r="B452" t="str">
            <v>354</v>
          </cell>
          <cell r="D452">
            <v>133295376.51076899</v>
          </cell>
          <cell r="F452" t="str">
            <v>354DGU</v>
          </cell>
          <cell r="G452" t="str">
            <v>354</v>
          </cell>
          <cell r="I452">
            <v>133295376.51076899</v>
          </cell>
        </row>
        <row r="453">
          <cell r="A453" t="str">
            <v>354SG</v>
          </cell>
          <cell r="B453" t="str">
            <v>354</v>
          </cell>
          <cell r="D453">
            <v>702322058.63923001</v>
          </cell>
          <cell r="F453" t="str">
            <v>354SG</v>
          </cell>
          <cell r="G453" t="str">
            <v>354</v>
          </cell>
          <cell r="I453">
            <v>702322058.63923001</v>
          </cell>
        </row>
        <row r="454">
          <cell r="A454" t="str">
            <v>355DGP</v>
          </cell>
          <cell r="B454" t="str">
            <v>355</v>
          </cell>
          <cell r="D454">
            <v>58385168.321847767</v>
          </cell>
          <cell r="F454" t="str">
            <v>355DGP</v>
          </cell>
          <cell r="G454" t="str">
            <v>355</v>
          </cell>
          <cell r="I454">
            <v>58385168.321847767</v>
          </cell>
        </row>
        <row r="455">
          <cell r="A455" t="str">
            <v>355DGU</v>
          </cell>
          <cell r="B455" t="str">
            <v>355</v>
          </cell>
          <cell r="D455">
            <v>106575128.70023187</v>
          </cell>
          <cell r="F455" t="str">
            <v>355DGU</v>
          </cell>
          <cell r="G455" t="str">
            <v>355</v>
          </cell>
          <cell r="I455">
            <v>106575128.70023187</v>
          </cell>
        </row>
        <row r="456">
          <cell r="A456" t="str">
            <v>355SG</v>
          </cell>
          <cell r="B456" t="str">
            <v>355</v>
          </cell>
          <cell r="D456">
            <v>1186403023.7381625</v>
          </cell>
          <cell r="F456" t="str">
            <v>355SG</v>
          </cell>
          <cell r="G456" t="str">
            <v>355</v>
          </cell>
          <cell r="I456">
            <v>1186403023.7381625</v>
          </cell>
        </row>
        <row r="457">
          <cell r="A457" t="str">
            <v>356DGP</v>
          </cell>
          <cell r="B457" t="str">
            <v>356</v>
          </cell>
          <cell r="D457">
            <v>182103228.083846</v>
          </cell>
          <cell r="F457" t="str">
            <v>356DGP</v>
          </cell>
          <cell r="G457" t="str">
            <v>356</v>
          </cell>
          <cell r="I457">
            <v>182103228.083846</v>
          </cell>
        </row>
        <row r="458">
          <cell r="A458" t="str">
            <v>356DGU</v>
          </cell>
          <cell r="B458" t="str">
            <v>356</v>
          </cell>
          <cell r="D458">
            <v>157185664.70692301</v>
          </cell>
          <cell r="F458" t="str">
            <v>356DGU</v>
          </cell>
          <cell r="G458" t="str">
            <v>356</v>
          </cell>
          <cell r="I458">
            <v>157185664.70692301</v>
          </cell>
        </row>
        <row r="459">
          <cell r="A459" t="str">
            <v>356SG</v>
          </cell>
          <cell r="B459" t="str">
            <v>356</v>
          </cell>
          <cell r="D459">
            <v>572750331.33538401</v>
          </cell>
          <cell r="F459" t="str">
            <v>356SG</v>
          </cell>
          <cell r="G459" t="str">
            <v>356</v>
          </cell>
          <cell r="I459">
            <v>572750331.33538401</v>
          </cell>
        </row>
        <row r="460">
          <cell r="A460" t="str">
            <v>357DGP</v>
          </cell>
          <cell r="B460" t="str">
            <v>357</v>
          </cell>
          <cell r="D460">
            <v>6370.99</v>
          </cell>
          <cell r="F460" t="str">
            <v>357DGP</v>
          </cell>
          <cell r="G460" t="str">
            <v>357</v>
          </cell>
          <cell r="I460">
            <v>6370.99</v>
          </cell>
        </row>
        <row r="461">
          <cell r="A461" t="str">
            <v>357DGU</v>
          </cell>
          <cell r="B461" t="str">
            <v>357</v>
          </cell>
          <cell r="D461">
            <v>91650.59</v>
          </cell>
          <cell r="F461" t="str">
            <v>357DGU</v>
          </cell>
          <cell r="G461" t="str">
            <v>357</v>
          </cell>
          <cell r="I461">
            <v>91650.59</v>
          </cell>
        </row>
        <row r="462">
          <cell r="A462" t="str">
            <v>357SG</v>
          </cell>
          <cell r="B462" t="str">
            <v>357</v>
          </cell>
          <cell r="D462">
            <v>3200291.3153846101</v>
          </cell>
          <cell r="F462" t="str">
            <v>357SG</v>
          </cell>
          <cell r="G462" t="str">
            <v>357</v>
          </cell>
          <cell r="I462">
            <v>3200291.3153846101</v>
          </cell>
        </row>
        <row r="463">
          <cell r="A463" t="str">
            <v>358DGU</v>
          </cell>
          <cell r="B463" t="str">
            <v>358</v>
          </cell>
          <cell r="D463">
            <v>1087552.1399999999</v>
          </cell>
          <cell r="F463" t="str">
            <v>358DGU</v>
          </cell>
          <cell r="G463" t="str">
            <v>358</v>
          </cell>
          <cell r="I463">
            <v>1087552.1399999999</v>
          </cell>
        </row>
        <row r="464">
          <cell r="A464" t="str">
            <v>358SG</v>
          </cell>
          <cell r="B464" t="str">
            <v>358</v>
          </cell>
          <cell r="D464">
            <v>6399547.2115384601</v>
          </cell>
          <cell r="F464" t="str">
            <v>358SG</v>
          </cell>
          <cell r="G464" t="str">
            <v>358</v>
          </cell>
          <cell r="I464">
            <v>6399547.2115384601</v>
          </cell>
        </row>
        <row r="465">
          <cell r="A465" t="str">
            <v>359DGP</v>
          </cell>
          <cell r="B465" t="str">
            <v>359</v>
          </cell>
          <cell r="D465">
            <v>1863031.54</v>
          </cell>
          <cell r="F465" t="str">
            <v>359DGP</v>
          </cell>
          <cell r="G465" t="str">
            <v>359</v>
          </cell>
          <cell r="I465">
            <v>1863031.54</v>
          </cell>
        </row>
        <row r="466">
          <cell r="A466" t="str">
            <v>359DGU</v>
          </cell>
          <cell r="B466" t="str">
            <v>359</v>
          </cell>
          <cell r="D466">
            <v>440513.21</v>
          </cell>
          <cell r="F466" t="str">
            <v>359DGU</v>
          </cell>
          <cell r="G466" t="str">
            <v>359</v>
          </cell>
          <cell r="I466">
            <v>440513.21</v>
          </cell>
        </row>
        <row r="467">
          <cell r="A467" t="str">
            <v>359SG</v>
          </cell>
          <cell r="B467" t="str">
            <v>359</v>
          </cell>
          <cell r="D467">
            <v>9358421.2123076897</v>
          </cell>
          <cell r="F467" t="str">
            <v>359SG</v>
          </cell>
          <cell r="G467" t="str">
            <v>359</v>
          </cell>
          <cell r="I467">
            <v>9358421.2123076897</v>
          </cell>
        </row>
        <row r="468">
          <cell r="A468" t="str">
            <v>360CA</v>
          </cell>
          <cell r="B468" t="str">
            <v>360</v>
          </cell>
          <cell r="D468">
            <v>1558953.819536353</v>
          </cell>
          <cell r="F468" t="str">
            <v>360CA</v>
          </cell>
          <cell r="G468" t="str">
            <v>360</v>
          </cell>
          <cell r="I468">
            <v>1558953.819536353</v>
          </cell>
        </row>
        <row r="469">
          <cell r="A469" t="str">
            <v>360ID</v>
          </cell>
          <cell r="B469" t="str">
            <v>360</v>
          </cell>
          <cell r="D469">
            <v>1640648.0135063508</v>
          </cell>
          <cell r="F469" t="str">
            <v>360ID</v>
          </cell>
          <cell r="G469" t="str">
            <v>360</v>
          </cell>
          <cell r="I469">
            <v>1640648.0135063508</v>
          </cell>
        </row>
        <row r="470">
          <cell r="A470" t="str">
            <v>360OR</v>
          </cell>
          <cell r="B470" t="str">
            <v>360</v>
          </cell>
          <cell r="D470">
            <v>14226598.514827628</v>
          </cell>
          <cell r="F470" t="str">
            <v>360OR</v>
          </cell>
          <cell r="G470" t="str">
            <v>360</v>
          </cell>
          <cell r="I470">
            <v>14226598.514827628</v>
          </cell>
        </row>
        <row r="471">
          <cell r="A471" t="str">
            <v>360UT</v>
          </cell>
          <cell r="B471" t="str">
            <v>360</v>
          </cell>
          <cell r="D471">
            <v>37492678.711491771</v>
          </cell>
          <cell r="F471" t="str">
            <v>360UT</v>
          </cell>
          <cell r="G471" t="str">
            <v>360</v>
          </cell>
          <cell r="I471">
            <v>37492678.711491771</v>
          </cell>
        </row>
        <row r="472">
          <cell r="A472" t="str">
            <v>360WA</v>
          </cell>
          <cell r="B472" t="str">
            <v>360</v>
          </cell>
          <cell r="D472">
            <v>1743031.1696468829</v>
          </cell>
          <cell r="F472" t="str">
            <v>360WA</v>
          </cell>
          <cell r="G472" t="str">
            <v>360</v>
          </cell>
          <cell r="I472">
            <v>1743031.1696468829</v>
          </cell>
        </row>
        <row r="473">
          <cell r="A473" t="str">
            <v>360WYP</v>
          </cell>
          <cell r="B473" t="str">
            <v>360</v>
          </cell>
          <cell r="D473">
            <v>2964321.0484358002</v>
          </cell>
          <cell r="F473" t="str">
            <v>360WYP</v>
          </cell>
          <cell r="G473" t="str">
            <v>360</v>
          </cell>
          <cell r="I473">
            <v>2964321.0484358002</v>
          </cell>
        </row>
        <row r="474">
          <cell r="A474" t="str">
            <v>360WYU</v>
          </cell>
          <cell r="B474" t="str">
            <v>360</v>
          </cell>
          <cell r="D474">
            <v>2838797.37923076</v>
          </cell>
          <cell r="F474" t="str">
            <v>360WYU</v>
          </cell>
          <cell r="G474" t="str">
            <v>360</v>
          </cell>
          <cell r="I474">
            <v>2838797.37923076</v>
          </cell>
        </row>
        <row r="475">
          <cell r="A475" t="str">
            <v>361CA</v>
          </cell>
          <cell r="B475" t="str">
            <v>361</v>
          </cell>
          <cell r="D475">
            <v>4370405.933460216</v>
          </cell>
          <cell r="F475" t="str">
            <v>361CA</v>
          </cell>
          <cell r="G475" t="str">
            <v>361</v>
          </cell>
          <cell r="I475">
            <v>4370405.933460216</v>
          </cell>
        </row>
        <row r="476">
          <cell r="A476" t="str">
            <v>361ID</v>
          </cell>
          <cell r="B476" t="str">
            <v>361</v>
          </cell>
          <cell r="D476">
            <v>2487495.0993197775</v>
          </cell>
          <cell r="F476" t="str">
            <v>361ID</v>
          </cell>
          <cell r="G476" t="str">
            <v>361</v>
          </cell>
          <cell r="I476">
            <v>2487495.0993197775</v>
          </cell>
        </row>
        <row r="477">
          <cell r="A477" t="str">
            <v>361OR</v>
          </cell>
          <cell r="B477" t="str">
            <v>361</v>
          </cell>
          <cell r="D477">
            <v>23688010.980511174</v>
          </cell>
          <cell r="F477" t="str">
            <v>361OR</v>
          </cell>
          <cell r="G477" t="str">
            <v>361</v>
          </cell>
          <cell r="I477">
            <v>23688010.980511174</v>
          </cell>
        </row>
        <row r="478">
          <cell r="A478" t="str">
            <v>361UT</v>
          </cell>
          <cell r="B478" t="str">
            <v>361</v>
          </cell>
          <cell r="D478">
            <v>47792824.068109125</v>
          </cell>
          <cell r="F478" t="str">
            <v>361UT</v>
          </cell>
          <cell r="G478" t="str">
            <v>361</v>
          </cell>
          <cell r="I478">
            <v>47792824.068109125</v>
          </cell>
        </row>
        <row r="479">
          <cell r="A479" t="str">
            <v>361WA</v>
          </cell>
          <cell r="B479" t="str">
            <v>361</v>
          </cell>
          <cell r="D479">
            <v>2801911.2185653187</v>
          </cell>
          <cell r="F479" t="str">
            <v>361WA</v>
          </cell>
          <cell r="G479" t="str">
            <v>361</v>
          </cell>
          <cell r="I479">
            <v>2801911.2185653187</v>
          </cell>
        </row>
        <row r="480">
          <cell r="A480" t="str">
            <v>361WYP</v>
          </cell>
          <cell r="B480" t="str">
            <v>361</v>
          </cell>
          <cell r="D480">
            <v>10613765.307327805</v>
          </cell>
          <cell r="F480" t="str">
            <v>361WYP</v>
          </cell>
          <cell r="G480" t="str">
            <v>361</v>
          </cell>
          <cell r="I480">
            <v>10613765.307327805</v>
          </cell>
        </row>
        <row r="481">
          <cell r="A481" t="str">
            <v>361WYU</v>
          </cell>
          <cell r="B481" t="str">
            <v>361</v>
          </cell>
          <cell r="D481">
            <v>1987308.7415384599</v>
          </cell>
          <cell r="F481" t="str">
            <v>361WYU</v>
          </cell>
          <cell r="G481" t="str">
            <v>361</v>
          </cell>
          <cell r="I481">
            <v>1987308.7415384599</v>
          </cell>
        </row>
        <row r="482">
          <cell r="A482" t="str">
            <v>362CA</v>
          </cell>
          <cell r="B482" t="str">
            <v>362</v>
          </cell>
          <cell r="D482">
            <v>24096108.758768409</v>
          </cell>
          <cell r="F482" t="str">
            <v>362CA</v>
          </cell>
          <cell r="G482" t="str">
            <v>362</v>
          </cell>
          <cell r="I482">
            <v>24096108.758768409</v>
          </cell>
        </row>
        <row r="483">
          <cell r="A483" t="str">
            <v>362ID</v>
          </cell>
          <cell r="B483" t="str">
            <v>362</v>
          </cell>
          <cell r="D483">
            <v>32283760.604215324</v>
          </cell>
          <cell r="F483" t="str">
            <v>362ID</v>
          </cell>
          <cell r="G483" t="str">
            <v>362</v>
          </cell>
          <cell r="I483">
            <v>32283760.604215324</v>
          </cell>
        </row>
        <row r="484">
          <cell r="A484" t="str">
            <v>362OR</v>
          </cell>
          <cell r="B484" t="str">
            <v>362</v>
          </cell>
          <cell r="D484">
            <v>228720101.40021902</v>
          </cell>
          <cell r="F484" t="str">
            <v>362OR</v>
          </cell>
          <cell r="G484" t="str">
            <v>362</v>
          </cell>
          <cell r="I484">
            <v>228720101.40021902</v>
          </cell>
        </row>
        <row r="485">
          <cell r="A485" t="str">
            <v>362UT</v>
          </cell>
          <cell r="B485" t="str">
            <v>362</v>
          </cell>
          <cell r="D485">
            <v>460967339.7220633</v>
          </cell>
          <cell r="F485" t="str">
            <v>362UT</v>
          </cell>
          <cell r="G485" t="str">
            <v>362</v>
          </cell>
          <cell r="I485">
            <v>460967339.7220633</v>
          </cell>
        </row>
        <row r="486">
          <cell r="A486" t="str">
            <v>362WA</v>
          </cell>
          <cell r="B486" t="str">
            <v>362</v>
          </cell>
          <cell r="D486">
            <v>51602601.952800237</v>
          </cell>
          <cell r="F486" t="str">
            <v>362WA</v>
          </cell>
          <cell r="G486" t="str">
            <v>362</v>
          </cell>
          <cell r="I486">
            <v>51602601.952800237</v>
          </cell>
        </row>
        <row r="487">
          <cell r="A487" t="str">
            <v>362WYP</v>
          </cell>
          <cell r="B487" t="str">
            <v>362</v>
          </cell>
          <cell r="D487">
            <v>118137392.41472851</v>
          </cell>
          <cell r="F487" t="str">
            <v>362WYP</v>
          </cell>
          <cell r="G487" t="str">
            <v>362</v>
          </cell>
          <cell r="I487">
            <v>118137392.41472851</v>
          </cell>
        </row>
        <row r="488">
          <cell r="A488" t="str">
            <v>362WYU</v>
          </cell>
          <cell r="B488" t="str">
            <v>362</v>
          </cell>
          <cell r="D488">
            <v>10267705.254615299</v>
          </cell>
          <cell r="F488" t="str">
            <v>362WYU</v>
          </cell>
          <cell r="G488" t="str">
            <v>362</v>
          </cell>
          <cell r="I488">
            <v>10267705.254615299</v>
          </cell>
        </row>
        <row r="489">
          <cell r="A489" t="str">
            <v>363UT</v>
          </cell>
          <cell r="B489" t="str">
            <v>363</v>
          </cell>
          <cell r="D489">
            <v>0</v>
          </cell>
          <cell r="F489" t="str">
            <v>363UT</v>
          </cell>
          <cell r="G489" t="str">
            <v>363</v>
          </cell>
          <cell r="I489">
            <v>0</v>
          </cell>
        </row>
        <row r="490">
          <cell r="A490" t="str">
            <v>364CA</v>
          </cell>
          <cell r="B490" t="str">
            <v>364</v>
          </cell>
          <cell r="D490">
            <v>59019978.675096713</v>
          </cell>
          <cell r="F490" t="str">
            <v>364CA</v>
          </cell>
          <cell r="G490" t="str">
            <v>364</v>
          </cell>
          <cell r="I490">
            <v>59019978.675096713</v>
          </cell>
        </row>
        <row r="491">
          <cell r="A491" t="str">
            <v>364ID</v>
          </cell>
          <cell r="B491" t="str">
            <v>364</v>
          </cell>
          <cell r="D491">
            <v>75966006.622193038</v>
          </cell>
          <cell r="F491" t="str">
            <v>364ID</v>
          </cell>
          <cell r="G491" t="str">
            <v>364</v>
          </cell>
          <cell r="I491">
            <v>75966006.622193038</v>
          </cell>
        </row>
        <row r="492">
          <cell r="A492" t="str">
            <v>364OR</v>
          </cell>
          <cell r="B492" t="str">
            <v>364</v>
          </cell>
          <cell r="D492">
            <v>349746153.53053248</v>
          </cell>
          <cell r="F492" t="str">
            <v>364OR</v>
          </cell>
          <cell r="G492" t="str">
            <v>364</v>
          </cell>
          <cell r="I492">
            <v>349746153.53053248</v>
          </cell>
        </row>
        <row r="493">
          <cell r="A493" t="str">
            <v>364UT</v>
          </cell>
          <cell r="B493" t="str">
            <v>364</v>
          </cell>
          <cell r="D493">
            <v>347528243.70670736</v>
          </cell>
          <cell r="F493" t="str">
            <v>364UT</v>
          </cell>
          <cell r="G493" t="str">
            <v>364</v>
          </cell>
          <cell r="I493">
            <v>347528243.70670736</v>
          </cell>
        </row>
        <row r="494">
          <cell r="A494" t="str">
            <v>364WA</v>
          </cell>
          <cell r="B494" t="str">
            <v>364</v>
          </cell>
          <cell r="D494">
            <v>97194719.559640408</v>
          </cell>
          <cell r="F494" t="str">
            <v>364WA</v>
          </cell>
          <cell r="G494" t="str">
            <v>364</v>
          </cell>
          <cell r="I494">
            <v>97194719.559640408</v>
          </cell>
        </row>
        <row r="495">
          <cell r="A495" t="str">
            <v>364WYP</v>
          </cell>
          <cell r="B495" t="str">
            <v>364</v>
          </cell>
          <cell r="D495">
            <v>111360991.29090017</v>
          </cell>
          <cell r="F495" t="str">
            <v>364WYP</v>
          </cell>
          <cell r="G495" t="str">
            <v>364</v>
          </cell>
          <cell r="I495">
            <v>111360991.29090017</v>
          </cell>
        </row>
        <row r="496">
          <cell r="A496" t="str">
            <v>364WYU</v>
          </cell>
          <cell r="B496" t="str">
            <v>364</v>
          </cell>
          <cell r="D496">
            <v>22089968.673076902</v>
          </cell>
          <cell r="F496" t="str">
            <v>364WYU</v>
          </cell>
          <cell r="G496" t="str">
            <v>364</v>
          </cell>
          <cell r="I496">
            <v>22089968.673076902</v>
          </cell>
        </row>
        <row r="497">
          <cell r="A497" t="str">
            <v>365CA</v>
          </cell>
          <cell r="B497" t="str">
            <v>365</v>
          </cell>
          <cell r="D497">
            <v>34319225.238189608</v>
          </cell>
          <cell r="F497" t="str">
            <v>365CA</v>
          </cell>
          <cell r="G497" t="str">
            <v>365</v>
          </cell>
          <cell r="I497">
            <v>34319225.238189608</v>
          </cell>
        </row>
        <row r="498">
          <cell r="A498" t="str">
            <v>365ID</v>
          </cell>
          <cell r="B498" t="str">
            <v>365</v>
          </cell>
          <cell r="D498">
            <v>37406177.196443036</v>
          </cell>
          <cell r="F498" t="str">
            <v>365ID</v>
          </cell>
          <cell r="G498" t="str">
            <v>365</v>
          </cell>
          <cell r="I498">
            <v>37406177.196443036</v>
          </cell>
        </row>
        <row r="499">
          <cell r="A499" t="str">
            <v>365OR</v>
          </cell>
          <cell r="B499" t="str">
            <v>365</v>
          </cell>
          <cell r="D499">
            <v>248212647.82669887</v>
          </cell>
          <cell r="F499" t="str">
            <v>365OR</v>
          </cell>
          <cell r="G499" t="str">
            <v>365</v>
          </cell>
          <cell r="I499">
            <v>248212647.82669887</v>
          </cell>
        </row>
        <row r="500">
          <cell r="A500" t="str">
            <v>365UT</v>
          </cell>
          <cell r="B500" t="str">
            <v>365</v>
          </cell>
          <cell r="D500">
            <v>227300937.27825716</v>
          </cell>
          <cell r="F500" t="str">
            <v>365UT</v>
          </cell>
          <cell r="G500" t="str">
            <v>365</v>
          </cell>
          <cell r="I500">
            <v>227300937.27825716</v>
          </cell>
        </row>
        <row r="501">
          <cell r="A501" t="str">
            <v>365WA</v>
          </cell>
          <cell r="B501" t="str">
            <v>365</v>
          </cell>
          <cell r="D501">
            <v>61653761.087695703</v>
          </cell>
          <cell r="F501" t="str">
            <v>365WA</v>
          </cell>
          <cell r="G501" t="str">
            <v>365</v>
          </cell>
          <cell r="I501">
            <v>61653761.087695703</v>
          </cell>
        </row>
        <row r="502">
          <cell r="A502" t="str">
            <v>365WYP</v>
          </cell>
          <cell r="B502" t="str">
            <v>365</v>
          </cell>
          <cell r="D502">
            <v>90095510.287665218</v>
          </cell>
          <cell r="F502" t="str">
            <v>365WYP</v>
          </cell>
          <cell r="G502" t="str">
            <v>365</v>
          </cell>
          <cell r="I502">
            <v>90095510.287665218</v>
          </cell>
        </row>
        <row r="503">
          <cell r="A503" t="str">
            <v>365WYU</v>
          </cell>
          <cell r="B503" t="str">
            <v>365</v>
          </cell>
          <cell r="D503">
            <v>12169513.683846099</v>
          </cell>
          <cell r="F503" t="str">
            <v>365WYU</v>
          </cell>
          <cell r="G503" t="str">
            <v>365</v>
          </cell>
          <cell r="I503">
            <v>12169513.683846099</v>
          </cell>
        </row>
        <row r="504">
          <cell r="A504" t="str">
            <v>366CA</v>
          </cell>
          <cell r="B504" t="str">
            <v>366</v>
          </cell>
          <cell r="D504">
            <v>16745483.054372281</v>
          </cell>
          <cell r="F504" t="str">
            <v>366CA</v>
          </cell>
          <cell r="G504" t="str">
            <v>366</v>
          </cell>
          <cell r="I504">
            <v>16745483.054372281</v>
          </cell>
        </row>
        <row r="505">
          <cell r="A505" t="str">
            <v>366ID</v>
          </cell>
          <cell r="B505" t="str">
            <v>366</v>
          </cell>
          <cell r="D505">
            <v>9421642.8652696759</v>
          </cell>
          <cell r="F505" t="str">
            <v>366ID</v>
          </cell>
          <cell r="G505" t="str">
            <v>366</v>
          </cell>
          <cell r="I505">
            <v>9421642.8652696759</v>
          </cell>
        </row>
        <row r="506">
          <cell r="A506" t="str">
            <v>366OR</v>
          </cell>
          <cell r="B506" t="str">
            <v>366</v>
          </cell>
          <cell r="D506">
            <v>90615640.320863441</v>
          </cell>
          <cell r="F506" t="str">
            <v>366OR</v>
          </cell>
          <cell r="G506" t="str">
            <v>366</v>
          </cell>
          <cell r="I506">
            <v>90615640.320863441</v>
          </cell>
        </row>
        <row r="507">
          <cell r="A507" t="str">
            <v>366UT</v>
          </cell>
          <cell r="B507" t="str">
            <v>366</v>
          </cell>
          <cell r="D507">
            <v>180027445.5603523</v>
          </cell>
          <cell r="F507" t="str">
            <v>366UT</v>
          </cell>
          <cell r="G507" t="str">
            <v>366</v>
          </cell>
          <cell r="I507">
            <v>180027445.5603523</v>
          </cell>
        </row>
        <row r="508">
          <cell r="A508" t="str">
            <v>366WA</v>
          </cell>
          <cell r="B508" t="str">
            <v>366</v>
          </cell>
          <cell r="D508">
            <v>17690727.414604403</v>
          </cell>
          <cell r="F508" t="str">
            <v>366WA</v>
          </cell>
          <cell r="G508" t="str">
            <v>366</v>
          </cell>
          <cell r="I508">
            <v>17690727.414604403</v>
          </cell>
        </row>
        <row r="509">
          <cell r="A509" t="str">
            <v>366WYP</v>
          </cell>
          <cell r="B509" t="str">
            <v>366</v>
          </cell>
          <cell r="D509">
            <v>18086460.25541307</v>
          </cell>
          <cell r="F509" t="str">
            <v>366WYP</v>
          </cell>
          <cell r="G509" t="str">
            <v>366</v>
          </cell>
          <cell r="I509">
            <v>18086460.25541307</v>
          </cell>
        </row>
        <row r="510">
          <cell r="A510" t="str">
            <v>366WYU</v>
          </cell>
          <cell r="B510" t="str">
            <v>366</v>
          </cell>
          <cell r="D510">
            <v>4028605.9623076902</v>
          </cell>
          <cell r="F510" t="str">
            <v>366WYU</v>
          </cell>
          <cell r="G510" t="str">
            <v>366</v>
          </cell>
          <cell r="I510">
            <v>4028605.9623076902</v>
          </cell>
        </row>
        <row r="511">
          <cell r="A511" t="str">
            <v>367CA</v>
          </cell>
          <cell r="B511" t="str">
            <v>367</v>
          </cell>
          <cell r="D511">
            <v>18912086.871312868</v>
          </cell>
          <cell r="F511" t="str">
            <v>367CA</v>
          </cell>
          <cell r="G511" t="str">
            <v>367</v>
          </cell>
          <cell r="I511">
            <v>18912086.871312868</v>
          </cell>
        </row>
        <row r="512">
          <cell r="A512" t="str">
            <v>367ID</v>
          </cell>
          <cell r="B512" t="str">
            <v>367</v>
          </cell>
          <cell r="D512">
            <v>27763337.711376473</v>
          </cell>
          <cell r="F512" t="str">
            <v>367ID</v>
          </cell>
          <cell r="G512" t="str">
            <v>367</v>
          </cell>
          <cell r="I512">
            <v>27763337.711376473</v>
          </cell>
        </row>
        <row r="513">
          <cell r="A513" t="str">
            <v>367OR</v>
          </cell>
          <cell r="B513" t="str">
            <v>367</v>
          </cell>
          <cell r="D513">
            <v>171369690.31717721</v>
          </cell>
          <cell r="F513" t="str">
            <v>367OR</v>
          </cell>
          <cell r="G513" t="str">
            <v>367</v>
          </cell>
          <cell r="I513">
            <v>171369690.31717721</v>
          </cell>
        </row>
        <row r="514">
          <cell r="A514" t="str">
            <v>367UT</v>
          </cell>
          <cell r="B514" t="str">
            <v>367</v>
          </cell>
          <cell r="D514">
            <v>492447044.19682282</v>
          </cell>
          <cell r="F514" t="str">
            <v>367UT</v>
          </cell>
          <cell r="G514" t="str">
            <v>367</v>
          </cell>
          <cell r="I514">
            <v>492447044.19682282</v>
          </cell>
        </row>
        <row r="515">
          <cell r="A515" t="str">
            <v>367WA</v>
          </cell>
          <cell r="B515" t="str">
            <v>367</v>
          </cell>
          <cell r="D515">
            <v>25825373.551931538</v>
          </cell>
          <cell r="F515" t="str">
            <v>367WA</v>
          </cell>
          <cell r="G515" t="str">
            <v>367</v>
          </cell>
          <cell r="I515">
            <v>25825373.551931538</v>
          </cell>
        </row>
        <row r="516">
          <cell r="A516" t="str">
            <v>367WYP</v>
          </cell>
          <cell r="B516" t="str">
            <v>367</v>
          </cell>
          <cell r="D516">
            <v>39659962.260487869</v>
          </cell>
          <cell r="F516" t="str">
            <v>367WYP</v>
          </cell>
          <cell r="G516" t="str">
            <v>367</v>
          </cell>
          <cell r="I516">
            <v>39659962.260487869</v>
          </cell>
        </row>
        <row r="517">
          <cell r="A517" t="str">
            <v>367WYU</v>
          </cell>
          <cell r="B517" t="str">
            <v>367</v>
          </cell>
          <cell r="D517">
            <v>16823757.273076899</v>
          </cell>
          <cell r="F517" t="str">
            <v>367WYU</v>
          </cell>
          <cell r="G517" t="str">
            <v>367</v>
          </cell>
          <cell r="I517">
            <v>16823757.273076899</v>
          </cell>
        </row>
        <row r="518">
          <cell r="A518" t="str">
            <v>368CA</v>
          </cell>
          <cell r="B518" t="str">
            <v>368</v>
          </cell>
          <cell r="D518">
            <v>51119782.083910584</v>
          </cell>
          <cell r="F518" t="str">
            <v>368CA</v>
          </cell>
          <cell r="G518" t="str">
            <v>368</v>
          </cell>
          <cell r="I518">
            <v>51119782.083910584</v>
          </cell>
        </row>
        <row r="519">
          <cell r="A519" t="str">
            <v>368ID</v>
          </cell>
          <cell r="B519" t="str">
            <v>368</v>
          </cell>
          <cell r="D519">
            <v>75579676.112609521</v>
          </cell>
          <cell r="F519" t="str">
            <v>368ID</v>
          </cell>
          <cell r="G519" t="str">
            <v>368</v>
          </cell>
          <cell r="I519">
            <v>75579676.112609521</v>
          </cell>
        </row>
        <row r="520">
          <cell r="A520" t="str">
            <v>368OR</v>
          </cell>
          <cell r="B520" t="str">
            <v>368</v>
          </cell>
          <cell r="D520">
            <v>416374543.86415642</v>
          </cell>
          <cell r="F520" t="str">
            <v>368OR</v>
          </cell>
          <cell r="G520" t="str">
            <v>368</v>
          </cell>
          <cell r="I520">
            <v>416374543.86415642</v>
          </cell>
        </row>
        <row r="521">
          <cell r="A521" t="str">
            <v>368UT</v>
          </cell>
          <cell r="B521" t="str">
            <v>368</v>
          </cell>
          <cell r="D521">
            <v>461359804.94726652</v>
          </cell>
          <cell r="F521" t="str">
            <v>368UT</v>
          </cell>
          <cell r="G521" t="str">
            <v>368</v>
          </cell>
          <cell r="I521">
            <v>461359804.94726652</v>
          </cell>
        </row>
        <row r="522">
          <cell r="A522" t="str">
            <v>368WA</v>
          </cell>
          <cell r="B522" t="str">
            <v>368</v>
          </cell>
          <cell r="D522">
            <v>104429211.23779628</v>
          </cell>
          <cell r="F522" t="str">
            <v>368WA</v>
          </cell>
          <cell r="G522" t="str">
            <v>368</v>
          </cell>
          <cell r="I522">
            <v>104429211.23779628</v>
          </cell>
        </row>
        <row r="523">
          <cell r="A523" t="str">
            <v>368WYP</v>
          </cell>
          <cell r="B523" t="str">
            <v>368</v>
          </cell>
          <cell r="D523">
            <v>95219868.458175912</v>
          </cell>
          <cell r="F523" t="str">
            <v>368WYP</v>
          </cell>
          <cell r="G523" t="str">
            <v>368</v>
          </cell>
          <cell r="I523">
            <v>95219868.458175912</v>
          </cell>
        </row>
        <row r="524">
          <cell r="A524" t="str">
            <v>368WYU</v>
          </cell>
          <cell r="B524" t="str">
            <v>368</v>
          </cell>
          <cell r="D524">
            <v>13455937.693846099</v>
          </cell>
          <cell r="F524" t="str">
            <v>368WYU</v>
          </cell>
          <cell r="G524" t="str">
            <v>368</v>
          </cell>
          <cell r="I524">
            <v>13455937.693846099</v>
          </cell>
        </row>
        <row r="525">
          <cell r="A525" t="str">
            <v>369CA</v>
          </cell>
          <cell r="B525" t="str">
            <v>369</v>
          </cell>
          <cell r="D525">
            <v>24838719.677021515</v>
          </cell>
          <cell r="F525" t="str">
            <v>369CA</v>
          </cell>
          <cell r="G525" t="str">
            <v>369</v>
          </cell>
          <cell r="I525">
            <v>24838719.677021515</v>
          </cell>
        </row>
        <row r="526">
          <cell r="A526" t="str">
            <v>369ID</v>
          </cell>
          <cell r="B526" t="str">
            <v>369</v>
          </cell>
          <cell r="D526">
            <v>34047389.627105139</v>
          </cell>
          <cell r="F526" t="str">
            <v>369ID</v>
          </cell>
          <cell r="G526" t="str">
            <v>369</v>
          </cell>
          <cell r="I526">
            <v>34047389.627105139</v>
          </cell>
        </row>
        <row r="527">
          <cell r="A527" t="str">
            <v>369OR</v>
          </cell>
          <cell r="B527" t="str">
            <v>369</v>
          </cell>
          <cell r="D527">
            <v>241077006.8446402</v>
          </cell>
          <cell r="F527" t="str">
            <v>369OR</v>
          </cell>
          <cell r="G527" t="str">
            <v>369</v>
          </cell>
          <cell r="I527">
            <v>241077006.8446402</v>
          </cell>
        </row>
        <row r="528">
          <cell r="A528" t="str">
            <v>369UT</v>
          </cell>
          <cell r="B528" t="str">
            <v>369</v>
          </cell>
          <cell r="D528">
            <v>247394867.67844629</v>
          </cell>
          <cell r="F528" t="str">
            <v>369UT</v>
          </cell>
          <cell r="G528" t="str">
            <v>369</v>
          </cell>
          <cell r="I528">
            <v>247394867.67844629</v>
          </cell>
        </row>
        <row r="529">
          <cell r="A529" t="str">
            <v>369WA</v>
          </cell>
          <cell r="B529" t="str">
            <v>369</v>
          </cell>
          <cell r="D529">
            <v>55430045.768638365</v>
          </cell>
          <cell r="F529" t="str">
            <v>369WA</v>
          </cell>
          <cell r="G529" t="str">
            <v>369</v>
          </cell>
          <cell r="I529">
            <v>55430045.768638365</v>
          </cell>
        </row>
        <row r="530">
          <cell r="A530" t="str">
            <v>369WYP</v>
          </cell>
          <cell r="B530" t="str">
            <v>369</v>
          </cell>
          <cell r="D530">
            <v>45648008.259754933</v>
          </cell>
          <cell r="F530" t="str">
            <v>369WYP</v>
          </cell>
          <cell r="G530" t="str">
            <v>369</v>
          </cell>
          <cell r="I530">
            <v>45648008.259754933</v>
          </cell>
        </row>
        <row r="531">
          <cell r="A531" t="str">
            <v>369WYU</v>
          </cell>
          <cell r="B531" t="str">
            <v>369</v>
          </cell>
          <cell r="D531">
            <v>10828265.35</v>
          </cell>
          <cell r="F531" t="str">
            <v>369WYU</v>
          </cell>
          <cell r="G531" t="str">
            <v>369</v>
          </cell>
          <cell r="I531">
            <v>10828265.35</v>
          </cell>
        </row>
        <row r="532">
          <cell r="A532" t="str">
            <v>370CA</v>
          </cell>
          <cell r="B532" t="str">
            <v>370</v>
          </cell>
          <cell r="D532">
            <v>4346929.3188201403</v>
          </cell>
          <cell r="F532" t="str">
            <v>370CA</v>
          </cell>
          <cell r="G532" t="str">
            <v>370</v>
          </cell>
          <cell r="I532">
            <v>4346929.3188201403</v>
          </cell>
        </row>
        <row r="533">
          <cell r="A533" t="str">
            <v>370ID</v>
          </cell>
          <cell r="B533" t="str">
            <v>370</v>
          </cell>
          <cell r="D533">
            <v>14167580.484393451</v>
          </cell>
          <cell r="F533" t="str">
            <v>370ID</v>
          </cell>
          <cell r="G533" t="str">
            <v>370</v>
          </cell>
          <cell r="I533">
            <v>14167580.484393451</v>
          </cell>
        </row>
        <row r="534">
          <cell r="A534" t="str">
            <v>370OR</v>
          </cell>
          <cell r="B534" t="str">
            <v>370</v>
          </cell>
          <cell r="D534">
            <v>62090541.130480438</v>
          </cell>
          <cell r="F534" t="str">
            <v>370OR</v>
          </cell>
          <cell r="G534" t="str">
            <v>370</v>
          </cell>
          <cell r="I534">
            <v>62090541.130480438</v>
          </cell>
        </row>
        <row r="535">
          <cell r="A535" t="str">
            <v>370UT</v>
          </cell>
          <cell r="B535" t="str">
            <v>370</v>
          </cell>
          <cell r="D535">
            <v>77249232.033496663</v>
          </cell>
          <cell r="F535" t="str">
            <v>370UT</v>
          </cell>
          <cell r="G535" t="str">
            <v>370</v>
          </cell>
          <cell r="I535">
            <v>77249232.033496663</v>
          </cell>
        </row>
        <row r="536">
          <cell r="A536" t="str">
            <v>370WA</v>
          </cell>
          <cell r="B536" t="str">
            <v>370</v>
          </cell>
          <cell r="D536">
            <v>12129940.744560357</v>
          </cell>
          <cell r="F536" t="str">
            <v>370WA</v>
          </cell>
          <cell r="G536" t="str">
            <v>370</v>
          </cell>
          <cell r="I536">
            <v>12129940.744560357</v>
          </cell>
        </row>
        <row r="537">
          <cell r="A537" t="str">
            <v>370WYP</v>
          </cell>
          <cell r="B537" t="str">
            <v>370</v>
          </cell>
          <cell r="D537">
            <v>13145657.749573275</v>
          </cell>
          <cell r="F537" t="str">
            <v>370WYP</v>
          </cell>
          <cell r="G537" t="str">
            <v>370</v>
          </cell>
          <cell r="I537">
            <v>13145657.749573275</v>
          </cell>
        </row>
        <row r="538">
          <cell r="A538" t="str">
            <v>370WYU</v>
          </cell>
          <cell r="B538" t="str">
            <v>370</v>
          </cell>
          <cell r="D538">
            <v>2165959.2569230702</v>
          </cell>
          <cell r="F538" t="str">
            <v>370WYU</v>
          </cell>
          <cell r="G538" t="str">
            <v>370</v>
          </cell>
          <cell r="I538">
            <v>2165959.2569230702</v>
          </cell>
        </row>
        <row r="539">
          <cell r="A539" t="str">
            <v>371CA</v>
          </cell>
          <cell r="B539" t="str">
            <v>371</v>
          </cell>
          <cell r="D539">
            <v>288055.87827915582</v>
          </cell>
          <cell r="F539" t="str">
            <v>371CA</v>
          </cell>
          <cell r="G539" t="str">
            <v>371</v>
          </cell>
          <cell r="I539">
            <v>288055.87827915582</v>
          </cell>
        </row>
        <row r="540">
          <cell r="A540" t="str">
            <v>371ID</v>
          </cell>
          <cell r="B540" t="str">
            <v>371</v>
          </cell>
          <cell r="D540">
            <v>200121.5638309104</v>
          </cell>
          <cell r="F540" t="str">
            <v>371ID</v>
          </cell>
          <cell r="G540" t="str">
            <v>371</v>
          </cell>
          <cell r="I540">
            <v>200121.5638309104</v>
          </cell>
        </row>
        <row r="541">
          <cell r="A541" t="str">
            <v>371OR</v>
          </cell>
          <cell r="B541" t="str">
            <v>371</v>
          </cell>
          <cell r="D541">
            <v>2645441.0356743094</v>
          </cell>
          <cell r="F541" t="str">
            <v>371OR</v>
          </cell>
          <cell r="G541" t="str">
            <v>371</v>
          </cell>
          <cell r="I541">
            <v>2645441.0356743094</v>
          </cell>
        </row>
        <row r="542">
          <cell r="A542" t="str">
            <v>371UT</v>
          </cell>
          <cell r="B542" t="str">
            <v>371</v>
          </cell>
          <cell r="D542">
            <v>4572361.285618715</v>
          </cell>
          <cell r="F542" t="str">
            <v>371UT</v>
          </cell>
          <cell r="G542" t="str">
            <v>371</v>
          </cell>
          <cell r="I542">
            <v>4572361.285618715</v>
          </cell>
        </row>
        <row r="543">
          <cell r="A543" t="str">
            <v>371WA</v>
          </cell>
          <cell r="B543" t="str">
            <v>371</v>
          </cell>
          <cell r="D543">
            <v>549552.09790379391</v>
          </cell>
          <cell r="F543" t="str">
            <v>371WA</v>
          </cell>
          <cell r="G543" t="str">
            <v>371</v>
          </cell>
          <cell r="I543">
            <v>549552.09790379391</v>
          </cell>
        </row>
        <row r="544">
          <cell r="A544" t="str">
            <v>371WYP</v>
          </cell>
          <cell r="B544" t="str">
            <v>371</v>
          </cell>
          <cell r="D544">
            <v>849051.74840953713</v>
          </cell>
          <cell r="F544" t="str">
            <v>371WYP</v>
          </cell>
          <cell r="G544" t="str">
            <v>371</v>
          </cell>
          <cell r="I544">
            <v>849051.74840953713</v>
          </cell>
        </row>
        <row r="545">
          <cell r="A545" t="str">
            <v>371WYU</v>
          </cell>
          <cell r="B545" t="str">
            <v>371</v>
          </cell>
          <cell r="D545">
            <v>151527.82999999999</v>
          </cell>
          <cell r="F545" t="str">
            <v>371WYU</v>
          </cell>
          <cell r="G545" t="str">
            <v>371</v>
          </cell>
          <cell r="I545">
            <v>151527.82999999999</v>
          </cell>
        </row>
        <row r="546">
          <cell r="A546" t="str">
            <v>373CA</v>
          </cell>
          <cell r="B546" t="str">
            <v>373</v>
          </cell>
          <cell r="D546">
            <v>814489.58416397253</v>
          </cell>
          <cell r="F546" t="str">
            <v>373CA</v>
          </cell>
          <cell r="G546" t="str">
            <v>373</v>
          </cell>
          <cell r="I546">
            <v>814489.58416397253</v>
          </cell>
        </row>
        <row r="547">
          <cell r="A547" t="str">
            <v>373ID</v>
          </cell>
          <cell r="B547" t="str">
            <v>373</v>
          </cell>
          <cell r="D547">
            <v>847681.61918142787</v>
          </cell>
          <cell r="F547" t="str">
            <v>373ID</v>
          </cell>
          <cell r="G547" t="str">
            <v>373</v>
          </cell>
          <cell r="I547">
            <v>847681.61918142787</v>
          </cell>
        </row>
        <row r="548">
          <cell r="A548" t="str">
            <v>373OR</v>
          </cell>
          <cell r="B548" t="str">
            <v>373</v>
          </cell>
          <cell r="D548">
            <v>23272679.397021733</v>
          </cell>
          <cell r="F548" t="str">
            <v>373OR</v>
          </cell>
          <cell r="G548" t="str">
            <v>373</v>
          </cell>
          <cell r="I548">
            <v>23272679.397021733</v>
          </cell>
        </row>
        <row r="549">
          <cell r="A549" t="str">
            <v>373UT</v>
          </cell>
          <cell r="B549" t="str">
            <v>373</v>
          </cell>
          <cell r="D549">
            <v>24417796.74786067</v>
          </cell>
          <cell r="F549" t="str">
            <v>373UT</v>
          </cell>
          <cell r="G549" t="str">
            <v>373</v>
          </cell>
          <cell r="I549">
            <v>24417796.74786067</v>
          </cell>
        </row>
        <row r="550">
          <cell r="A550" t="str">
            <v>373WA</v>
          </cell>
          <cell r="B550" t="str">
            <v>373</v>
          </cell>
          <cell r="D550">
            <v>4325403.6830132268</v>
          </cell>
          <cell r="F550" t="str">
            <v>373WA</v>
          </cell>
          <cell r="G550" t="str">
            <v>373</v>
          </cell>
          <cell r="I550">
            <v>4325403.6830132268</v>
          </cell>
        </row>
        <row r="551">
          <cell r="A551" t="str">
            <v>373WYP</v>
          </cell>
          <cell r="B551" t="str">
            <v>373</v>
          </cell>
          <cell r="D551">
            <v>8253405.1804798516</v>
          </cell>
          <cell r="F551" t="str">
            <v>373WYP</v>
          </cell>
          <cell r="G551" t="str">
            <v>373</v>
          </cell>
          <cell r="I551">
            <v>8253405.1804798516</v>
          </cell>
        </row>
        <row r="552">
          <cell r="A552" t="str">
            <v>373WYU</v>
          </cell>
          <cell r="B552" t="str">
            <v>373</v>
          </cell>
          <cell r="D552">
            <v>2235873.89846153</v>
          </cell>
          <cell r="F552" t="str">
            <v>373WYU</v>
          </cell>
          <cell r="G552" t="str">
            <v>373</v>
          </cell>
          <cell r="I552">
            <v>2235873.89846153</v>
          </cell>
        </row>
        <row r="553">
          <cell r="A553" t="str">
            <v>389CA</v>
          </cell>
          <cell r="B553" t="str">
            <v>389</v>
          </cell>
          <cell r="D553">
            <v>635804.36</v>
          </cell>
          <cell r="F553" t="str">
            <v>389CA</v>
          </cell>
          <cell r="G553" t="str">
            <v>389</v>
          </cell>
          <cell r="I553">
            <v>635804.36</v>
          </cell>
        </row>
        <row r="554">
          <cell r="A554" t="str">
            <v>389CN</v>
          </cell>
          <cell r="B554" t="str">
            <v>389</v>
          </cell>
          <cell r="D554">
            <v>1128505.79</v>
          </cell>
          <cell r="F554" t="str">
            <v>389CN</v>
          </cell>
          <cell r="G554" t="str">
            <v>389</v>
          </cell>
          <cell r="I554">
            <v>1128505.79</v>
          </cell>
        </row>
        <row r="555">
          <cell r="A555" t="str">
            <v>389DGU</v>
          </cell>
          <cell r="B555" t="str">
            <v>389</v>
          </cell>
          <cell r="D555">
            <v>332.32</v>
          </cell>
          <cell r="F555" t="str">
            <v>389DGU</v>
          </cell>
          <cell r="G555" t="str">
            <v>389</v>
          </cell>
          <cell r="I555">
            <v>332.32</v>
          </cell>
        </row>
        <row r="556">
          <cell r="A556" t="str">
            <v>389ID</v>
          </cell>
          <cell r="B556" t="str">
            <v>389</v>
          </cell>
          <cell r="D556">
            <v>197638.82</v>
          </cell>
          <cell r="F556" t="str">
            <v>389ID</v>
          </cell>
          <cell r="G556" t="str">
            <v>389</v>
          </cell>
          <cell r="I556">
            <v>197638.82</v>
          </cell>
        </row>
        <row r="557">
          <cell r="A557" t="str">
            <v>389OR</v>
          </cell>
          <cell r="B557" t="str">
            <v>389</v>
          </cell>
          <cell r="D557">
            <v>4604092.7007692298</v>
          </cell>
          <cell r="F557" t="str">
            <v>389OR</v>
          </cell>
          <cell r="G557" t="str">
            <v>389</v>
          </cell>
          <cell r="I557">
            <v>4604092.7007692298</v>
          </cell>
        </row>
        <row r="558">
          <cell r="A558" t="str">
            <v>389SG</v>
          </cell>
          <cell r="B558" t="str">
            <v>389</v>
          </cell>
          <cell r="D558">
            <v>1227.55</v>
          </cell>
          <cell r="F558" t="str">
            <v>389SG</v>
          </cell>
          <cell r="G558" t="str">
            <v>389</v>
          </cell>
          <cell r="I558">
            <v>1227.55</v>
          </cell>
        </row>
        <row r="559">
          <cell r="A559" t="str">
            <v>389SO</v>
          </cell>
          <cell r="B559" t="str">
            <v>389</v>
          </cell>
          <cell r="D559">
            <v>5596700.2199999997</v>
          </cell>
          <cell r="F559" t="str">
            <v>389SO</v>
          </cell>
          <cell r="G559" t="str">
            <v>389</v>
          </cell>
          <cell r="I559">
            <v>5596700.2199999997</v>
          </cell>
        </row>
        <row r="560">
          <cell r="A560" t="str">
            <v>389UT</v>
          </cell>
          <cell r="B560" t="str">
            <v>389</v>
          </cell>
          <cell r="D560">
            <v>4068287.04</v>
          </cell>
          <cell r="F560" t="str">
            <v>389UT</v>
          </cell>
          <cell r="G560" t="str">
            <v>389</v>
          </cell>
          <cell r="I560">
            <v>4068287.04</v>
          </cell>
        </row>
        <row r="561">
          <cell r="A561" t="str">
            <v>389WA</v>
          </cell>
          <cell r="B561" t="str">
            <v>389</v>
          </cell>
          <cell r="D561">
            <v>1098826.3500000001</v>
          </cell>
          <cell r="F561" t="str">
            <v>389WA</v>
          </cell>
          <cell r="G561" t="str">
            <v>389</v>
          </cell>
          <cell r="I561">
            <v>1098826.3500000001</v>
          </cell>
        </row>
        <row r="562">
          <cell r="A562" t="str">
            <v>389WYP</v>
          </cell>
          <cell r="B562" t="str">
            <v>389</v>
          </cell>
          <cell r="D562">
            <v>1469218.25</v>
          </cell>
          <cell r="F562" t="str">
            <v>389WYP</v>
          </cell>
          <cell r="G562" t="str">
            <v>389</v>
          </cell>
          <cell r="I562">
            <v>1469218.25</v>
          </cell>
        </row>
        <row r="563">
          <cell r="A563" t="str">
            <v>389WYU</v>
          </cell>
          <cell r="B563" t="str">
            <v>389</v>
          </cell>
          <cell r="D563">
            <v>677197.61</v>
          </cell>
          <cell r="F563" t="str">
            <v>389WYU</v>
          </cell>
          <cell r="G563" t="str">
            <v>389</v>
          </cell>
          <cell r="I563">
            <v>677197.61</v>
          </cell>
        </row>
        <row r="564">
          <cell r="A564" t="str">
            <v>390CA</v>
          </cell>
          <cell r="B564" t="str">
            <v>390</v>
          </cell>
          <cell r="D564">
            <v>2417910.7130769198</v>
          </cell>
          <cell r="F564" t="str">
            <v>390CA</v>
          </cell>
          <cell r="G564" t="str">
            <v>390</v>
          </cell>
          <cell r="I564">
            <v>2417910.7130769198</v>
          </cell>
        </row>
        <row r="565">
          <cell r="A565" t="str">
            <v>390CN</v>
          </cell>
          <cell r="B565" t="str">
            <v>390</v>
          </cell>
          <cell r="D565">
            <v>11819260.8946153</v>
          </cell>
          <cell r="F565" t="str">
            <v>390CN</v>
          </cell>
          <cell r="G565" t="str">
            <v>390</v>
          </cell>
          <cell r="I565">
            <v>11819260.8946153</v>
          </cell>
        </row>
        <row r="566">
          <cell r="A566" t="str">
            <v>390DGP</v>
          </cell>
          <cell r="B566" t="str">
            <v>390</v>
          </cell>
          <cell r="D566">
            <v>350179.75615384598</v>
          </cell>
          <cell r="F566" t="str">
            <v>390DGP</v>
          </cell>
          <cell r="G566" t="str">
            <v>390</v>
          </cell>
          <cell r="I566">
            <v>350179.75615384598</v>
          </cell>
        </row>
        <row r="567">
          <cell r="A567" t="str">
            <v>390DGU</v>
          </cell>
          <cell r="B567" t="str">
            <v>390</v>
          </cell>
          <cell r="D567">
            <v>1633646.4546153799</v>
          </cell>
          <cell r="F567" t="str">
            <v>390DGU</v>
          </cell>
          <cell r="G567" t="str">
            <v>390</v>
          </cell>
          <cell r="I567">
            <v>1633646.4546153799</v>
          </cell>
        </row>
        <row r="568">
          <cell r="A568" t="str">
            <v>390ID</v>
          </cell>
          <cell r="B568" t="str">
            <v>390</v>
          </cell>
          <cell r="D568">
            <v>10301591.4284615</v>
          </cell>
          <cell r="F568" t="str">
            <v>390ID</v>
          </cell>
          <cell r="G568" t="str">
            <v>390</v>
          </cell>
          <cell r="I568">
            <v>10301591.4284615</v>
          </cell>
        </row>
        <row r="569">
          <cell r="A569" t="str">
            <v>390OR</v>
          </cell>
          <cell r="B569" t="str">
            <v>390</v>
          </cell>
          <cell r="D569">
            <v>34344959.540769197</v>
          </cell>
          <cell r="F569" t="str">
            <v>390OR</v>
          </cell>
          <cell r="G569" t="str">
            <v>390</v>
          </cell>
          <cell r="I569">
            <v>34344959.540769197</v>
          </cell>
        </row>
        <row r="570">
          <cell r="A570" t="str">
            <v>390SE</v>
          </cell>
          <cell r="B570" t="str">
            <v>390</v>
          </cell>
          <cell r="D570">
            <v>5490.4615384615299</v>
          </cell>
          <cell r="F570" t="str">
            <v>390SE</v>
          </cell>
          <cell r="G570" t="str">
            <v>390</v>
          </cell>
          <cell r="I570">
            <v>5490.4615384615299</v>
          </cell>
        </row>
        <row r="571">
          <cell r="A571" t="str">
            <v>390SG</v>
          </cell>
          <cell r="B571" t="str">
            <v>390</v>
          </cell>
          <cell r="D571">
            <v>5311283.54</v>
          </cell>
          <cell r="F571" t="str">
            <v>390SG</v>
          </cell>
          <cell r="G571" t="str">
            <v>390</v>
          </cell>
          <cell r="I571">
            <v>5311283.54</v>
          </cell>
        </row>
        <row r="572">
          <cell r="A572" t="str">
            <v>390SO</v>
          </cell>
          <cell r="B572" t="str">
            <v>390</v>
          </cell>
          <cell r="D572">
            <v>97921401.561538398</v>
          </cell>
          <cell r="F572" t="str">
            <v>390SO</v>
          </cell>
          <cell r="G572" t="str">
            <v>390</v>
          </cell>
          <cell r="I572">
            <v>97921401.561538398</v>
          </cell>
        </row>
        <row r="573">
          <cell r="A573" t="str">
            <v>390UT</v>
          </cell>
          <cell r="B573" t="str">
            <v>390</v>
          </cell>
          <cell r="D573">
            <v>40969856.670000002</v>
          </cell>
          <cell r="F573" t="str">
            <v>390UT</v>
          </cell>
          <cell r="G573" t="str">
            <v>390</v>
          </cell>
          <cell r="I573">
            <v>40969856.670000002</v>
          </cell>
        </row>
        <row r="574">
          <cell r="A574" t="str">
            <v>390WA</v>
          </cell>
          <cell r="B574" t="str">
            <v>390</v>
          </cell>
          <cell r="D574">
            <v>13564932.5076923</v>
          </cell>
          <cell r="F574" t="str">
            <v>390WA</v>
          </cell>
          <cell r="G574" t="str">
            <v>390</v>
          </cell>
          <cell r="I574">
            <v>13564932.5076923</v>
          </cell>
        </row>
        <row r="575">
          <cell r="A575" t="str">
            <v>390WYP</v>
          </cell>
          <cell r="B575" t="str">
            <v>390</v>
          </cell>
          <cell r="D575">
            <v>10952194.349230699</v>
          </cell>
          <cell r="F575" t="str">
            <v>390WYP</v>
          </cell>
          <cell r="G575" t="str">
            <v>390</v>
          </cell>
          <cell r="I575">
            <v>10952194.349230699</v>
          </cell>
        </row>
        <row r="576">
          <cell r="A576" t="str">
            <v>390WYU</v>
          </cell>
          <cell r="B576" t="str">
            <v>390</v>
          </cell>
          <cell r="D576">
            <v>3336134.6676922999</v>
          </cell>
          <cell r="F576" t="str">
            <v>390WYU</v>
          </cell>
          <cell r="G576" t="str">
            <v>390</v>
          </cell>
          <cell r="I576">
            <v>3336134.6676922999</v>
          </cell>
        </row>
        <row r="577">
          <cell r="A577" t="str">
            <v>391CA</v>
          </cell>
          <cell r="B577" t="str">
            <v>391</v>
          </cell>
          <cell r="D577">
            <v>267246.73692307598</v>
          </cell>
          <cell r="F577" t="str">
            <v>391CA</v>
          </cell>
          <cell r="G577" t="str">
            <v>391</v>
          </cell>
          <cell r="I577">
            <v>267246.73692307598</v>
          </cell>
        </row>
        <row r="578">
          <cell r="A578" t="str">
            <v>391CN</v>
          </cell>
          <cell r="B578" t="str">
            <v>391</v>
          </cell>
          <cell r="D578">
            <v>8440360.8576922994</v>
          </cell>
          <cell r="F578" t="str">
            <v>391CN</v>
          </cell>
          <cell r="G578" t="str">
            <v>391</v>
          </cell>
          <cell r="I578">
            <v>8440360.8576922994</v>
          </cell>
        </row>
        <row r="579">
          <cell r="A579" t="str">
            <v>391DGP</v>
          </cell>
          <cell r="B579" t="str">
            <v>391</v>
          </cell>
          <cell r="D579">
            <v>0</v>
          </cell>
          <cell r="F579" t="str">
            <v>391DGP</v>
          </cell>
          <cell r="G579" t="str">
            <v>391</v>
          </cell>
          <cell r="I579">
            <v>0</v>
          </cell>
        </row>
        <row r="580">
          <cell r="A580" t="str">
            <v>391DGU</v>
          </cell>
          <cell r="B580" t="str">
            <v>391</v>
          </cell>
          <cell r="D580">
            <v>2851.2184615384599</v>
          </cell>
          <cell r="F580" t="str">
            <v>391DGU</v>
          </cell>
          <cell r="G580" t="str">
            <v>391</v>
          </cell>
          <cell r="I580">
            <v>2851.2184615384599</v>
          </cell>
        </row>
        <row r="581">
          <cell r="A581" t="str">
            <v>391ID</v>
          </cell>
          <cell r="B581" t="str">
            <v>391</v>
          </cell>
          <cell r="D581">
            <v>695831.83692307596</v>
          </cell>
          <cell r="F581" t="str">
            <v>391ID</v>
          </cell>
          <cell r="G581" t="str">
            <v>391</v>
          </cell>
          <cell r="I581">
            <v>695831.83692307596</v>
          </cell>
        </row>
        <row r="582">
          <cell r="A582" t="str">
            <v>391OR</v>
          </cell>
          <cell r="B582" t="str">
            <v>391</v>
          </cell>
          <cell r="D582">
            <v>3354162.26692307</v>
          </cell>
          <cell r="F582" t="str">
            <v>391OR</v>
          </cell>
          <cell r="G582" t="str">
            <v>391</v>
          </cell>
          <cell r="I582">
            <v>3354162.26692307</v>
          </cell>
        </row>
        <row r="583">
          <cell r="A583" t="str">
            <v>391SE</v>
          </cell>
          <cell r="B583" t="str">
            <v>391</v>
          </cell>
          <cell r="D583">
            <v>41266.306153846097</v>
          </cell>
          <cell r="F583" t="str">
            <v>391SE</v>
          </cell>
          <cell r="G583" t="str">
            <v>391</v>
          </cell>
          <cell r="I583">
            <v>41266.306153846097</v>
          </cell>
        </row>
        <row r="584">
          <cell r="A584" t="str">
            <v>391SG</v>
          </cell>
          <cell r="B584" t="str">
            <v>391</v>
          </cell>
          <cell r="D584">
            <v>4690934.90076923</v>
          </cell>
          <cell r="F584" t="str">
            <v>391SG</v>
          </cell>
          <cell r="G584" t="str">
            <v>391</v>
          </cell>
          <cell r="I584">
            <v>4690934.90076923</v>
          </cell>
        </row>
        <row r="585">
          <cell r="A585" t="str">
            <v>391SO</v>
          </cell>
          <cell r="B585" t="str">
            <v>391</v>
          </cell>
          <cell r="D585">
            <v>58972349.812307604</v>
          </cell>
          <cell r="F585" t="str">
            <v>391SO</v>
          </cell>
          <cell r="G585" t="str">
            <v>391</v>
          </cell>
          <cell r="I585">
            <v>58972349.812307604</v>
          </cell>
        </row>
        <row r="586">
          <cell r="A586" t="str">
            <v>391SSGCH</v>
          </cell>
          <cell r="B586" t="str">
            <v>391</v>
          </cell>
          <cell r="D586">
            <v>90667.14</v>
          </cell>
          <cell r="F586" t="str">
            <v>391SSGCH</v>
          </cell>
          <cell r="G586" t="str">
            <v>391</v>
          </cell>
          <cell r="I586">
            <v>90667.14</v>
          </cell>
        </row>
        <row r="587">
          <cell r="A587" t="str">
            <v>391UT</v>
          </cell>
          <cell r="B587" t="str">
            <v>391</v>
          </cell>
          <cell r="D587">
            <v>2842402.33923076</v>
          </cell>
          <cell r="F587" t="str">
            <v>391UT</v>
          </cell>
          <cell r="G587" t="str">
            <v>391</v>
          </cell>
          <cell r="I587">
            <v>2842402.33923076</v>
          </cell>
        </row>
        <row r="588">
          <cell r="A588" t="str">
            <v>391WA</v>
          </cell>
          <cell r="B588" t="str">
            <v>391</v>
          </cell>
          <cell r="D588">
            <v>1298370.9692307599</v>
          </cell>
          <cell r="F588" t="str">
            <v>391WA</v>
          </cell>
          <cell r="G588" t="str">
            <v>391</v>
          </cell>
          <cell r="I588">
            <v>1298370.9692307599</v>
          </cell>
        </row>
        <row r="589">
          <cell r="A589" t="str">
            <v>391WYP</v>
          </cell>
          <cell r="B589" t="str">
            <v>391</v>
          </cell>
          <cell r="D589">
            <v>2866856.0276922998</v>
          </cell>
          <cell r="F589" t="str">
            <v>391WYP</v>
          </cell>
          <cell r="G589" t="str">
            <v>391</v>
          </cell>
          <cell r="I589">
            <v>2866856.0276922998</v>
          </cell>
        </row>
        <row r="590">
          <cell r="A590" t="str">
            <v>391WYU</v>
          </cell>
          <cell r="B590" t="str">
            <v>391</v>
          </cell>
          <cell r="D590">
            <v>124207.88153846101</v>
          </cell>
          <cell r="F590" t="str">
            <v>391WYU</v>
          </cell>
          <cell r="G590" t="str">
            <v>391</v>
          </cell>
          <cell r="I590">
            <v>124207.88153846101</v>
          </cell>
        </row>
        <row r="591">
          <cell r="A591" t="str">
            <v>392CA</v>
          </cell>
          <cell r="B591" t="str">
            <v>392</v>
          </cell>
          <cell r="D591">
            <v>2174959.2523076902</v>
          </cell>
          <cell r="F591" t="str">
            <v>392CA</v>
          </cell>
          <cell r="G591" t="str">
            <v>392</v>
          </cell>
          <cell r="I591">
            <v>2174959.2523076902</v>
          </cell>
        </row>
        <row r="592">
          <cell r="A592" t="str">
            <v>392DGP</v>
          </cell>
          <cell r="B592" t="str">
            <v>392</v>
          </cell>
          <cell r="D592">
            <v>118591.074615384</v>
          </cell>
          <cell r="F592" t="str">
            <v>392DGP</v>
          </cell>
          <cell r="G592" t="str">
            <v>392</v>
          </cell>
          <cell r="I592">
            <v>118591.074615384</v>
          </cell>
        </row>
        <row r="593">
          <cell r="A593" t="str">
            <v>392DGU</v>
          </cell>
          <cell r="B593" t="str">
            <v>392</v>
          </cell>
          <cell r="D593">
            <v>725089.2</v>
          </cell>
          <cell r="F593" t="str">
            <v>392DGU</v>
          </cell>
          <cell r="G593" t="str">
            <v>392</v>
          </cell>
          <cell r="I593">
            <v>725089.2</v>
          </cell>
        </row>
        <row r="594">
          <cell r="A594" t="str">
            <v>392ID</v>
          </cell>
          <cell r="B594" t="str">
            <v>392</v>
          </cell>
          <cell r="D594">
            <v>5277191.7238461496</v>
          </cell>
          <cell r="F594" t="str">
            <v>392ID</v>
          </cell>
          <cell r="G594" t="str">
            <v>392</v>
          </cell>
          <cell r="I594">
            <v>5277191.7238461496</v>
          </cell>
        </row>
        <row r="595">
          <cell r="A595" t="str">
            <v>392OR</v>
          </cell>
          <cell r="B595" t="str">
            <v>392</v>
          </cell>
          <cell r="D595">
            <v>22591686.91</v>
          </cell>
          <cell r="F595" t="str">
            <v>392OR</v>
          </cell>
          <cell r="G595" t="str">
            <v>392</v>
          </cell>
          <cell r="I595">
            <v>22591686.91</v>
          </cell>
        </row>
        <row r="596">
          <cell r="A596" t="str">
            <v>392SE</v>
          </cell>
          <cell r="B596" t="str">
            <v>392</v>
          </cell>
          <cell r="D596">
            <v>439809.22384615301</v>
          </cell>
          <cell r="F596" t="str">
            <v>392SE</v>
          </cell>
          <cell r="G596" t="str">
            <v>392</v>
          </cell>
          <cell r="I596">
            <v>439809.22384615301</v>
          </cell>
        </row>
        <row r="597">
          <cell r="A597" t="str">
            <v>392SG</v>
          </cell>
          <cell r="B597" t="str">
            <v>392</v>
          </cell>
          <cell r="D597">
            <v>18314638.702307601</v>
          </cell>
          <cell r="F597" t="str">
            <v>392SG</v>
          </cell>
          <cell r="G597" t="str">
            <v>392</v>
          </cell>
          <cell r="I597">
            <v>18314638.702307601</v>
          </cell>
        </row>
        <row r="598">
          <cell r="A598" t="str">
            <v>392SO</v>
          </cell>
          <cell r="B598" t="str">
            <v>392</v>
          </cell>
          <cell r="D598">
            <v>7002099.8200000003</v>
          </cell>
          <cell r="F598" t="str">
            <v>392SO</v>
          </cell>
          <cell r="G598" t="str">
            <v>392</v>
          </cell>
          <cell r="I598">
            <v>7002099.8200000003</v>
          </cell>
        </row>
        <row r="599">
          <cell r="A599" t="str">
            <v>392SSGCH</v>
          </cell>
          <cell r="B599" t="str">
            <v>392</v>
          </cell>
          <cell r="D599">
            <v>343984</v>
          </cell>
          <cell r="F599" t="str">
            <v>392SSGCH</v>
          </cell>
          <cell r="G599" t="str">
            <v>392</v>
          </cell>
          <cell r="I599">
            <v>343984</v>
          </cell>
        </row>
        <row r="600">
          <cell r="A600" t="str">
            <v>392SSGCT</v>
          </cell>
          <cell r="B600" t="str">
            <v>392</v>
          </cell>
          <cell r="D600">
            <v>44655.09</v>
          </cell>
          <cell r="F600" t="str">
            <v>392SSGCT</v>
          </cell>
          <cell r="G600" t="str">
            <v>392</v>
          </cell>
          <cell r="I600">
            <v>44655.09</v>
          </cell>
        </row>
        <row r="601">
          <cell r="A601" t="str">
            <v>392UT</v>
          </cell>
          <cell r="B601" t="str">
            <v>392</v>
          </cell>
          <cell r="D601">
            <v>32083423.130769201</v>
          </cell>
          <cell r="F601" t="str">
            <v>392UT</v>
          </cell>
          <cell r="G601" t="str">
            <v>392</v>
          </cell>
          <cell r="I601">
            <v>32083423.130769201</v>
          </cell>
        </row>
        <row r="602">
          <cell r="A602" t="str">
            <v>392WA</v>
          </cell>
          <cell r="B602" t="str">
            <v>392</v>
          </cell>
          <cell r="D602">
            <v>4978794.72307692</v>
          </cell>
          <cell r="F602" t="str">
            <v>392WA</v>
          </cell>
          <cell r="G602" t="str">
            <v>392</v>
          </cell>
          <cell r="I602">
            <v>4978794.72307692</v>
          </cell>
        </row>
        <row r="603">
          <cell r="A603" t="str">
            <v>392WYP</v>
          </cell>
          <cell r="B603" t="str">
            <v>392</v>
          </cell>
          <cell r="D603">
            <v>7728431.2607692303</v>
          </cell>
          <cell r="F603" t="str">
            <v>392WYP</v>
          </cell>
          <cell r="G603" t="str">
            <v>392</v>
          </cell>
          <cell r="I603">
            <v>7728431.2607692303</v>
          </cell>
        </row>
        <row r="604">
          <cell r="A604" t="str">
            <v>392WYU</v>
          </cell>
          <cell r="B604" t="str">
            <v>392</v>
          </cell>
          <cell r="D604">
            <v>1528555.13846153</v>
          </cell>
          <cell r="F604" t="str">
            <v>392WYU</v>
          </cell>
          <cell r="G604" t="str">
            <v>392</v>
          </cell>
          <cell r="I604">
            <v>1528555.13846153</v>
          </cell>
        </row>
        <row r="605">
          <cell r="A605" t="str">
            <v>393CA</v>
          </cell>
          <cell r="B605" t="str">
            <v>393</v>
          </cell>
          <cell r="D605">
            <v>217039.24076923</v>
          </cell>
          <cell r="F605" t="str">
            <v>393CA</v>
          </cell>
          <cell r="G605" t="str">
            <v>393</v>
          </cell>
          <cell r="I605">
            <v>217039.24076923</v>
          </cell>
        </row>
        <row r="606">
          <cell r="A606" t="str">
            <v>393DGP</v>
          </cell>
          <cell r="B606" t="str">
            <v>393</v>
          </cell>
          <cell r="D606">
            <v>61230.079230769203</v>
          </cell>
          <cell r="F606" t="str">
            <v>393DGP</v>
          </cell>
          <cell r="G606" t="str">
            <v>393</v>
          </cell>
          <cell r="I606">
            <v>61230.079230769203</v>
          </cell>
        </row>
        <row r="607">
          <cell r="A607" t="str">
            <v>393DGU</v>
          </cell>
          <cell r="B607" t="str">
            <v>393</v>
          </cell>
          <cell r="D607">
            <v>131431.228461538</v>
          </cell>
          <cell r="F607" t="str">
            <v>393DGU</v>
          </cell>
          <cell r="G607" t="str">
            <v>393</v>
          </cell>
          <cell r="I607">
            <v>131431.228461538</v>
          </cell>
        </row>
        <row r="608">
          <cell r="A608" t="str">
            <v>393ID</v>
          </cell>
          <cell r="B608" t="str">
            <v>393</v>
          </cell>
          <cell r="D608">
            <v>425956.447692307</v>
          </cell>
          <cell r="F608" t="str">
            <v>393ID</v>
          </cell>
          <cell r="G608" t="str">
            <v>393</v>
          </cell>
          <cell r="I608">
            <v>425956.447692307</v>
          </cell>
        </row>
        <row r="609">
          <cell r="A609" t="str">
            <v>393OR</v>
          </cell>
          <cell r="B609" t="str">
            <v>393</v>
          </cell>
          <cell r="D609">
            <v>2917232.2069230699</v>
          </cell>
          <cell r="F609" t="str">
            <v>393OR</v>
          </cell>
          <cell r="G609" t="str">
            <v>393</v>
          </cell>
          <cell r="I609">
            <v>2917232.2069230699</v>
          </cell>
        </row>
        <row r="610">
          <cell r="A610" t="str">
            <v>393SG</v>
          </cell>
          <cell r="B610" t="str">
            <v>393</v>
          </cell>
          <cell r="D610">
            <v>5025861.3646153798</v>
          </cell>
          <cell r="F610" t="str">
            <v>393SG</v>
          </cell>
          <cell r="G610" t="str">
            <v>393</v>
          </cell>
          <cell r="I610">
            <v>5025861.3646153798</v>
          </cell>
        </row>
        <row r="611">
          <cell r="A611" t="str">
            <v>393SO</v>
          </cell>
          <cell r="B611" t="str">
            <v>393</v>
          </cell>
          <cell r="D611">
            <v>318704.8</v>
          </cell>
          <cell r="F611" t="str">
            <v>393SO</v>
          </cell>
          <cell r="G611" t="str">
            <v>393</v>
          </cell>
          <cell r="I611">
            <v>318704.8</v>
          </cell>
        </row>
        <row r="612">
          <cell r="A612" t="str">
            <v>393SSGCT</v>
          </cell>
          <cell r="B612" t="str">
            <v>393</v>
          </cell>
          <cell r="D612">
            <v>53970.76</v>
          </cell>
          <cell r="F612" t="str">
            <v>393SSGCT</v>
          </cell>
          <cell r="G612" t="str">
            <v>393</v>
          </cell>
          <cell r="I612">
            <v>53970.76</v>
          </cell>
        </row>
        <row r="613">
          <cell r="A613" t="str">
            <v>393UT</v>
          </cell>
          <cell r="B613" t="str">
            <v>393</v>
          </cell>
          <cell r="D613">
            <v>3415505.6892307601</v>
          </cell>
          <cell r="F613" t="str">
            <v>393UT</v>
          </cell>
          <cell r="G613" t="str">
            <v>393</v>
          </cell>
          <cell r="I613">
            <v>3415505.6892307601</v>
          </cell>
        </row>
        <row r="614">
          <cell r="A614" t="str">
            <v>393WA</v>
          </cell>
          <cell r="B614" t="str">
            <v>393</v>
          </cell>
          <cell r="D614">
            <v>678088.91846153804</v>
          </cell>
          <cell r="F614" t="str">
            <v>393WA</v>
          </cell>
          <cell r="G614" t="str">
            <v>393</v>
          </cell>
          <cell r="I614">
            <v>678088.91846153804</v>
          </cell>
        </row>
        <row r="615">
          <cell r="A615" t="str">
            <v>393WYP</v>
          </cell>
          <cell r="B615" t="str">
            <v>393</v>
          </cell>
          <cell r="D615">
            <v>1050690.8899999999</v>
          </cell>
          <cell r="F615" t="str">
            <v>393WYP</v>
          </cell>
          <cell r="G615" t="str">
            <v>393</v>
          </cell>
          <cell r="I615">
            <v>1050690.8899999999</v>
          </cell>
        </row>
        <row r="616">
          <cell r="A616" t="str">
            <v>393WYU</v>
          </cell>
          <cell r="B616" t="str">
            <v>393</v>
          </cell>
          <cell r="D616">
            <v>42955.075384615302</v>
          </cell>
          <cell r="F616" t="str">
            <v>393WYU</v>
          </cell>
          <cell r="G616" t="str">
            <v>393</v>
          </cell>
          <cell r="I616">
            <v>42955.075384615302</v>
          </cell>
        </row>
        <row r="617">
          <cell r="A617" t="str">
            <v>394CA</v>
          </cell>
          <cell r="B617" t="str">
            <v>394</v>
          </cell>
          <cell r="D617">
            <v>756107.61692307598</v>
          </cell>
          <cell r="F617" t="str">
            <v>394CA</v>
          </cell>
          <cell r="G617" t="str">
            <v>394</v>
          </cell>
          <cell r="I617">
            <v>756107.61692307598</v>
          </cell>
        </row>
        <row r="618">
          <cell r="A618" t="str">
            <v>394DGP</v>
          </cell>
          <cell r="B618" t="str">
            <v>394</v>
          </cell>
          <cell r="D618">
            <v>662030.791538461</v>
          </cell>
          <cell r="F618" t="str">
            <v>394DGP</v>
          </cell>
          <cell r="G618" t="str">
            <v>394</v>
          </cell>
          <cell r="I618">
            <v>662030.791538461</v>
          </cell>
        </row>
        <row r="619">
          <cell r="A619" t="str">
            <v>394DGU</v>
          </cell>
          <cell r="B619" t="str">
            <v>394</v>
          </cell>
          <cell r="D619">
            <v>398693.72538461501</v>
          </cell>
          <cell r="F619" t="str">
            <v>394DGU</v>
          </cell>
          <cell r="G619" t="str">
            <v>394</v>
          </cell>
          <cell r="I619">
            <v>398693.72538461501</v>
          </cell>
        </row>
        <row r="620">
          <cell r="A620" t="str">
            <v>394ID</v>
          </cell>
          <cell r="B620" t="str">
            <v>394</v>
          </cell>
          <cell r="D620">
            <v>1912763.7338461501</v>
          </cell>
          <cell r="F620" t="str">
            <v>394ID</v>
          </cell>
          <cell r="G620" t="str">
            <v>394</v>
          </cell>
          <cell r="I620">
            <v>1912763.7338461501</v>
          </cell>
        </row>
        <row r="621">
          <cell r="A621" t="str">
            <v>394OR</v>
          </cell>
          <cell r="B621" t="str">
            <v>394</v>
          </cell>
          <cell r="D621">
            <v>10748847.9692307</v>
          </cell>
          <cell r="F621" t="str">
            <v>394OR</v>
          </cell>
          <cell r="G621" t="str">
            <v>394</v>
          </cell>
          <cell r="I621">
            <v>10748847.9692307</v>
          </cell>
        </row>
        <row r="622">
          <cell r="A622" t="str">
            <v>394SE</v>
          </cell>
          <cell r="B622" t="str">
            <v>394</v>
          </cell>
          <cell r="D622">
            <v>5617.06</v>
          </cell>
          <cell r="F622" t="str">
            <v>394SE</v>
          </cell>
          <cell r="G622" t="str">
            <v>394</v>
          </cell>
          <cell r="I622">
            <v>5617.06</v>
          </cell>
        </row>
        <row r="623">
          <cell r="A623" t="str">
            <v>394SG</v>
          </cell>
          <cell r="B623" t="str">
            <v>394</v>
          </cell>
          <cell r="D623">
            <v>21942250.332307599</v>
          </cell>
          <cell r="F623" t="str">
            <v>394SG</v>
          </cell>
          <cell r="G623" t="str">
            <v>394</v>
          </cell>
          <cell r="I623">
            <v>21942250.332307599</v>
          </cell>
        </row>
        <row r="624">
          <cell r="A624" t="str">
            <v>394SO</v>
          </cell>
          <cell r="B624" t="str">
            <v>394</v>
          </cell>
          <cell r="D624">
            <v>3768655.59615384</v>
          </cell>
          <cell r="F624" t="str">
            <v>394SO</v>
          </cell>
          <cell r="G624" t="str">
            <v>394</v>
          </cell>
          <cell r="I624">
            <v>3768655.59615384</v>
          </cell>
        </row>
        <row r="625">
          <cell r="A625" t="str">
            <v>394SSGCH</v>
          </cell>
          <cell r="B625" t="str">
            <v>394</v>
          </cell>
          <cell r="D625">
            <v>1794051.8353846101</v>
          </cell>
          <cell r="F625" t="str">
            <v>394SSGCH</v>
          </cell>
          <cell r="G625" t="str">
            <v>394</v>
          </cell>
          <cell r="I625">
            <v>1794051.8353846101</v>
          </cell>
        </row>
        <row r="626">
          <cell r="A626" t="str">
            <v>394SSGCT</v>
          </cell>
          <cell r="B626" t="str">
            <v>394</v>
          </cell>
          <cell r="D626">
            <v>89913.38</v>
          </cell>
          <cell r="F626" t="str">
            <v>394SSGCT</v>
          </cell>
          <cell r="G626" t="str">
            <v>394</v>
          </cell>
          <cell r="I626">
            <v>89913.38</v>
          </cell>
        </row>
        <row r="627">
          <cell r="A627" t="str">
            <v>394UT</v>
          </cell>
          <cell r="B627" t="str">
            <v>394</v>
          </cell>
          <cell r="D627">
            <v>12508145.3207692</v>
          </cell>
          <cell r="F627" t="str">
            <v>394UT</v>
          </cell>
          <cell r="G627" t="str">
            <v>394</v>
          </cell>
          <cell r="I627">
            <v>12508145.3207692</v>
          </cell>
        </row>
        <row r="628">
          <cell r="A628" t="str">
            <v>394WA</v>
          </cell>
          <cell r="B628" t="str">
            <v>394</v>
          </cell>
          <cell r="D628">
            <v>2900908.6423076899</v>
          </cell>
          <cell r="F628" t="str">
            <v>394WA</v>
          </cell>
          <cell r="G628" t="str">
            <v>394</v>
          </cell>
          <cell r="I628">
            <v>2900908.6423076899</v>
          </cell>
        </row>
        <row r="629">
          <cell r="A629" t="str">
            <v>394WYP</v>
          </cell>
          <cell r="B629" t="str">
            <v>394</v>
          </cell>
          <cell r="D629">
            <v>3848493.58384615</v>
          </cell>
          <cell r="F629" t="str">
            <v>394WYP</v>
          </cell>
          <cell r="G629" t="str">
            <v>394</v>
          </cell>
          <cell r="I629">
            <v>3848493.58384615</v>
          </cell>
        </row>
        <row r="630">
          <cell r="A630" t="str">
            <v>394WYU</v>
          </cell>
          <cell r="B630" t="str">
            <v>394</v>
          </cell>
          <cell r="D630">
            <v>495554.81307692302</v>
          </cell>
          <cell r="F630" t="str">
            <v>394WYU</v>
          </cell>
          <cell r="G630" t="str">
            <v>394</v>
          </cell>
          <cell r="I630">
            <v>495554.81307692302</v>
          </cell>
        </row>
        <row r="631">
          <cell r="A631" t="str">
            <v>395CA</v>
          </cell>
          <cell r="B631" t="str">
            <v>395</v>
          </cell>
          <cell r="D631">
            <v>482998.45846153802</v>
          </cell>
          <cell r="F631" t="str">
            <v>395CA</v>
          </cell>
          <cell r="G631" t="str">
            <v>395</v>
          </cell>
          <cell r="I631">
            <v>482998.45846153802</v>
          </cell>
        </row>
        <row r="632">
          <cell r="A632" t="str">
            <v>395DGP</v>
          </cell>
          <cell r="B632" t="str">
            <v>395</v>
          </cell>
          <cell r="D632">
            <v>1517.68</v>
          </cell>
          <cell r="F632" t="str">
            <v>395DGP</v>
          </cell>
          <cell r="G632" t="str">
            <v>395</v>
          </cell>
          <cell r="I632">
            <v>1517.68</v>
          </cell>
        </row>
        <row r="633">
          <cell r="A633" t="str">
            <v>395DGU</v>
          </cell>
          <cell r="B633" t="str">
            <v>395</v>
          </cell>
          <cell r="D633">
            <v>2891.91</v>
          </cell>
          <cell r="F633" t="str">
            <v>395DGU</v>
          </cell>
          <cell r="G633" t="str">
            <v>395</v>
          </cell>
          <cell r="I633">
            <v>2891.91</v>
          </cell>
        </row>
        <row r="634">
          <cell r="A634" t="str">
            <v>395ID</v>
          </cell>
          <cell r="B634" t="str">
            <v>395</v>
          </cell>
          <cell r="D634">
            <v>1371563.74</v>
          </cell>
          <cell r="F634" t="str">
            <v>395ID</v>
          </cell>
          <cell r="G634" t="str">
            <v>395</v>
          </cell>
          <cell r="I634">
            <v>1371563.74</v>
          </cell>
        </row>
        <row r="635">
          <cell r="A635" t="str">
            <v>395OR</v>
          </cell>
          <cell r="B635" t="str">
            <v>395</v>
          </cell>
          <cell r="D635">
            <v>9380256.4261538405</v>
          </cell>
          <cell r="F635" t="str">
            <v>395OR</v>
          </cell>
          <cell r="G635" t="str">
            <v>395</v>
          </cell>
          <cell r="I635">
            <v>9380256.4261538405</v>
          </cell>
        </row>
        <row r="636">
          <cell r="A636" t="str">
            <v>395SE</v>
          </cell>
          <cell r="B636" t="str">
            <v>395</v>
          </cell>
          <cell r="D636">
            <v>0</v>
          </cell>
          <cell r="F636" t="str">
            <v>395SE</v>
          </cell>
          <cell r="G636" t="str">
            <v>395</v>
          </cell>
          <cell r="I636">
            <v>0</v>
          </cell>
        </row>
        <row r="637">
          <cell r="A637" t="str">
            <v>395SG</v>
          </cell>
          <cell r="B637" t="str">
            <v>395</v>
          </cell>
          <cell r="D637">
            <v>6442661.9792307597</v>
          </cell>
          <cell r="F637" t="str">
            <v>395SG</v>
          </cell>
          <cell r="G637" t="str">
            <v>395</v>
          </cell>
          <cell r="I637">
            <v>6442661.9792307597</v>
          </cell>
        </row>
        <row r="638">
          <cell r="A638" t="str">
            <v>395SO</v>
          </cell>
          <cell r="B638" t="str">
            <v>395</v>
          </cell>
          <cell r="D638">
            <v>5208428.1761538396</v>
          </cell>
          <cell r="F638" t="str">
            <v>395SO</v>
          </cell>
          <cell r="G638" t="str">
            <v>395</v>
          </cell>
          <cell r="I638">
            <v>5208428.1761538396</v>
          </cell>
        </row>
        <row r="639">
          <cell r="A639" t="str">
            <v>395SSGCH</v>
          </cell>
          <cell r="B639" t="str">
            <v>395</v>
          </cell>
          <cell r="D639">
            <v>257204.65307692299</v>
          </cell>
          <cell r="F639" t="str">
            <v>395SSGCH</v>
          </cell>
          <cell r="G639" t="str">
            <v>395</v>
          </cell>
          <cell r="I639">
            <v>257204.65307692299</v>
          </cell>
        </row>
        <row r="640">
          <cell r="A640" t="str">
            <v>395SSGCT</v>
          </cell>
          <cell r="B640" t="str">
            <v>395</v>
          </cell>
          <cell r="D640">
            <v>14021.51</v>
          </cell>
          <cell r="F640" t="str">
            <v>395SSGCT</v>
          </cell>
          <cell r="G640" t="str">
            <v>395</v>
          </cell>
          <cell r="I640">
            <v>14021.51</v>
          </cell>
        </row>
        <row r="641">
          <cell r="A641" t="str">
            <v>395UT</v>
          </cell>
          <cell r="B641" t="str">
            <v>395</v>
          </cell>
          <cell r="D641">
            <v>7621242.4976923</v>
          </cell>
          <cell r="F641" t="str">
            <v>395UT</v>
          </cell>
          <cell r="G641" t="str">
            <v>395</v>
          </cell>
          <cell r="I641">
            <v>7621242.4976923</v>
          </cell>
        </row>
        <row r="642">
          <cell r="A642" t="str">
            <v>395WA</v>
          </cell>
          <cell r="B642" t="str">
            <v>395</v>
          </cell>
          <cell r="D642">
            <v>1801412.62</v>
          </cell>
          <cell r="F642" t="str">
            <v>395WA</v>
          </cell>
          <cell r="G642" t="str">
            <v>395</v>
          </cell>
          <cell r="I642">
            <v>1801412.62</v>
          </cell>
        </row>
        <row r="643">
          <cell r="A643" t="str">
            <v>395WYP</v>
          </cell>
          <cell r="B643" t="str">
            <v>395</v>
          </cell>
          <cell r="D643">
            <v>2684747.7415384599</v>
          </cell>
          <cell r="F643" t="str">
            <v>395WYP</v>
          </cell>
          <cell r="G643" t="str">
            <v>395</v>
          </cell>
          <cell r="I643">
            <v>2684747.7415384599</v>
          </cell>
        </row>
        <row r="644">
          <cell r="A644" t="str">
            <v>395WYU</v>
          </cell>
          <cell r="B644" t="str">
            <v>395</v>
          </cell>
          <cell r="D644">
            <v>583962.24384615303</v>
          </cell>
          <cell r="F644" t="str">
            <v>395WYU</v>
          </cell>
          <cell r="G644" t="str">
            <v>395</v>
          </cell>
          <cell r="I644">
            <v>583962.24384615303</v>
          </cell>
        </row>
        <row r="645">
          <cell r="A645" t="str">
            <v>396CA</v>
          </cell>
          <cell r="B645" t="str">
            <v>396</v>
          </cell>
          <cell r="D645">
            <v>4184124.0953846099</v>
          </cell>
          <cell r="F645" t="str">
            <v>396CA</v>
          </cell>
          <cell r="G645" t="str">
            <v>396</v>
          </cell>
          <cell r="I645">
            <v>4184124.0953846099</v>
          </cell>
        </row>
        <row r="646">
          <cell r="A646" t="str">
            <v>396DGP</v>
          </cell>
          <cell r="B646" t="str">
            <v>396</v>
          </cell>
          <cell r="D646">
            <v>924043.38153846096</v>
          </cell>
          <cell r="F646" t="str">
            <v>396DGP</v>
          </cell>
          <cell r="G646" t="str">
            <v>396</v>
          </cell>
          <cell r="I646">
            <v>924043.38153846096</v>
          </cell>
        </row>
        <row r="647">
          <cell r="A647" t="str">
            <v>396DGU</v>
          </cell>
          <cell r="B647" t="str">
            <v>396</v>
          </cell>
          <cell r="D647">
            <v>1433213.6469230701</v>
          </cell>
          <cell r="F647" t="str">
            <v>396DGU</v>
          </cell>
          <cell r="G647" t="str">
            <v>396</v>
          </cell>
          <cell r="I647">
            <v>1433213.6469230701</v>
          </cell>
        </row>
        <row r="648">
          <cell r="A648" t="str">
            <v>396ID</v>
          </cell>
          <cell r="B648" t="str">
            <v>396</v>
          </cell>
          <cell r="D648">
            <v>8062982.5115384599</v>
          </cell>
          <cell r="F648" t="str">
            <v>396ID</v>
          </cell>
          <cell r="G648" t="str">
            <v>396</v>
          </cell>
          <cell r="I648">
            <v>8062982.5115384599</v>
          </cell>
        </row>
        <row r="649">
          <cell r="A649" t="str">
            <v>396OR</v>
          </cell>
          <cell r="B649" t="str">
            <v>396</v>
          </cell>
          <cell r="D649">
            <v>32895214.284615301</v>
          </cell>
          <cell r="F649" t="str">
            <v>396OR</v>
          </cell>
          <cell r="G649" t="str">
            <v>396</v>
          </cell>
          <cell r="I649">
            <v>32895214.284615301</v>
          </cell>
        </row>
        <row r="650">
          <cell r="A650" t="str">
            <v>396SE</v>
          </cell>
          <cell r="B650" t="str">
            <v>396</v>
          </cell>
          <cell r="D650">
            <v>45031.42</v>
          </cell>
          <cell r="F650" t="str">
            <v>396SE</v>
          </cell>
          <cell r="G650" t="str">
            <v>396</v>
          </cell>
          <cell r="I650">
            <v>45031.42</v>
          </cell>
        </row>
        <row r="651">
          <cell r="A651" t="str">
            <v>396SG</v>
          </cell>
          <cell r="B651" t="str">
            <v>396</v>
          </cell>
          <cell r="D651">
            <v>37370038.605384603</v>
          </cell>
          <cell r="F651" t="str">
            <v>396SG</v>
          </cell>
          <cell r="G651" t="str">
            <v>396</v>
          </cell>
          <cell r="I651">
            <v>37370038.605384603</v>
          </cell>
        </row>
        <row r="652">
          <cell r="A652" t="str">
            <v>396SO</v>
          </cell>
          <cell r="B652" t="str">
            <v>396</v>
          </cell>
          <cell r="D652">
            <v>1378382.7738461499</v>
          </cell>
          <cell r="F652" t="str">
            <v>396SO</v>
          </cell>
          <cell r="G652" t="str">
            <v>396</v>
          </cell>
          <cell r="I652">
            <v>1378382.7738461499</v>
          </cell>
        </row>
        <row r="653">
          <cell r="A653" t="str">
            <v>396SSGCH</v>
          </cell>
          <cell r="B653" t="str">
            <v>396</v>
          </cell>
          <cell r="D653">
            <v>999837.19</v>
          </cell>
          <cell r="F653" t="str">
            <v>396SSGCH</v>
          </cell>
          <cell r="G653" t="str">
            <v>396</v>
          </cell>
          <cell r="I653">
            <v>999837.19</v>
          </cell>
        </row>
        <row r="654">
          <cell r="A654" t="str">
            <v>396UT</v>
          </cell>
          <cell r="B654" t="str">
            <v>396</v>
          </cell>
          <cell r="D654">
            <v>43785482.150769196</v>
          </cell>
          <cell r="F654" t="str">
            <v>396UT</v>
          </cell>
          <cell r="G654" t="str">
            <v>396</v>
          </cell>
          <cell r="I654">
            <v>43785482.150769196</v>
          </cell>
        </row>
        <row r="655">
          <cell r="A655" t="str">
            <v>396WA</v>
          </cell>
          <cell r="B655" t="str">
            <v>396</v>
          </cell>
          <cell r="D655">
            <v>7881719.6100000003</v>
          </cell>
          <cell r="F655" t="str">
            <v>396WA</v>
          </cell>
          <cell r="G655" t="str">
            <v>396</v>
          </cell>
          <cell r="I655">
            <v>7881719.6100000003</v>
          </cell>
        </row>
        <row r="656">
          <cell r="A656" t="str">
            <v>396WYP</v>
          </cell>
          <cell r="B656" t="str">
            <v>396</v>
          </cell>
          <cell r="D656">
            <v>12678669.109230701</v>
          </cell>
          <cell r="F656" t="str">
            <v>396WYP</v>
          </cell>
          <cell r="G656" t="str">
            <v>396</v>
          </cell>
          <cell r="I656">
            <v>12678669.109230701</v>
          </cell>
        </row>
        <row r="657">
          <cell r="A657" t="str">
            <v>396WYU</v>
          </cell>
          <cell r="B657" t="str">
            <v>396</v>
          </cell>
          <cell r="D657">
            <v>3290751.1569230701</v>
          </cell>
          <cell r="F657" t="str">
            <v>396WYU</v>
          </cell>
          <cell r="G657" t="str">
            <v>396</v>
          </cell>
          <cell r="I657">
            <v>3290751.1569230701</v>
          </cell>
        </row>
        <row r="658">
          <cell r="A658" t="str">
            <v>397CA</v>
          </cell>
          <cell r="B658" t="str">
            <v>397</v>
          </cell>
          <cell r="D658">
            <v>7564609.0105798766</v>
          </cell>
          <cell r="F658" t="str">
            <v>397CA</v>
          </cell>
          <cell r="G658" t="str">
            <v>397</v>
          </cell>
          <cell r="I658">
            <v>7564609.0105798766</v>
          </cell>
        </row>
        <row r="659">
          <cell r="A659" t="str">
            <v>397CN</v>
          </cell>
          <cell r="B659" t="str">
            <v>397</v>
          </cell>
          <cell r="D659">
            <v>272498.5637693312</v>
          </cell>
          <cell r="F659" t="str">
            <v>397CN</v>
          </cell>
          <cell r="G659" t="str">
            <v>397</v>
          </cell>
          <cell r="I659">
            <v>272498.5637693312</v>
          </cell>
        </row>
        <row r="660">
          <cell r="A660" t="str">
            <v>397DGP</v>
          </cell>
          <cell r="B660" t="str">
            <v>397</v>
          </cell>
          <cell r="D660">
            <v>-536693.0760769234</v>
          </cell>
          <cell r="F660" t="str">
            <v>397DGP</v>
          </cell>
          <cell r="G660" t="str">
            <v>397</v>
          </cell>
          <cell r="I660">
            <v>-536693.0760769234</v>
          </cell>
        </row>
        <row r="661">
          <cell r="A661" t="str">
            <v>397DGU</v>
          </cell>
          <cell r="B661" t="str">
            <v>397</v>
          </cell>
          <cell r="D661">
            <v>-1604021.0238461415</v>
          </cell>
          <cell r="F661" t="str">
            <v>397DGU</v>
          </cell>
          <cell r="G661" t="str">
            <v>397</v>
          </cell>
          <cell r="I661">
            <v>-1604021.0238461415</v>
          </cell>
        </row>
        <row r="662">
          <cell r="A662" t="str">
            <v>397ID</v>
          </cell>
          <cell r="B662" t="str">
            <v>397</v>
          </cell>
          <cell r="D662">
            <v>10309873.480234221</v>
          </cell>
          <cell r="F662" t="str">
            <v>397ID</v>
          </cell>
          <cell r="G662" t="str">
            <v>397</v>
          </cell>
          <cell r="I662">
            <v>10309873.480234221</v>
          </cell>
        </row>
        <row r="663">
          <cell r="A663" t="str">
            <v>397OR</v>
          </cell>
          <cell r="B663" t="str">
            <v>397</v>
          </cell>
          <cell r="D663">
            <v>55454575.476451732</v>
          </cell>
          <cell r="F663" t="str">
            <v>397OR</v>
          </cell>
          <cell r="G663" t="str">
            <v>397</v>
          </cell>
          <cell r="I663">
            <v>55454575.476451732</v>
          </cell>
        </row>
        <row r="664">
          <cell r="A664" t="str">
            <v>397SE</v>
          </cell>
          <cell r="B664" t="str">
            <v>397</v>
          </cell>
          <cell r="D664">
            <v>1177527.7846153858</v>
          </cell>
          <cell r="F664" t="str">
            <v>397SE</v>
          </cell>
          <cell r="G664" t="str">
            <v>397</v>
          </cell>
          <cell r="I664">
            <v>1177527.7846153858</v>
          </cell>
        </row>
        <row r="665">
          <cell r="A665" t="str">
            <v>397SG</v>
          </cell>
          <cell r="B665" t="str">
            <v>397</v>
          </cell>
          <cell r="D665">
            <v>139271896.09800014</v>
          </cell>
          <cell r="F665" t="str">
            <v>397SG</v>
          </cell>
          <cell r="G665" t="str">
            <v>397</v>
          </cell>
          <cell r="I665">
            <v>139271896.09800014</v>
          </cell>
        </row>
        <row r="666">
          <cell r="A666" t="str">
            <v>397SO</v>
          </cell>
          <cell r="B666" t="str">
            <v>397</v>
          </cell>
          <cell r="D666">
            <v>61561834.514755405</v>
          </cell>
          <cell r="F666" t="str">
            <v>397SO</v>
          </cell>
          <cell r="G666" t="str">
            <v>397</v>
          </cell>
          <cell r="I666">
            <v>61561834.514755405</v>
          </cell>
        </row>
        <row r="667">
          <cell r="A667" t="str">
            <v>397SSGCH</v>
          </cell>
          <cell r="B667" t="str">
            <v>397</v>
          </cell>
          <cell r="D667">
            <v>599439.09576923517</v>
          </cell>
          <cell r="F667" t="str">
            <v>397SSGCH</v>
          </cell>
          <cell r="G667" t="str">
            <v>397</v>
          </cell>
          <cell r="I667">
            <v>599439.09576923517</v>
          </cell>
        </row>
        <row r="668">
          <cell r="A668" t="str">
            <v>397SSGCT</v>
          </cell>
          <cell r="B668" t="str">
            <v>397</v>
          </cell>
          <cell r="D668">
            <v>-1420.0450000001529</v>
          </cell>
          <cell r="F668" t="str">
            <v>397SSGCT</v>
          </cell>
          <cell r="G668" t="str">
            <v>397</v>
          </cell>
          <cell r="I668">
            <v>-1420.0450000001529</v>
          </cell>
        </row>
        <row r="669">
          <cell r="A669" t="str">
            <v>397UT</v>
          </cell>
          <cell r="B669" t="str">
            <v>397</v>
          </cell>
          <cell r="D669">
            <v>59266315.546995394</v>
          </cell>
          <cell r="F669" t="str">
            <v>397UT</v>
          </cell>
          <cell r="G669" t="str">
            <v>397</v>
          </cell>
          <cell r="I669">
            <v>59266315.546995394</v>
          </cell>
        </row>
        <row r="670">
          <cell r="A670" t="str">
            <v>397WA</v>
          </cell>
          <cell r="B670" t="str">
            <v>397</v>
          </cell>
          <cell r="D670">
            <v>12030082.162550082</v>
          </cell>
          <cell r="F670" t="str">
            <v>397WA</v>
          </cell>
          <cell r="G670" t="str">
            <v>397</v>
          </cell>
          <cell r="I670">
            <v>12030082.162550082</v>
          </cell>
        </row>
        <row r="671">
          <cell r="A671" t="str">
            <v>397WYP</v>
          </cell>
          <cell r="B671" t="str">
            <v>397</v>
          </cell>
          <cell r="D671">
            <v>26591829.001597669</v>
          </cell>
          <cell r="F671" t="str">
            <v>397WYP</v>
          </cell>
          <cell r="G671" t="str">
            <v>397</v>
          </cell>
          <cell r="I671">
            <v>26591829.001597669</v>
          </cell>
        </row>
        <row r="672">
          <cell r="A672" t="str">
            <v>397WYU</v>
          </cell>
          <cell r="B672" t="str">
            <v>397</v>
          </cell>
          <cell r="D672">
            <v>4122058.1763077239</v>
          </cell>
          <cell r="F672" t="str">
            <v>397WYU</v>
          </cell>
          <cell r="G672" t="str">
            <v>397</v>
          </cell>
          <cell r="I672">
            <v>4122058.1763077239</v>
          </cell>
        </row>
        <row r="673">
          <cell r="A673" t="str">
            <v>398CA</v>
          </cell>
          <cell r="B673" t="str">
            <v>398</v>
          </cell>
          <cell r="D673">
            <v>52103.636923076898</v>
          </cell>
          <cell r="F673" t="str">
            <v>398CA</v>
          </cell>
          <cell r="G673" t="str">
            <v>398</v>
          </cell>
          <cell r="I673">
            <v>52103.636923076898</v>
          </cell>
        </row>
        <row r="674">
          <cell r="A674" t="str">
            <v>398CN</v>
          </cell>
          <cell r="B674" t="str">
            <v>398</v>
          </cell>
          <cell r="D674">
            <v>216140.11692307601</v>
          </cell>
          <cell r="F674" t="str">
            <v>398CN</v>
          </cell>
          <cell r="G674" t="str">
            <v>398</v>
          </cell>
          <cell r="I674">
            <v>216140.11692307601</v>
          </cell>
        </row>
        <row r="675">
          <cell r="A675" t="str">
            <v>398DGU</v>
          </cell>
          <cell r="B675" t="str">
            <v>398</v>
          </cell>
          <cell r="D675">
            <v>0</v>
          </cell>
          <cell r="F675" t="str">
            <v>398DGU</v>
          </cell>
          <cell r="G675" t="str">
            <v>398</v>
          </cell>
          <cell r="I675">
            <v>0</v>
          </cell>
        </row>
        <row r="676">
          <cell r="A676" t="str">
            <v>398ID</v>
          </cell>
          <cell r="B676" t="str">
            <v>398</v>
          </cell>
          <cell r="D676">
            <v>58745.109230769202</v>
          </cell>
          <cell r="F676" t="str">
            <v>398ID</v>
          </cell>
          <cell r="G676" t="str">
            <v>398</v>
          </cell>
          <cell r="I676">
            <v>58745.109230769202</v>
          </cell>
        </row>
        <row r="677">
          <cell r="A677" t="str">
            <v>398OR</v>
          </cell>
          <cell r="B677" t="str">
            <v>398</v>
          </cell>
          <cell r="D677">
            <v>1086578.9807692301</v>
          </cell>
          <cell r="F677" t="str">
            <v>398OR</v>
          </cell>
          <cell r="G677" t="str">
            <v>398</v>
          </cell>
          <cell r="I677">
            <v>1086578.9807692301</v>
          </cell>
        </row>
        <row r="678">
          <cell r="A678" t="str">
            <v>398SE</v>
          </cell>
          <cell r="B678" t="str">
            <v>398</v>
          </cell>
          <cell r="D678">
            <v>1667.75</v>
          </cell>
          <cell r="F678" t="str">
            <v>398SE</v>
          </cell>
          <cell r="G678" t="str">
            <v>398</v>
          </cell>
          <cell r="I678">
            <v>1667.75</v>
          </cell>
        </row>
        <row r="679">
          <cell r="A679" t="str">
            <v>398SG</v>
          </cell>
          <cell r="B679" t="str">
            <v>398</v>
          </cell>
          <cell r="D679">
            <v>2122979.5499999998</v>
          </cell>
          <cell r="F679" t="str">
            <v>398SG</v>
          </cell>
          <cell r="G679" t="str">
            <v>398</v>
          </cell>
          <cell r="I679">
            <v>2122979.5499999998</v>
          </cell>
        </row>
        <row r="680">
          <cell r="A680" t="str">
            <v>398SO</v>
          </cell>
          <cell r="B680" t="str">
            <v>398</v>
          </cell>
          <cell r="D680">
            <v>2918775.2707692301</v>
          </cell>
          <cell r="F680" t="str">
            <v>398SO</v>
          </cell>
          <cell r="G680" t="str">
            <v>398</v>
          </cell>
          <cell r="I680">
            <v>2918775.2707692301</v>
          </cell>
        </row>
        <row r="681">
          <cell r="A681" t="str">
            <v>398UT</v>
          </cell>
          <cell r="B681" t="str">
            <v>398</v>
          </cell>
          <cell r="D681">
            <v>867653.07307692303</v>
          </cell>
          <cell r="F681" t="str">
            <v>398UT</v>
          </cell>
          <cell r="G681" t="str">
            <v>398</v>
          </cell>
          <cell r="I681">
            <v>867653.07307692303</v>
          </cell>
        </row>
        <row r="682">
          <cell r="A682" t="str">
            <v>398WA</v>
          </cell>
          <cell r="B682" t="str">
            <v>398</v>
          </cell>
          <cell r="D682">
            <v>208406.47923076901</v>
          </cell>
          <cell r="F682" t="str">
            <v>398WA</v>
          </cell>
          <cell r="G682" t="str">
            <v>398</v>
          </cell>
          <cell r="I682">
            <v>208406.47923076901</v>
          </cell>
        </row>
        <row r="683">
          <cell r="A683" t="str">
            <v>398WYP</v>
          </cell>
          <cell r="B683" t="str">
            <v>398</v>
          </cell>
          <cell r="D683">
            <v>179045.977692307</v>
          </cell>
          <cell r="F683" t="str">
            <v>398WYP</v>
          </cell>
          <cell r="G683" t="str">
            <v>398</v>
          </cell>
          <cell r="I683">
            <v>179045.977692307</v>
          </cell>
        </row>
        <row r="684">
          <cell r="A684" t="str">
            <v>398WYU</v>
          </cell>
          <cell r="B684" t="str">
            <v>398</v>
          </cell>
          <cell r="D684">
            <v>10226.000769230701</v>
          </cell>
          <cell r="F684" t="str">
            <v>398WYU</v>
          </cell>
          <cell r="G684" t="str">
            <v>398</v>
          </cell>
          <cell r="I684">
            <v>10226.000769230701</v>
          </cell>
        </row>
        <row r="685">
          <cell r="A685" t="str">
            <v>399SE</v>
          </cell>
          <cell r="B685" t="str">
            <v>399</v>
          </cell>
          <cell r="D685">
            <v>497190286.72770524</v>
          </cell>
          <cell r="F685" t="str">
            <v>399SE</v>
          </cell>
          <cell r="G685" t="str">
            <v>399</v>
          </cell>
          <cell r="I685">
            <v>497190286.72770524</v>
          </cell>
        </row>
        <row r="686">
          <cell r="A686" t="str">
            <v>DPCA</v>
          </cell>
          <cell r="B686" t="str">
            <v>DP</v>
          </cell>
          <cell r="D686">
            <v>619541.25538461504</v>
          </cell>
          <cell r="F686" t="str">
            <v>DPCA</v>
          </cell>
          <cell r="G686" t="str">
            <v>DP</v>
          </cell>
          <cell r="I686">
            <v>619541.25538461504</v>
          </cell>
        </row>
        <row r="687">
          <cell r="A687" t="str">
            <v>DPID</v>
          </cell>
          <cell r="B687" t="str">
            <v>DP</v>
          </cell>
          <cell r="D687">
            <v>819466.15769230702</v>
          </cell>
          <cell r="F687" t="str">
            <v>DPID</v>
          </cell>
          <cell r="G687" t="str">
            <v>DP</v>
          </cell>
          <cell r="I687">
            <v>819466.15769230702</v>
          </cell>
        </row>
        <row r="688">
          <cell r="A688" t="str">
            <v>DPOR</v>
          </cell>
          <cell r="B688" t="str">
            <v>DP</v>
          </cell>
          <cell r="D688">
            <v>3502086.3838461498</v>
          </cell>
          <cell r="F688" t="str">
            <v>DPOR</v>
          </cell>
          <cell r="G688" t="str">
            <v>DP</v>
          </cell>
          <cell r="I688">
            <v>3502086.3838461498</v>
          </cell>
        </row>
        <row r="689">
          <cell r="A689" t="str">
            <v>DPSG</v>
          </cell>
          <cell r="B689" t="str">
            <v>DP</v>
          </cell>
          <cell r="D689">
            <v>0</v>
          </cell>
          <cell r="F689" t="str">
            <v>DPSG</v>
          </cell>
          <cell r="G689" t="str">
            <v>DP</v>
          </cell>
          <cell r="I689">
            <v>0</v>
          </cell>
        </row>
        <row r="690">
          <cell r="A690" t="str">
            <v>DPSNPD</v>
          </cell>
          <cell r="B690" t="str">
            <v>DP</v>
          </cell>
          <cell r="D690">
            <v>0</v>
          </cell>
          <cell r="F690" t="str">
            <v>DPSNPD</v>
          </cell>
          <cell r="G690" t="str">
            <v>DP</v>
          </cell>
          <cell r="I690">
            <v>0</v>
          </cell>
        </row>
        <row r="691">
          <cell r="A691" t="str">
            <v>DPUT</v>
          </cell>
          <cell r="B691" t="str">
            <v>DP</v>
          </cell>
          <cell r="D691">
            <v>5594078.5092307599</v>
          </cell>
          <cell r="F691" t="str">
            <v>DPUT</v>
          </cell>
          <cell r="G691" t="str">
            <v>DP</v>
          </cell>
          <cell r="I691">
            <v>5594078.5092307599</v>
          </cell>
        </row>
        <row r="692">
          <cell r="A692" t="str">
            <v>DPWA</v>
          </cell>
          <cell r="B692" t="str">
            <v>DP</v>
          </cell>
          <cell r="D692">
            <v>1033845.9115384599</v>
          </cell>
          <cell r="F692" t="str">
            <v>DPWA</v>
          </cell>
          <cell r="G692" t="str">
            <v>DP</v>
          </cell>
          <cell r="I692">
            <v>1033845.9115384599</v>
          </cell>
        </row>
        <row r="693">
          <cell r="A693" t="str">
            <v>DPWYU</v>
          </cell>
          <cell r="B693" t="str">
            <v>DP</v>
          </cell>
          <cell r="D693">
            <v>2649301.2815384599</v>
          </cell>
          <cell r="F693" t="str">
            <v>DPWYU</v>
          </cell>
          <cell r="G693" t="str">
            <v>DP</v>
          </cell>
          <cell r="I693">
            <v>2649301.2815384599</v>
          </cell>
        </row>
        <row r="694">
          <cell r="A694" t="str">
            <v>GPSG</v>
          </cell>
          <cell r="B694" t="str">
            <v>GP</v>
          </cell>
          <cell r="D694">
            <v>0</v>
          </cell>
          <cell r="F694" t="str">
            <v>GPSG</v>
          </cell>
          <cell r="G694" t="str">
            <v>GP</v>
          </cell>
          <cell r="I694">
            <v>0</v>
          </cell>
        </row>
        <row r="695">
          <cell r="A695" t="str">
            <v>GPSO</v>
          </cell>
          <cell r="B695" t="str">
            <v>GP</v>
          </cell>
          <cell r="D695">
            <v>5839850.0038461499</v>
          </cell>
          <cell r="F695" t="str">
            <v>GPSO</v>
          </cell>
          <cell r="G695" t="str">
            <v>GP</v>
          </cell>
          <cell r="I695">
            <v>5839850.0038461499</v>
          </cell>
        </row>
        <row r="696">
          <cell r="A696" t="str">
            <v>IPSO</v>
          </cell>
          <cell r="B696" t="str">
            <v>IP</v>
          </cell>
          <cell r="D696">
            <v>-193865.08769230699</v>
          </cell>
          <cell r="F696" t="str">
            <v>IPSO</v>
          </cell>
          <cell r="G696" t="str">
            <v>IP</v>
          </cell>
          <cell r="I696">
            <v>-193865.08769230699</v>
          </cell>
        </row>
        <row r="697">
          <cell r="A697" t="str">
            <v>OPSG</v>
          </cell>
          <cell r="B697" t="str">
            <v>OP</v>
          </cell>
          <cell r="D697">
            <v>38153.846153846098</v>
          </cell>
          <cell r="F697" t="str">
            <v>OPSG</v>
          </cell>
          <cell r="G697" t="str">
            <v>OP</v>
          </cell>
          <cell r="I697">
            <v>38153.846153846098</v>
          </cell>
        </row>
        <row r="698">
          <cell r="A698" t="str">
            <v>SPSG</v>
          </cell>
          <cell r="B698" t="str">
            <v>SP</v>
          </cell>
          <cell r="D698">
            <v>-1129372.91384615</v>
          </cell>
          <cell r="F698" t="str">
            <v>SPSG</v>
          </cell>
          <cell r="G698" t="str">
            <v>SP</v>
          </cell>
          <cell r="I698">
            <v>-1129372.91384615</v>
          </cell>
        </row>
        <row r="699">
          <cell r="A699" t="str">
            <v>SPSG-W</v>
          </cell>
          <cell r="B699" t="str">
            <v>SP</v>
          </cell>
          <cell r="D699">
            <v>0</v>
          </cell>
          <cell r="F699" t="str">
            <v>SPSG-W</v>
          </cell>
          <cell r="G699" t="str">
            <v>SP</v>
          </cell>
          <cell r="I699">
            <v>0</v>
          </cell>
        </row>
        <row r="700">
          <cell r="A700" t="str">
            <v>TPSG</v>
          </cell>
          <cell r="B700" t="str">
            <v>TP</v>
          </cell>
          <cell r="D700">
            <v>68298685.109999999</v>
          </cell>
          <cell r="F700" t="str">
            <v>TPSG</v>
          </cell>
          <cell r="G700" t="str">
            <v>TP</v>
          </cell>
          <cell r="I700">
            <v>68298685.109999999</v>
          </cell>
        </row>
        <row r="701">
          <cell r="A701" t="str">
            <v>TPSG-W</v>
          </cell>
          <cell r="B701" t="str">
            <v>TP</v>
          </cell>
          <cell r="D701">
            <v>0</v>
          </cell>
          <cell r="F701" t="str">
            <v>TPSG-W</v>
          </cell>
          <cell r="G701" t="str">
            <v>TP</v>
          </cell>
          <cell r="I701">
            <v>0</v>
          </cell>
        </row>
        <row r="702">
          <cell r="A702" t="str">
            <v>143SO</v>
          </cell>
          <cell r="B702" t="str">
            <v>143</v>
          </cell>
          <cell r="D702">
            <v>30481251.782500096</v>
          </cell>
          <cell r="F702" t="str">
            <v>143SO</v>
          </cell>
          <cell r="G702" t="str">
            <v>143</v>
          </cell>
          <cell r="I702">
            <v>30481251.782500096</v>
          </cell>
        </row>
        <row r="703">
          <cell r="A703" t="str">
            <v>230SE</v>
          </cell>
          <cell r="B703" t="str">
            <v>230</v>
          </cell>
          <cell r="D703">
            <v>-5184582.1033333298</v>
          </cell>
          <cell r="F703" t="str">
            <v>230SE</v>
          </cell>
          <cell r="G703" t="str">
            <v>230</v>
          </cell>
          <cell r="I703">
            <v>-5184582.1033333298</v>
          </cell>
        </row>
        <row r="704">
          <cell r="A704" t="str">
            <v>232DGU</v>
          </cell>
          <cell r="B704" t="str">
            <v>232</v>
          </cell>
          <cell r="D704">
            <v>-82144.166666666599</v>
          </cell>
          <cell r="F704" t="str">
            <v>232DGU</v>
          </cell>
          <cell r="G704" t="str">
            <v>232</v>
          </cell>
          <cell r="I704">
            <v>-82144.166666666599</v>
          </cell>
        </row>
        <row r="705">
          <cell r="A705" t="str">
            <v>232OTHER</v>
          </cell>
          <cell r="B705" t="str">
            <v>232</v>
          </cell>
          <cell r="D705">
            <v>-10892.5</v>
          </cell>
          <cell r="F705" t="str">
            <v>232OTHER</v>
          </cell>
          <cell r="G705" t="str">
            <v>232</v>
          </cell>
          <cell r="I705">
            <v>-10892.5</v>
          </cell>
        </row>
        <row r="706">
          <cell r="A706" t="str">
            <v>232SE</v>
          </cell>
          <cell r="B706" t="str">
            <v>232</v>
          </cell>
          <cell r="D706">
            <v>-2306468.4608333302</v>
          </cell>
          <cell r="F706" t="str">
            <v>232SE</v>
          </cell>
          <cell r="G706" t="str">
            <v>232</v>
          </cell>
          <cell r="I706">
            <v>-2306468.4608333302</v>
          </cell>
        </row>
        <row r="707">
          <cell r="A707" t="str">
            <v>232SG</v>
          </cell>
          <cell r="B707" t="str">
            <v>232</v>
          </cell>
          <cell r="D707">
            <v>0</v>
          </cell>
          <cell r="F707" t="str">
            <v>232SG</v>
          </cell>
          <cell r="G707" t="str">
            <v>232</v>
          </cell>
          <cell r="I707">
            <v>0</v>
          </cell>
        </row>
        <row r="708">
          <cell r="A708" t="str">
            <v>232SO</v>
          </cell>
          <cell r="B708" t="str">
            <v>232</v>
          </cell>
          <cell r="D708">
            <v>-5395008.9891666602</v>
          </cell>
          <cell r="F708" t="str">
            <v>232SO</v>
          </cell>
          <cell r="G708" t="str">
            <v>232</v>
          </cell>
          <cell r="I708">
            <v>-5395008.9891666602</v>
          </cell>
        </row>
        <row r="709">
          <cell r="A709" t="str">
            <v>2533SE</v>
          </cell>
          <cell r="B709" t="str">
            <v>2533</v>
          </cell>
          <cell r="D709">
            <v>-6191447.4642152023</v>
          </cell>
          <cell r="F709" t="str">
            <v>2533SE</v>
          </cell>
          <cell r="G709" t="str">
            <v>2533</v>
          </cell>
          <cell r="I709">
            <v>-6191447.4642152023</v>
          </cell>
        </row>
        <row r="710">
          <cell r="A710" t="str">
            <v>2533SSECH</v>
          </cell>
          <cell r="B710" t="str">
            <v>2533</v>
          </cell>
          <cell r="D710">
            <v>0</v>
          </cell>
          <cell r="F710" t="str">
            <v>2533SSECH</v>
          </cell>
          <cell r="G710" t="str">
            <v>2533</v>
          </cell>
          <cell r="I710">
            <v>0</v>
          </cell>
        </row>
        <row r="711">
          <cell r="A711" t="str">
            <v>254105OTHER</v>
          </cell>
          <cell r="B711" t="str">
            <v>254105</v>
          </cell>
          <cell r="D711">
            <v>0</v>
          </cell>
          <cell r="F711" t="str">
            <v>254105OTHER</v>
          </cell>
          <cell r="G711" t="str">
            <v>254105</v>
          </cell>
          <cell r="I711">
            <v>0</v>
          </cell>
        </row>
        <row r="712">
          <cell r="A712" t="str">
            <v>254105SE</v>
          </cell>
          <cell r="B712" t="str">
            <v>254105</v>
          </cell>
          <cell r="D712">
            <v>-1486610.6375</v>
          </cell>
          <cell r="F712" t="str">
            <v>254105SE</v>
          </cell>
          <cell r="G712" t="str">
            <v>254105</v>
          </cell>
          <cell r="I712">
            <v>-1486610.6375</v>
          </cell>
        </row>
        <row r="713">
          <cell r="A713" t="str">
            <v>40910SE</v>
          </cell>
          <cell r="B713" t="str">
            <v>40910</v>
          </cell>
          <cell r="D713">
            <v>-18088</v>
          </cell>
          <cell r="F713" t="str">
            <v>40910SE</v>
          </cell>
          <cell r="G713" t="str">
            <v>40910</v>
          </cell>
          <cell r="I713">
            <v>-18088</v>
          </cell>
        </row>
        <row r="714">
          <cell r="A714" t="str">
            <v>40910SG</v>
          </cell>
          <cell r="B714" t="str">
            <v>40910</v>
          </cell>
          <cell r="D714">
            <v>-72344845</v>
          </cell>
          <cell r="F714" t="str">
            <v>40910SG</v>
          </cell>
          <cell r="G714" t="str">
            <v>40910</v>
          </cell>
          <cell r="I714">
            <v>-72344845</v>
          </cell>
        </row>
        <row r="715">
          <cell r="A715" t="str">
            <v>40910SO</v>
          </cell>
          <cell r="B715" t="str">
            <v>40910</v>
          </cell>
          <cell r="D715">
            <v>0</v>
          </cell>
          <cell r="F715" t="str">
            <v>40910SO</v>
          </cell>
          <cell r="G715" t="str">
            <v>40910</v>
          </cell>
          <cell r="I715">
            <v>0</v>
          </cell>
        </row>
        <row r="716">
          <cell r="A716" t="str">
            <v>40911SG</v>
          </cell>
          <cell r="B716" t="str">
            <v>40911</v>
          </cell>
          <cell r="D716">
            <v>0</v>
          </cell>
          <cell r="F716" t="str">
            <v>40911SG</v>
          </cell>
          <cell r="G716" t="str">
            <v>40911</v>
          </cell>
          <cell r="I716">
            <v>0</v>
          </cell>
        </row>
        <row r="717">
          <cell r="A717" t="str">
            <v>41010CA</v>
          </cell>
          <cell r="B717" t="str">
            <v>41010</v>
          </cell>
          <cell r="D717">
            <v>5316</v>
          </cell>
          <cell r="F717" t="str">
            <v>41010CA</v>
          </cell>
          <cell r="G717" t="str">
            <v>41010</v>
          </cell>
          <cell r="I717">
            <v>5316</v>
          </cell>
        </row>
        <row r="718">
          <cell r="A718" t="str">
            <v>41010CN</v>
          </cell>
          <cell r="B718" t="str">
            <v>41010</v>
          </cell>
          <cell r="D718">
            <v>39935</v>
          </cell>
          <cell r="F718" t="str">
            <v>41010CN</v>
          </cell>
          <cell r="G718" t="str">
            <v>41010</v>
          </cell>
          <cell r="I718">
            <v>39935</v>
          </cell>
        </row>
        <row r="719">
          <cell r="A719" t="str">
            <v>41010GPS</v>
          </cell>
          <cell r="B719" t="str">
            <v>41010</v>
          </cell>
          <cell r="D719">
            <v>37262052</v>
          </cell>
          <cell r="F719" t="str">
            <v>41010GPS</v>
          </cell>
          <cell r="G719" t="str">
            <v>41010</v>
          </cell>
          <cell r="I719">
            <v>37262052</v>
          </cell>
        </row>
        <row r="720">
          <cell r="A720" t="str">
            <v>41010ID</v>
          </cell>
          <cell r="B720" t="str">
            <v>41010</v>
          </cell>
          <cell r="D720">
            <v>1856030</v>
          </cell>
          <cell r="F720" t="str">
            <v>41010ID</v>
          </cell>
          <cell r="G720" t="str">
            <v>41010</v>
          </cell>
          <cell r="I720">
            <v>1856030</v>
          </cell>
        </row>
        <row r="721">
          <cell r="A721" t="str">
            <v>41010OR</v>
          </cell>
          <cell r="B721" t="str">
            <v>41010</v>
          </cell>
          <cell r="D721">
            <v>56829.999999999884</v>
          </cell>
          <cell r="F721" t="str">
            <v>41010OR</v>
          </cell>
          <cell r="G721" t="str">
            <v>41010</v>
          </cell>
          <cell r="I721">
            <v>56829.999999999884</v>
          </cell>
        </row>
        <row r="722">
          <cell r="A722" t="str">
            <v>41010OTHER</v>
          </cell>
          <cell r="B722" t="str">
            <v>41010</v>
          </cell>
          <cell r="D722">
            <v>3718868</v>
          </cell>
          <cell r="F722" t="str">
            <v>41010OTHER</v>
          </cell>
          <cell r="G722" t="str">
            <v>41010</v>
          </cell>
          <cell r="I722">
            <v>3718868</v>
          </cell>
        </row>
        <row r="723">
          <cell r="A723" t="str">
            <v>41010SE</v>
          </cell>
          <cell r="B723" t="str">
            <v>41010</v>
          </cell>
          <cell r="D723">
            <v>2137336.33654253</v>
          </cell>
          <cell r="F723" t="str">
            <v>41010SE</v>
          </cell>
          <cell r="G723" t="str">
            <v>41010</v>
          </cell>
          <cell r="I723">
            <v>2137336.33654253</v>
          </cell>
        </row>
        <row r="724">
          <cell r="A724" t="str">
            <v>41010SG</v>
          </cell>
          <cell r="B724" t="str">
            <v>41010</v>
          </cell>
          <cell r="D724">
            <v>65568329.999999903</v>
          </cell>
          <cell r="F724" t="str">
            <v>41010SG</v>
          </cell>
          <cell r="G724" t="str">
            <v>41010</v>
          </cell>
          <cell r="I724">
            <v>65568329.999999903</v>
          </cell>
        </row>
        <row r="725">
          <cell r="A725" t="str">
            <v>41010SNP</v>
          </cell>
          <cell r="B725" t="str">
            <v>41010</v>
          </cell>
          <cell r="D725">
            <v>29233324.000000004</v>
          </cell>
          <cell r="F725" t="str">
            <v>41010SNP</v>
          </cell>
          <cell r="G725" t="str">
            <v>41010</v>
          </cell>
          <cell r="I725">
            <v>29233324.000000004</v>
          </cell>
        </row>
        <row r="726">
          <cell r="A726" t="str">
            <v>41010SNPD</v>
          </cell>
          <cell r="B726" t="str">
            <v>41010</v>
          </cell>
          <cell r="D726">
            <v>39675</v>
          </cell>
          <cell r="F726" t="str">
            <v>41010SNPD</v>
          </cell>
          <cell r="G726" t="str">
            <v>41010</v>
          </cell>
          <cell r="I726">
            <v>39675</v>
          </cell>
        </row>
        <row r="727">
          <cell r="A727" t="str">
            <v>41010SO</v>
          </cell>
          <cell r="B727" t="str">
            <v>41010</v>
          </cell>
          <cell r="D727">
            <v>2536867.0000000028</v>
          </cell>
          <cell r="F727" t="str">
            <v>41010SO</v>
          </cell>
          <cell r="G727" t="str">
            <v>41010</v>
          </cell>
          <cell r="I727">
            <v>2536867.0000000028</v>
          </cell>
        </row>
        <row r="728">
          <cell r="A728" t="str">
            <v>41010SSGCH</v>
          </cell>
          <cell r="B728" t="str">
            <v>41010</v>
          </cell>
          <cell r="D728">
            <v>68377</v>
          </cell>
          <cell r="F728" t="str">
            <v>41010SSGCH</v>
          </cell>
          <cell r="G728" t="str">
            <v>41010</v>
          </cell>
          <cell r="I728">
            <v>68377</v>
          </cell>
        </row>
        <row r="729">
          <cell r="A729" t="str">
            <v>41010TAXDEPR</v>
          </cell>
          <cell r="B729" t="str">
            <v>41010</v>
          </cell>
          <cell r="D729">
            <v>301841009</v>
          </cell>
          <cell r="F729" t="str">
            <v>41010TAXDEPR</v>
          </cell>
          <cell r="G729" t="str">
            <v>41010</v>
          </cell>
          <cell r="I729">
            <v>301841009</v>
          </cell>
        </row>
        <row r="730">
          <cell r="A730" t="str">
            <v>41010UT</v>
          </cell>
          <cell r="B730" t="str">
            <v>41010</v>
          </cell>
          <cell r="D730">
            <v>10313608</v>
          </cell>
          <cell r="F730" t="str">
            <v>41010UT</v>
          </cell>
          <cell r="G730" t="str">
            <v>41010</v>
          </cell>
          <cell r="I730">
            <v>10313608</v>
          </cell>
        </row>
        <row r="731">
          <cell r="A731" t="str">
            <v>41010WA</v>
          </cell>
          <cell r="B731" t="str">
            <v>41010</v>
          </cell>
          <cell r="D731">
            <v>6985</v>
          </cell>
          <cell r="F731" t="str">
            <v>41010WA</v>
          </cell>
          <cell r="G731" t="str">
            <v>41010</v>
          </cell>
          <cell r="I731">
            <v>6985</v>
          </cell>
        </row>
        <row r="732">
          <cell r="A732" t="str">
            <v>41010WYP</v>
          </cell>
          <cell r="B732" t="str">
            <v>41010</v>
          </cell>
          <cell r="D732">
            <v>5087875</v>
          </cell>
          <cell r="F732" t="str">
            <v>41010WYP</v>
          </cell>
          <cell r="G732" t="str">
            <v>41010</v>
          </cell>
          <cell r="I732">
            <v>5087875</v>
          </cell>
        </row>
        <row r="733">
          <cell r="A733" t="str">
            <v>41110BADDEBT</v>
          </cell>
          <cell r="B733" t="str">
            <v>41110</v>
          </cell>
          <cell r="D733">
            <v>1.0473501170054078E-3</v>
          </cell>
          <cell r="F733" t="str">
            <v>41110BADDEBT</v>
          </cell>
          <cell r="G733" t="str">
            <v>41110</v>
          </cell>
          <cell r="I733">
            <v>1.0473501170054078E-3</v>
          </cell>
        </row>
        <row r="734">
          <cell r="A734" t="str">
            <v>41110CA</v>
          </cell>
          <cell r="B734" t="str">
            <v>41110</v>
          </cell>
          <cell r="D734">
            <v>-1209988</v>
          </cell>
          <cell r="F734" t="str">
            <v>41110CA</v>
          </cell>
          <cell r="G734" t="str">
            <v>41110</v>
          </cell>
          <cell r="I734">
            <v>-1209988</v>
          </cell>
        </row>
        <row r="735">
          <cell r="A735" t="str">
            <v>41110CIAC</v>
          </cell>
          <cell r="B735" t="str">
            <v>41110</v>
          </cell>
          <cell r="D735">
            <v>-18849426</v>
          </cell>
          <cell r="F735" t="str">
            <v>41110CIAC</v>
          </cell>
          <cell r="G735" t="str">
            <v>41110</v>
          </cell>
          <cell r="I735">
            <v>-18849426</v>
          </cell>
        </row>
        <row r="736">
          <cell r="A736" t="str">
            <v>41110FERC</v>
          </cell>
          <cell r="B736" t="str">
            <v>41110</v>
          </cell>
          <cell r="D736">
            <v>0</v>
          </cell>
          <cell r="F736" t="str">
            <v>41110FERC</v>
          </cell>
          <cell r="G736" t="str">
            <v>41110</v>
          </cell>
          <cell r="I736">
            <v>0</v>
          </cell>
        </row>
        <row r="737">
          <cell r="A737" t="str">
            <v>41110GPS</v>
          </cell>
          <cell r="B737" t="str">
            <v>41110</v>
          </cell>
          <cell r="D737">
            <v>0</v>
          </cell>
          <cell r="F737" t="str">
            <v>41110GPS</v>
          </cell>
          <cell r="G737" t="str">
            <v>41110</v>
          </cell>
          <cell r="I737">
            <v>0</v>
          </cell>
        </row>
        <row r="738">
          <cell r="A738" t="str">
            <v>41110ID</v>
          </cell>
          <cell r="B738" t="str">
            <v>41110</v>
          </cell>
          <cell r="D738">
            <v>-639865.00000000012</v>
          </cell>
          <cell r="F738" t="str">
            <v>41110ID</v>
          </cell>
          <cell r="G738" t="str">
            <v>41110</v>
          </cell>
          <cell r="I738">
            <v>-639865.00000000012</v>
          </cell>
        </row>
        <row r="739">
          <cell r="A739" t="str">
            <v>41110OR</v>
          </cell>
          <cell r="B739" t="str">
            <v>41110</v>
          </cell>
          <cell r="D739">
            <v>-5617234</v>
          </cell>
          <cell r="F739" t="str">
            <v>41110OR</v>
          </cell>
          <cell r="G739" t="str">
            <v>41110</v>
          </cell>
          <cell r="I739">
            <v>-5617234</v>
          </cell>
        </row>
        <row r="740">
          <cell r="A740" t="str">
            <v>41110OTHER</v>
          </cell>
          <cell r="B740" t="str">
            <v>41110</v>
          </cell>
          <cell r="D740">
            <v>-30166196</v>
          </cell>
          <cell r="F740" t="str">
            <v>41110OTHER</v>
          </cell>
          <cell r="G740" t="str">
            <v>41110</v>
          </cell>
          <cell r="I740">
            <v>-30166196</v>
          </cell>
        </row>
        <row r="741">
          <cell r="A741" t="str">
            <v>41110SCHMDEXP</v>
          </cell>
          <cell r="B741" t="str">
            <v>41110</v>
          </cell>
          <cell r="D741">
            <v>-282709844.99999905</v>
          </cell>
          <cell r="F741" t="str">
            <v>41110SCHMDEXP</v>
          </cell>
          <cell r="G741" t="str">
            <v>41110</v>
          </cell>
          <cell r="I741">
            <v>-282709844.99999905</v>
          </cell>
        </row>
        <row r="742">
          <cell r="A742" t="str">
            <v>41110SE</v>
          </cell>
          <cell r="B742" t="str">
            <v>41110</v>
          </cell>
          <cell r="D742">
            <v>0.99999999906867743</v>
          </cell>
          <cell r="F742" t="str">
            <v>41110SE</v>
          </cell>
          <cell r="G742" t="str">
            <v>41110</v>
          </cell>
          <cell r="I742">
            <v>0.99999999906867743</v>
          </cell>
        </row>
        <row r="743">
          <cell r="A743" t="str">
            <v>41110SG</v>
          </cell>
          <cell r="B743" t="str">
            <v>41110</v>
          </cell>
          <cell r="D743">
            <v>-636392</v>
          </cell>
          <cell r="F743" t="str">
            <v>41110SG</v>
          </cell>
          <cell r="G743" t="str">
            <v>41110</v>
          </cell>
          <cell r="I743">
            <v>-636392</v>
          </cell>
        </row>
        <row r="744">
          <cell r="A744" t="str">
            <v>41110SGCT</v>
          </cell>
          <cell r="B744" t="str">
            <v>41110</v>
          </cell>
          <cell r="D744">
            <v>-425970</v>
          </cell>
          <cell r="F744" t="str">
            <v>41110SGCT</v>
          </cell>
          <cell r="G744" t="str">
            <v>41110</v>
          </cell>
          <cell r="I744">
            <v>-425970</v>
          </cell>
        </row>
        <row r="745">
          <cell r="A745" t="str">
            <v>41110SNP</v>
          </cell>
          <cell r="B745" t="str">
            <v>41110</v>
          </cell>
          <cell r="D745">
            <v>-20801162.999999996</v>
          </cell>
          <cell r="F745" t="str">
            <v>41110SNP</v>
          </cell>
          <cell r="G745" t="str">
            <v>41110</v>
          </cell>
          <cell r="I745">
            <v>-20801162.999999996</v>
          </cell>
        </row>
        <row r="746">
          <cell r="A746" t="str">
            <v>41110SNPD</v>
          </cell>
          <cell r="B746" t="str">
            <v>41110</v>
          </cell>
          <cell r="D746">
            <v>0</v>
          </cell>
          <cell r="F746" t="str">
            <v>41110SNPD</v>
          </cell>
          <cell r="G746" t="str">
            <v>41110</v>
          </cell>
          <cell r="I746">
            <v>0</v>
          </cell>
        </row>
        <row r="747">
          <cell r="A747" t="str">
            <v>41110SO</v>
          </cell>
          <cell r="B747" t="str">
            <v>41110</v>
          </cell>
          <cell r="D747">
            <v>-2863573.0000000019</v>
          </cell>
          <cell r="F747" t="str">
            <v>41110SO</v>
          </cell>
          <cell r="G747" t="str">
            <v>41110</v>
          </cell>
          <cell r="I747">
            <v>-2863573.0000000019</v>
          </cell>
        </row>
        <row r="748">
          <cell r="A748" t="str">
            <v>41110SSGCH</v>
          </cell>
          <cell r="B748" t="str">
            <v>41110</v>
          </cell>
          <cell r="D748">
            <v>-552811</v>
          </cell>
          <cell r="F748" t="str">
            <v>41110SSGCH</v>
          </cell>
          <cell r="G748" t="str">
            <v>41110</v>
          </cell>
          <cell r="I748">
            <v>-552811</v>
          </cell>
        </row>
        <row r="749">
          <cell r="A749" t="str">
            <v>41110TROJD</v>
          </cell>
          <cell r="B749" t="str">
            <v>41110</v>
          </cell>
          <cell r="D749">
            <v>-1.000000000007276</v>
          </cell>
          <cell r="F749" t="str">
            <v>41110TROJD</v>
          </cell>
          <cell r="G749" t="str">
            <v>41110</v>
          </cell>
          <cell r="I749">
            <v>-1.000000000007276</v>
          </cell>
        </row>
        <row r="750">
          <cell r="A750" t="str">
            <v>41110TROJP</v>
          </cell>
          <cell r="B750" t="str">
            <v>41110</v>
          </cell>
          <cell r="D750">
            <v>0</v>
          </cell>
          <cell r="F750" t="str">
            <v>41110TROJP</v>
          </cell>
          <cell r="G750" t="str">
            <v>41110</v>
          </cell>
          <cell r="I750">
            <v>0</v>
          </cell>
        </row>
        <row r="751">
          <cell r="A751" t="str">
            <v>41110UT</v>
          </cell>
          <cell r="B751" t="str">
            <v>41110</v>
          </cell>
          <cell r="D751">
            <v>-2976671.0000000005</v>
          </cell>
          <cell r="F751" t="str">
            <v>41110UT</v>
          </cell>
          <cell r="G751" t="str">
            <v>41110</v>
          </cell>
          <cell r="I751">
            <v>-2976671.0000000005</v>
          </cell>
        </row>
        <row r="752">
          <cell r="A752" t="str">
            <v>41110WA</v>
          </cell>
          <cell r="B752" t="str">
            <v>41110</v>
          </cell>
          <cell r="D752">
            <v>-800123.99999999977</v>
          </cell>
          <cell r="F752" t="str">
            <v>41110WA</v>
          </cell>
          <cell r="G752" t="str">
            <v>41110</v>
          </cell>
          <cell r="I752">
            <v>-800123.99999999977</v>
          </cell>
        </row>
        <row r="753">
          <cell r="A753" t="str">
            <v>41110WYP</v>
          </cell>
          <cell r="B753" t="str">
            <v>41110</v>
          </cell>
          <cell r="D753">
            <v>-451018.99999999994</v>
          </cell>
          <cell r="F753" t="str">
            <v>41110WYP</v>
          </cell>
          <cell r="G753" t="str">
            <v>41110</v>
          </cell>
          <cell r="I753">
            <v>-451018.99999999994</v>
          </cell>
        </row>
        <row r="754">
          <cell r="A754" t="str">
            <v>41110WYU</v>
          </cell>
          <cell r="B754" t="str">
            <v>41110</v>
          </cell>
          <cell r="D754">
            <v>849231</v>
          </cell>
          <cell r="F754" t="str">
            <v>41110WYU</v>
          </cell>
          <cell r="G754" t="str">
            <v>41110</v>
          </cell>
          <cell r="I754">
            <v>849231</v>
          </cell>
        </row>
        <row r="755">
          <cell r="A755" t="str">
            <v>SCHMAPBADDEBT</v>
          </cell>
          <cell r="B755" t="str">
            <v>SCHMAP</v>
          </cell>
          <cell r="D755">
            <v>0</v>
          </cell>
          <cell r="F755" t="str">
            <v>SCHMAPBADDEBT</v>
          </cell>
          <cell r="G755" t="str">
            <v>SCHMAP</v>
          </cell>
          <cell r="I755">
            <v>0</v>
          </cell>
        </row>
        <row r="756">
          <cell r="A756" t="str">
            <v>SCHMAPOTHER</v>
          </cell>
          <cell r="B756" t="str">
            <v>SCHMAP</v>
          </cell>
          <cell r="D756">
            <v>0</v>
          </cell>
          <cell r="F756" t="str">
            <v>SCHMAPOTHER</v>
          </cell>
          <cell r="G756" t="str">
            <v>SCHMAP</v>
          </cell>
          <cell r="I756">
            <v>0</v>
          </cell>
        </row>
        <row r="757">
          <cell r="A757" t="str">
            <v>SCHMAPSCHMDEXP</v>
          </cell>
          <cell r="B757" t="str">
            <v>SCHMAP</v>
          </cell>
          <cell r="D757">
            <v>73732.995423506014</v>
          </cell>
          <cell r="F757" t="str">
            <v>SCHMAPSCHMDEXP</v>
          </cell>
          <cell r="G757" t="str">
            <v>SCHMAP</v>
          </cell>
          <cell r="I757">
            <v>73732.995423506014</v>
          </cell>
        </row>
        <row r="758">
          <cell r="A758" t="str">
            <v>SCHMAPSE</v>
          </cell>
          <cell r="B758" t="str">
            <v>SCHMAP</v>
          </cell>
          <cell r="D758">
            <v>18088.000000000466</v>
          </cell>
          <cell r="F758" t="str">
            <v>SCHMAPSE</v>
          </cell>
          <cell r="G758" t="str">
            <v>SCHMAP</v>
          </cell>
          <cell r="I758">
            <v>18088.000000000466</v>
          </cell>
        </row>
        <row r="759">
          <cell r="A759" t="str">
            <v>SCHMAPSO</v>
          </cell>
          <cell r="B759" t="str">
            <v>SCHMAP</v>
          </cell>
          <cell r="D759">
            <v>488191.73999999976</v>
          </cell>
          <cell r="F759" t="str">
            <v>SCHMAPSO</v>
          </cell>
          <cell r="G759" t="str">
            <v>SCHMAP</v>
          </cell>
          <cell r="I759">
            <v>488191.73999999976</v>
          </cell>
        </row>
        <row r="760">
          <cell r="A760" t="str">
            <v>SCHMATBADDEBT</v>
          </cell>
          <cell r="B760" t="str">
            <v>SCHMAT</v>
          </cell>
          <cell r="D760">
            <v>-2.7597402222454548E-3</v>
          </cell>
          <cell r="F760" t="str">
            <v>SCHMATBADDEBT</v>
          </cell>
          <cell r="G760" t="str">
            <v>SCHMAT</v>
          </cell>
          <cell r="I760">
            <v>-2.7597402222454548E-3</v>
          </cell>
        </row>
        <row r="761">
          <cell r="A761" t="str">
            <v>SCHMATCA</v>
          </cell>
          <cell r="B761" t="str">
            <v>SCHMAT</v>
          </cell>
          <cell r="D761">
            <v>2339170.5479461411</v>
          </cell>
          <cell r="F761" t="str">
            <v>SCHMATCA</v>
          </cell>
          <cell r="G761" t="str">
            <v>SCHMAT</v>
          </cell>
          <cell r="I761">
            <v>2339170.5479461411</v>
          </cell>
        </row>
        <row r="762">
          <cell r="A762" t="str">
            <v>SCHMATCN</v>
          </cell>
          <cell r="B762" t="str">
            <v>SCHMAT</v>
          </cell>
          <cell r="D762">
            <v>-105229.03273314041</v>
          </cell>
          <cell r="F762" t="str">
            <v>SCHMATCN</v>
          </cell>
          <cell r="G762" t="str">
            <v>SCHMAT</v>
          </cell>
          <cell r="I762">
            <v>-105229.03273314041</v>
          </cell>
        </row>
        <row r="763">
          <cell r="A763" t="str">
            <v>SCHMATCIAC</v>
          </cell>
          <cell r="B763" t="str">
            <v>SCHMAT</v>
          </cell>
          <cell r="D763">
            <v>49667801</v>
          </cell>
          <cell r="F763" t="str">
            <v>SCHMATCIAC</v>
          </cell>
          <cell r="G763" t="str">
            <v>SCHMAT</v>
          </cell>
          <cell r="I763">
            <v>49667801</v>
          </cell>
        </row>
        <row r="764">
          <cell r="A764" t="str">
            <v>SCHMATGPS</v>
          </cell>
          <cell r="B764" t="str">
            <v>SCHMAT</v>
          </cell>
          <cell r="D764">
            <v>0</v>
          </cell>
          <cell r="F764" t="str">
            <v>SCHMATGPS</v>
          </cell>
          <cell r="G764" t="str">
            <v>SCHMAT</v>
          </cell>
          <cell r="I764">
            <v>0</v>
          </cell>
        </row>
        <row r="765">
          <cell r="A765" t="str">
            <v>SCHMATID</v>
          </cell>
          <cell r="B765" t="str">
            <v>SCHMAT</v>
          </cell>
          <cell r="D765">
            <v>1062945.7725675041</v>
          </cell>
          <cell r="F765" t="str">
            <v>SCHMATID</v>
          </cell>
          <cell r="G765" t="str">
            <v>SCHMAT</v>
          </cell>
          <cell r="I765">
            <v>1062945.7725675041</v>
          </cell>
        </row>
        <row r="766">
          <cell r="A766" t="str">
            <v>SCHMATOR</v>
          </cell>
          <cell r="B766" t="str">
            <v>SCHMAT</v>
          </cell>
          <cell r="D766">
            <v>15258397.634538613</v>
          </cell>
          <cell r="F766" t="str">
            <v>SCHMATOR</v>
          </cell>
          <cell r="G766" t="str">
            <v>SCHMAT</v>
          </cell>
          <cell r="I766">
            <v>15258397.634538613</v>
          </cell>
        </row>
        <row r="767">
          <cell r="A767" t="str">
            <v>SCHMATOTHER</v>
          </cell>
          <cell r="B767" t="str">
            <v>SCHMAT</v>
          </cell>
          <cell r="D767">
            <v>77896318.366777867</v>
          </cell>
          <cell r="F767" t="str">
            <v>SCHMATOTHER</v>
          </cell>
          <cell r="G767" t="str">
            <v>SCHMAT</v>
          </cell>
          <cell r="I767">
            <v>77896318.366777867</v>
          </cell>
        </row>
        <row r="768">
          <cell r="A768" t="str">
            <v>SCHMATSCHMDEXP</v>
          </cell>
          <cell r="B768" t="str">
            <v>SCHMAT</v>
          </cell>
          <cell r="D768">
            <v>744933846</v>
          </cell>
          <cell r="F768" t="str">
            <v>SCHMATSCHMDEXP</v>
          </cell>
          <cell r="G768" t="str">
            <v>SCHMAT</v>
          </cell>
          <cell r="I768">
            <v>744933846</v>
          </cell>
        </row>
        <row r="769">
          <cell r="A769" t="str">
            <v>SCHMATSE</v>
          </cell>
          <cell r="B769" t="str">
            <v>SCHMAT</v>
          </cell>
          <cell r="D769">
            <v>-138150.94898258895</v>
          </cell>
          <cell r="F769" t="str">
            <v>SCHMATSE</v>
          </cell>
          <cell r="G769" t="str">
            <v>SCHMAT</v>
          </cell>
          <cell r="I769">
            <v>-138150.94898258895</v>
          </cell>
        </row>
        <row r="770">
          <cell r="A770" t="str">
            <v>SCHMATSG</v>
          </cell>
          <cell r="B770" t="str">
            <v>SCHMAT</v>
          </cell>
          <cell r="D770">
            <v>-26891059.423366815</v>
          </cell>
          <cell r="F770" t="str">
            <v>SCHMATSG</v>
          </cell>
          <cell r="G770" t="str">
            <v>SCHMAT</v>
          </cell>
          <cell r="I770">
            <v>-26891059.423366815</v>
          </cell>
        </row>
        <row r="771">
          <cell r="A771" t="str">
            <v>SCHMATSGCT</v>
          </cell>
          <cell r="B771" t="str">
            <v>SCHMAT</v>
          </cell>
          <cell r="D771">
            <v>1122420</v>
          </cell>
          <cell r="F771" t="str">
            <v>SCHMATSGCT</v>
          </cell>
          <cell r="G771" t="str">
            <v>SCHMAT</v>
          </cell>
          <cell r="I771">
            <v>1122420</v>
          </cell>
        </row>
        <row r="772">
          <cell r="A772" t="str">
            <v>SCHMATSNP</v>
          </cell>
          <cell r="B772" t="str">
            <v>SCHMAT</v>
          </cell>
          <cell r="D772">
            <v>54810575.000000007</v>
          </cell>
          <cell r="F772" t="str">
            <v>SCHMATSNP</v>
          </cell>
          <cell r="G772" t="str">
            <v>SCHMAT</v>
          </cell>
          <cell r="I772">
            <v>54810575.000000007</v>
          </cell>
        </row>
        <row r="773">
          <cell r="A773" t="str">
            <v>SCHMATSNPD</v>
          </cell>
          <cell r="B773" t="str">
            <v>SCHMAT</v>
          </cell>
          <cell r="D773">
            <v>-104543.5605290552</v>
          </cell>
          <cell r="F773" t="str">
            <v>SCHMATSNPD</v>
          </cell>
          <cell r="G773" t="str">
            <v>SCHMAT</v>
          </cell>
          <cell r="I773">
            <v>-104543.5605290552</v>
          </cell>
        </row>
        <row r="774">
          <cell r="A774" t="str">
            <v>SCHMATSO</v>
          </cell>
          <cell r="B774" t="str">
            <v>SCHMAT</v>
          </cell>
          <cell r="D774">
            <v>7264180.9071081281</v>
          </cell>
          <cell r="F774" t="str">
            <v>SCHMATSO</v>
          </cell>
          <cell r="G774" t="str">
            <v>SCHMAT</v>
          </cell>
          <cell r="I774">
            <v>7264180.9071081281</v>
          </cell>
        </row>
        <row r="775">
          <cell r="A775" t="str">
            <v>SCHMATTROJD</v>
          </cell>
          <cell r="B775" t="str">
            <v>SCHMAT</v>
          </cell>
          <cell r="D775">
            <v>0</v>
          </cell>
          <cell r="F775" t="str">
            <v>SCHMATTROJD</v>
          </cell>
          <cell r="G775" t="str">
            <v>SCHMAT</v>
          </cell>
          <cell r="I775">
            <v>0</v>
          </cell>
        </row>
        <row r="776">
          <cell r="A776" t="str">
            <v>SCHMATTROJP</v>
          </cell>
          <cell r="B776" t="str">
            <v>SCHMAT</v>
          </cell>
          <cell r="D776">
            <v>0</v>
          </cell>
          <cell r="F776" t="str">
            <v>SCHMATTROJP</v>
          </cell>
          <cell r="G776" t="str">
            <v>SCHMAT</v>
          </cell>
          <cell r="I776">
            <v>0</v>
          </cell>
        </row>
        <row r="777">
          <cell r="A777" t="str">
            <v>SCHMATUT</v>
          </cell>
          <cell r="B777" t="str">
            <v>SCHMAT</v>
          </cell>
          <cell r="D777">
            <v>7967318.435554387</v>
          </cell>
          <cell r="F777" t="str">
            <v>SCHMATUT</v>
          </cell>
          <cell r="G777" t="str">
            <v>SCHMAT</v>
          </cell>
          <cell r="I777">
            <v>7967318.435554387</v>
          </cell>
        </row>
        <row r="778">
          <cell r="A778" t="str">
            <v>SCHMATWA</v>
          </cell>
          <cell r="B778" t="str">
            <v>SCHMAT</v>
          </cell>
          <cell r="D778">
            <v>5011188.872845713</v>
          </cell>
          <cell r="F778" t="str">
            <v>SCHMATWA</v>
          </cell>
          <cell r="G778" t="str">
            <v>SCHMAT</v>
          </cell>
          <cell r="I778">
            <v>5011188.872845713</v>
          </cell>
        </row>
        <row r="779">
          <cell r="A779" t="str">
            <v>SCHMATWYP</v>
          </cell>
          <cell r="B779" t="str">
            <v>SCHMAT</v>
          </cell>
          <cell r="D779">
            <v>3270069.5659458879</v>
          </cell>
          <cell r="F779" t="str">
            <v>SCHMATWYP</v>
          </cell>
          <cell r="G779" t="str">
            <v>SCHMAT</v>
          </cell>
          <cell r="I779">
            <v>3270069.5659458879</v>
          </cell>
        </row>
        <row r="780">
          <cell r="A780" t="str">
            <v>SCHMDPSCHMDEXP</v>
          </cell>
          <cell r="B780" t="str">
            <v>SCHMDP</v>
          </cell>
          <cell r="D780">
            <v>-4.5764939859509468E-3</v>
          </cell>
          <cell r="F780" t="str">
            <v>SCHMDPSCHMDEXP</v>
          </cell>
          <cell r="G780" t="str">
            <v>SCHMDP</v>
          </cell>
          <cell r="I780">
            <v>-4.5764939859509468E-3</v>
          </cell>
        </row>
        <row r="781">
          <cell r="A781" t="str">
            <v>SCHMDPSE</v>
          </cell>
          <cell r="B781" t="str">
            <v>SCHMDP</v>
          </cell>
          <cell r="D781">
            <v>735875</v>
          </cell>
          <cell r="F781" t="str">
            <v>SCHMDPSE</v>
          </cell>
          <cell r="G781" t="str">
            <v>SCHMDP</v>
          </cell>
          <cell r="I781">
            <v>735875</v>
          </cell>
        </row>
        <row r="782">
          <cell r="A782" t="str">
            <v>SCHMDPSNP</v>
          </cell>
          <cell r="B782" t="str">
            <v>SCHMDP</v>
          </cell>
          <cell r="D782">
            <v>65078</v>
          </cell>
          <cell r="F782" t="str">
            <v>SCHMDPSNP</v>
          </cell>
          <cell r="G782" t="str">
            <v>SCHMDP</v>
          </cell>
          <cell r="I782">
            <v>65078</v>
          </cell>
        </row>
        <row r="783">
          <cell r="A783" t="str">
            <v>SCHMDPSO</v>
          </cell>
          <cell r="B783" t="str">
            <v>SCHMDP</v>
          </cell>
          <cell r="D783">
            <v>-0.2599999998928979</v>
          </cell>
          <cell r="F783" t="str">
            <v>SCHMDPSO</v>
          </cell>
          <cell r="G783" t="str">
            <v>SCHMDP</v>
          </cell>
          <cell r="I783">
            <v>-0.2599999998928979</v>
          </cell>
        </row>
        <row r="784">
          <cell r="A784" t="str">
            <v>SCHMDTCA</v>
          </cell>
          <cell r="B784" t="str">
            <v>SCHMDT</v>
          </cell>
          <cell r="D784">
            <v>0</v>
          </cell>
          <cell r="F784" t="str">
            <v>SCHMDTCA</v>
          </cell>
          <cell r="G784" t="str">
            <v>SCHMDT</v>
          </cell>
          <cell r="I784">
            <v>0</v>
          </cell>
        </row>
        <row r="785">
          <cell r="A785" t="str">
            <v>SCHMDTCN</v>
          </cell>
          <cell r="B785" t="str">
            <v>SCHMDT</v>
          </cell>
          <cell r="D785">
            <v>0</v>
          </cell>
          <cell r="F785" t="str">
            <v>SCHMDTCN</v>
          </cell>
          <cell r="G785" t="str">
            <v>SCHMDT</v>
          </cell>
          <cell r="I785">
            <v>0</v>
          </cell>
        </row>
        <row r="786">
          <cell r="A786" t="str">
            <v>SCHMDTGPS</v>
          </cell>
          <cell r="B786" t="str">
            <v>SCHMDT</v>
          </cell>
          <cell r="D786">
            <v>98184638.999999791</v>
          </cell>
          <cell r="F786" t="str">
            <v>SCHMDTGPS</v>
          </cell>
          <cell r="G786" t="str">
            <v>SCHMDT</v>
          </cell>
          <cell r="I786">
            <v>98184638.999999791</v>
          </cell>
        </row>
        <row r="787">
          <cell r="A787" t="str">
            <v>SCHMDTID</v>
          </cell>
          <cell r="B787" t="str">
            <v>SCHMDT</v>
          </cell>
          <cell r="D787">
            <v>4871850</v>
          </cell>
          <cell r="F787" t="str">
            <v>SCHMDTID</v>
          </cell>
          <cell r="G787" t="str">
            <v>SCHMDT</v>
          </cell>
          <cell r="I787">
            <v>4871850</v>
          </cell>
        </row>
        <row r="788">
          <cell r="A788" t="str">
            <v>SCHMDTOR</v>
          </cell>
          <cell r="B788" t="str">
            <v>SCHMDT</v>
          </cell>
          <cell r="D788">
            <v>53808</v>
          </cell>
          <cell r="F788" t="str">
            <v>SCHMDTOR</v>
          </cell>
          <cell r="G788" t="str">
            <v>SCHMDT</v>
          </cell>
          <cell r="I788">
            <v>53808</v>
          </cell>
        </row>
        <row r="789">
          <cell r="A789" t="str">
            <v>SCHMDTOTHER</v>
          </cell>
          <cell r="B789" t="str">
            <v>SCHMDT</v>
          </cell>
          <cell r="D789">
            <v>9798979</v>
          </cell>
          <cell r="F789" t="str">
            <v>SCHMDTOTHER</v>
          </cell>
          <cell r="G789" t="str">
            <v>SCHMDT</v>
          </cell>
          <cell r="I789">
            <v>9798979</v>
          </cell>
        </row>
        <row r="790">
          <cell r="A790" t="str">
            <v>SCHMDTSE</v>
          </cell>
          <cell r="B790" t="str">
            <v>SCHMDT</v>
          </cell>
          <cell r="D790">
            <v>5493685.4029999934</v>
          </cell>
          <cell r="F790" t="str">
            <v>SCHMDTSE</v>
          </cell>
          <cell r="G790" t="str">
            <v>SCHMDT</v>
          </cell>
          <cell r="I790">
            <v>5493685.4029999934</v>
          </cell>
        </row>
        <row r="791">
          <cell r="A791" t="str">
            <v>SCHMDTSG</v>
          </cell>
          <cell r="B791" t="str">
            <v>SCHMDT</v>
          </cell>
          <cell r="D791">
            <v>144171973</v>
          </cell>
          <cell r="F791" t="str">
            <v>SCHMDTSG</v>
          </cell>
          <cell r="G791" t="str">
            <v>SCHMDT</v>
          </cell>
          <cell r="I791">
            <v>144171973</v>
          </cell>
        </row>
        <row r="792">
          <cell r="A792" t="str">
            <v>SCHMDTSNP</v>
          </cell>
          <cell r="B792" t="str">
            <v>SCHMDT</v>
          </cell>
          <cell r="D792">
            <v>77029127</v>
          </cell>
          <cell r="F792" t="str">
            <v>SCHMDTSNP</v>
          </cell>
          <cell r="G792" t="str">
            <v>SCHMDT</v>
          </cell>
          <cell r="I792">
            <v>77029127</v>
          </cell>
        </row>
        <row r="793">
          <cell r="A793" t="str">
            <v>SCHMDTSNPD</v>
          </cell>
          <cell r="B793" t="str">
            <v>SCHMDT</v>
          </cell>
          <cell r="D793">
            <v>0</v>
          </cell>
          <cell r="F793" t="str">
            <v>SCHMDTSNPD</v>
          </cell>
          <cell r="G793" t="str">
            <v>SCHMDT</v>
          </cell>
          <cell r="I793">
            <v>0</v>
          </cell>
        </row>
        <row r="794">
          <cell r="A794" t="str">
            <v>SCHMDTSO</v>
          </cell>
          <cell r="B794" t="str">
            <v>SCHMDT</v>
          </cell>
          <cell r="D794">
            <v>6403321.0000000037</v>
          </cell>
          <cell r="F794" t="str">
            <v>SCHMDTSO</v>
          </cell>
          <cell r="G794" t="str">
            <v>SCHMDT</v>
          </cell>
          <cell r="I794">
            <v>6403321.0000000037</v>
          </cell>
        </row>
        <row r="795">
          <cell r="A795" t="str">
            <v>SCHMDTSSGCH</v>
          </cell>
          <cell r="B795" t="str">
            <v>SCHMDT</v>
          </cell>
          <cell r="D795">
            <v>180174</v>
          </cell>
          <cell r="F795" t="str">
            <v>SCHMDTSSGCH</v>
          </cell>
          <cell r="G795" t="str">
            <v>SCHMDT</v>
          </cell>
          <cell r="I795">
            <v>180174</v>
          </cell>
        </row>
        <row r="796">
          <cell r="A796" t="str">
            <v>SCHMDTTAXDEPR</v>
          </cell>
          <cell r="B796" t="str">
            <v>SCHMDT</v>
          </cell>
          <cell r="D796">
            <v>795344018</v>
          </cell>
          <cell r="F796" t="str">
            <v>SCHMDTTAXDEPR</v>
          </cell>
          <cell r="G796" t="str">
            <v>SCHMDT</v>
          </cell>
          <cell r="I796">
            <v>795344018</v>
          </cell>
        </row>
        <row r="797">
          <cell r="A797" t="str">
            <v>SCHMDTUT</v>
          </cell>
          <cell r="B797" t="str">
            <v>SCHMDT</v>
          </cell>
          <cell r="D797">
            <v>27068435.262499999</v>
          </cell>
          <cell r="F797" t="str">
            <v>SCHMDTUT</v>
          </cell>
          <cell r="G797" t="str">
            <v>SCHMDT</v>
          </cell>
          <cell r="I797">
            <v>27068435.262499999</v>
          </cell>
        </row>
        <row r="798">
          <cell r="A798" t="str">
            <v>SCHMDTWA</v>
          </cell>
          <cell r="B798" t="str">
            <v>SCHMDT</v>
          </cell>
          <cell r="D798">
            <v>0</v>
          </cell>
          <cell r="F798" t="str">
            <v>SCHMDTWA</v>
          </cell>
          <cell r="G798" t="str">
            <v>SCHMDT</v>
          </cell>
          <cell r="I798">
            <v>0</v>
          </cell>
        </row>
        <row r="799">
          <cell r="A799" t="str">
            <v>SCHMDTWYP</v>
          </cell>
          <cell r="B799" t="str">
            <v>SCHMDT</v>
          </cell>
          <cell r="D799">
            <v>13381058</v>
          </cell>
          <cell r="F799" t="str">
            <v>SCHMDTWYP</v>
          </cell>
          <cell r="G799" t="str">
            <v>SCHMDT</v>
          </cell>
          <cell r="I799">
            <v>13381058</v>
          </cell>
        </row>
        <row r="800">
          <cell r="A800" t="str">
            <v>403360CA</v>
          </cell>
          <cell r="B800" t="str">
            <v>403360</v>
          </cell>
          <cell r="D800">
            <v>25655.390650738351</v>
          </cell>
          <cell r="F800" t="str">
            <v>403360CA</v>
          </cell>
          <cell r="G800" t="str">
            <v>403360</v>
          </cell>
          <cell r="I800">
            <v>25655.390650738351</v>
          </cell>
        </row>
        <row r="801">
          <cell r="A801" t="str">
            <v>403360ID</v>
          </cell>
          <cell r="B801" t="str">
            <v>403360</v>
          </cell>
          <cell r="D801">
            <v>28513.587922355055</v>
          </cell>
          <cell r="F801" t="str">
            <v>403360ID</v>
          </cell>
          <cell r="G801" t="str">
            <v>403360</v>
          </cell>
          <cell r="I801">
            <v>28513.587922355055</v>
          </cell>
        </row>
        <row r="802">
          <cell r="A802" t="str">
            <v>403360OR</v>
          </cell>
          <cell r="B802" t="str">
            <v>403360</v>
          </cell>
          <cell r="D802">
            <v>35469.39405536541</v>
          </cell>
          <cell r="F802" t="str">
            <v>403360OR</v>
          </cell>
          <cell r="G802" t="str">
            <v>403360</v>
          </cell>
          <cell r="I802">
            <v>35469.39405536541</v>
          </cell>
        </row>
        <row r="803">
          <cell r="A803" t="str">
            <v>403360UT</v>
          </cell>
          <cell r="B803" t="str">
            <v>403360</v>
          </cell>
          <cell r="D803">
            <v>267585.8547231619</v>
          </cell>
          <cell r="F803" t="str">
            <v>403360UT</v>
          </cell>
          <cell r="G803" t="str">
            <v>403360</v>
          </cell>
          <cell r="I803">
            <v>267585.8547231619</v>
          </cell>
        </row>
        <row r="804">
          <cell r="A804" t="str">
            <v>403360WA</v>
          </cell>
          <cell r="B804" t="str">
            <v>403360</v>
          </cell>
          <cell r="D804">
            <v>-2429.6875988022466</v>
          </cell>
          <cell r="F804" t="str">
            <v>403360WA</v>
          </cell>
          <cell r="G804" t="str">
            <v>403360</v>
          </cell>
          <cell r="I804">
            <v>-2429.6875988022466</v>
          </cell>
        </row>
        <row r="805">
          <cell r="A805" t="str">
            <v>403360WYP</v>
          </cell>
          <cell r="B805" t="str">
            <v>403360</v>
          </cell>
          <cell r="D805">
            <v>51690.653741251183</v>
          </cell>
          <cell r="F805" t="str">
            <v>403360WYP</v>
          </cell>
          <cell r="G805" t="str">
            <v>403360</v>
          </cell>
          <cell r="I805">
            <v>51690.653741251183</v>
          </cell>
        </row>
        <row r="806">
          <cell r="A806" t="str">
            <v>403360WYU</v>
          </cell>
          <cell r="B806" t="str">
            <v>403360</v>
          </cell>
          <cell r="D806">
            <v>49857.52</v>
          </cell>
          <cell r="F806" t="str">
            <v>403360WYU</v>
          </cell>
          <cell r="G806" t="str">
            <v>403360</v>
          </cell>
          <cell r="I806">
            <v>49857.52</v>
          </cell>
        </row>
        <row r="807">
          <cell r="A807" t="str">
            <v>403361CA</v>
          </cell>
          <cell r="B807" t="str">
            <v>403361</v>
          </cell>
          <cell r="D807">
            <v>90289.861180315522</v>
          </cell>
          <cell r="F807" t="str">
            <v>403361CA</v>
          </cell>
          <cell r="G807" t="str">
            <v>403361</v>
          </cell>
          <cell r="I807">
            <v>90289.861180315522</v>
          </cell>
        </row>
        <row r="808">
          <cell r="A808" t="str">
            <v>403361ID</v>
          </cell>
          <cell r="B808" t="str">
            <v>403361</v>
          </cell>
          <cell r="D808">
            <v>47373.943009341325</v>
          </cell>
          <cell r="F808" t="str">
            <v>403361ID</v>
          </cell>
          <cell r="G808" t="str">
            <v>403361</v>
          </cell>
          <cell r="I808">
            <v>47373.943009341325</v>
          </cell>
        </row>
        <row r="809">
          <cell r="A809" t="str">
            <v>403361OR</v>
          </cell>
          <cell r="B809" t="str">
            <v>403361</v>
          </cell>
          <cell r="D809">
            <v>297637.41951493738</v>
          </cell>
          <cell r="F809" t="str">
            <v>403361OR</v>
          </cell>
          <cell r="G809" t="str">
            <v>403361</v>
          </cell>
          <cell r="I809">
            <v>297637.41951493738</v>
          </cell>
        </row>
        <row r="810">
          <cell r="A810" t="str">
            <v>403361UT</v>
          </cell>
          <cell r="B810" t="str">
            <v>403361</v>
          </cell>
          <cell r="D810">
            <v>831357.95191319659</v>
          </cell>
          <cell r="F810" t="str">
            <v>403361UT</v>
          </cell>
          <cell r="G810" t="str">
            <v>403361</v>
          </cell>
          <cell r="I810">
            <v>831357.95191319659</v>
          </cell>
        </row>
        <row r="811">
          <cell r="A811" t="str">
            <v>403361WA</v>
          </cell>
          <cell r="B811" t="str">
            <v>403361</v>
          </cell>
          <cell r="D811">
            <v>31655.862942786087</v>
          </cell>
          <cell r="F811" t="str">
            <v>403361WA</v>
          </cell>
          <cell r="G811" t="str">
            <v>403361</v>
          </cell>
          <cell r="I811">
            <v>31655.862942786087</v>
          </cell>
        </row>
        <row r="812">
          <cell r="A812" t="str">
            <v>403361WYP</v>
          </cell>
          <cell r="B812" t="str">
            <v>403361</v>
          </cell>
          <cell r="D812">
            <v>209289.61228936486</v>
          </cell>
          <cell r="F812" t="str">
            <v>403361WYP</v>
          </cell>
          <cell r="G812" t="str">
            <v>403361</v>
          </cell>
          <cell r="I812">
            <v>209289.61228936486</v>
          </cell>
        </row>
        <row r="813">
          <cell r="A813" t="str">
            <v>403361WYU</v>
          </cell>
          <cell r="B813" t="str">
            <v>403361</v>
          </cell>
          <cell r="D813">
            <v>38093.72</v>
          </cell>
          <cell r="F813" t="str">
            <v>403361WYU</v>
          </cell>
          <cell r="G813" t="str">
            <v>403361</v>
          </cell>
          <cell r="I813">
            <v>38093.72</v>
          </cell>
        </row>
        <row r="814">
          <cell r="A814" t="str">
            <v>403362CA</v>
          </cell>
          <cell r="B814" t="str">
            <v>403362</v>
          </cell>
          <cell r="D814">
            <v>609085.2073827706</v>
          </cell>
          <cell r="F814" t="str">
            <v>403362CA</v>
          </cell>
          <cell r="G814" t="str">
            <v>403362</v>
          </cell>
          <cell r="I814">
            <v>609085.2073827706</v>
          </cell>
        </row>
        <row r="815">
          <cell r="A815" t="str">
            <v>403362ID</v>
          </cell>
          <cell r="B815" t="str">
            <v>403362</v>
          </cell>
          <cell r="D815">
            <v>801213.90532199631</v>
          </cell>
          <cell r="F815" t="str">
            <v>403362ID</v>
          </cell>
          <cell r="G815" t="str">
            <v>403362</v>
          </cell>
          <cell r="I815">
            <v>801213.90532199631</v>
          </cell>
        </row>
        <row r="816">
          <cell r="A816" t="str">
            <v>403362OR</v>
          </cell>
          <cell r="B816" t="str">
            <v>403362</v>
          </cell>
          <cell r="D816">
            <v>4089624.9622679972</v>
          </cell>
          <cell r="F816" t="str">
            <v>403362OR</v>
          </cell>
          <cell r="G816" t="str">
            <v>403362</v>
          </cell>
          <cell r="I816">
            <v>4089624.9622679972</v>
          </cell>
        </row>
        <row r="817">
          <cell r="A817" t="str">
            <v>403362UT</v>
          </cell>
          <cell r="B817" t="str">
            <v>403362</v>
          </cell>
          <cell r="D817">
            <v>11199759.367043301</v>
          </cell>
          <cell r="F817" t="str">
            <v>403362UT</v>
          </cell>
          <cell r="G817" t="str">
            <v>403362</v>
          </cell>
          <cell r="I817">
            <v>11199759.367043301</v>
          </cell>
        </row>
        <row r="818">
          <cell r="A818" t="str">
            <v>403362WA</v>
          </cell>
          <cell r="B818" t="str">
            <v>403362</v>
          </cell>
          <cell r="D818">
            <v>933541.50469458196</v>
          </cell>
          <cell r="F818" t="str">
            <v>403362WA</v>
          </cell>
          <cell r="G818" t="str">
            <v>403362</v>
          </cell>
          <cell r="I818">
            <v>933541.50469458196</v>
          </cell>
        </row>
        <row r="819">
          <cell r="A819" t="str">
            <v>403362WYP</v>
          </cell>
          <cell r="B819" t="str">
            <v>403362</v>
          </cell>
          <cell r="D819">
            <v>2740723.4371884651</v>
          </cell>
          <cell r="F819" t="str">
            <v>403362WYP</v>
          </cell>
          <cell r="G819" t="str">
            <v>403362</v>
          </cell>
          <cell r="I819">
            <v>2740723.4371884651</v>
          </cell>
        </row>
        <row r="820">
          <cell r="A820" t="str">
            <v>403362WYU</v>
          </cell>
          <cell r="B820" t="str">
            <v>403362</v>
          </cell>
          <cell r="D820">
            <v>219184.58</v>
          </cell>
          <cell r="F820" t="str">
            <v>403362WYU</v>
          </cell>
          <cell r="G820" t="str">
            <v>403362</v>
          </cell>
          <cell r="I820">
            <v>219184.58</v>
          </cell>
        </row>
        <row r="821">
          <cell r="A821" t="str">
            <v>403364CA</v>
          </cell>
          <cell r="B821" t="str">
            <v>403364</v>
          </cell>
          <cell r="D821">
            <v>2221318.6940691718</v>
          </cell>
          <cell r="F821" t="str">
            <v>403364CA</v>
          </cell>
          <cell r="G821" t="str">
            <v>403364</v>
          </cell>
          <cell r="I821">
            <v>2221318.6940691718</v>
          </cell>
        </row>
        <row r="822">
          <cell r="A822" t="str">
            <v>403364ID</v>
          </cell>
          <cell r="B822" t="str">
            <v>403364</v>
          </cell>
          <cell r="D822">
            <v>114343.68390286202</v>
          </cell>
          <cell r="F822" t="str">
            <v>403364ID</v>
          </cell>
          <cell r="G822" t="str">
            <v>403364</v>
          </cell>
          <cell r="I822">
            <v>114343.68390286202</v>
          </cell>
        </row>
        <row r="823">
          <cell r="A823" t="str">
            <v>403364OR</v>
          </cell>
          <cell r="B823" t="str">
            <v>403364</v>
          </cell>
          <cell r="D823">
            <v>12608570.754629143</v>
          </cell>
          <cell r="F823" t="str">
            <v>403364OR</v>
          </cell>
          <cell r="G823" t="str">
            <v>403364</v>
          </cell>
          <cell r="I823">
            <v>12608570.754629143</v>
          </cell>
        </row>
        <row r="824">
          <cell r="A824" t="str">
            <v>403364UT</v>
          </cell>
          <cell r="B824" t="str">
            <v>403364</v>
          </cell>
          <cell r="D824">
            <v>-10474425.646638526</v>
          </cell>
          <cell r="F824" t="str">
            <v>403364UT</v>
          </cell>
          <cell r="G824" t="str">
            <v>403364</v>
          </cell>
          <cell r="I824">
            <v>-10474425.646638526</v>
          </cell>
        </row>
        <row r="825">
          <cell r="A825" t="str">
            <v>403364WA</v>
          </cell>
          <cell r="B825" t="str">
            <v>403364</v>
          </cell>
          <cell r="D825">
            <v>3739376.5219660411</v>
          </cell>
          <cell r="F825" t="str">
            <v>403364WA</v>
          </cell>
          <cell r="G825" t="str">
            <v>403364</v>
          </cell>
          <cell r="I825">
            <v>3739376.5219660411</v>
          </cell>
        </row>
        <row r="826">
          <cell r="A826" t="str">
            <v>403364WYP</v>
          </cell>
          <cell r="B826" t="str">
            <v>403364</v>
          </cell>
          <cell r="D826">
            <v>1660637.8233011283</v>
          </cell>
          <cell r="F826" t="str">
            <v>403364WYP</v>
          </cell>
          <cell r="G826" t="str">
            <v>403364</v>
          </cell>
          <cell r="I826">
            <v>1660637.8233011283</v>
          </cell>
        </row>
        <row r="827">
          <cell r="A827" t="str">
            <v>403364WYU</v>
          </cell>
          <cell r="B827" t="str">
            <v>403364</v>
          </cell>
          <cell r="D827">
            <v>737010.1</v>
          </cell>
          <cell r="F827" t="str">
            <v>403364WYU</v>
          </cell>
          <cell r="G827" t="str">
            <v>403364</v>
          </cell>
          <cell r="I827">
            <v>737010.1</v>
          </cell>
        </row>
        <row r="828">
          <cell r="A828" t="str">
            <v>403365CA</v>
          </cell>
          <cell r="B828" t="str">
            <v>403365</v>
          </cell>
          <cell r="D828">
            <v>1064369.2873288256</v>
          </cell>
          <cell r="F828" t="str">
            <v>403365CA</v>
          </cell>
          <cell r="G828" t="str">
            <v>403365</v>
          </cell>
          <cell r="I828">
            <v>1064369.2873288256</v>
          </cell>
        </row>
        <row r="829">
          <cell r="A829" t="str">
            <v>403365ID</v>
          </cell>
          <cell r="B829" t="str">
            <v>403365</v>
          </cell>
          <cell r="D829">
            <v>1100404.1926954733</v>
          </cell>
          <cell r="F829" t="str">
            <v>403365ID</v>
          </cell>
          <cell r="G829" t="str">
            <v>403365</v>
          </cell>
          <cell r="I829">
            <v>1100404.1926954733</v>
          </cell>
        </row>
        <row r="830">
          <cell r="A830" t="str">
            <v>403365OR</v>
          </cell>
          <cell r="B830" t="str">
            <v>403365</v>
          </cell>
          <cell r="D830">
            <v>6767939.5214579683</v>
          </cell>
          <cell r="F830" t="str">
            <v>403365OR</v>
          </cell>
          <cell r="G830" t="str">
            <v>403365</v>
          </cell>
          <cell r="I830">
            <v>6767939.5214579683</v>
          </cell>
        </row>
        <row r="831">
          <cell r="A831" t="str">
            <v>403365UT</v>
          </cell>
          <cell r="B831" t="str">
            <v>403365</v>
          </cell>
          <cell r="D831">
            <v>7452755.9099181974</v>
          </cell>
          <cell r="F831" t="str">
            <v>403365UT</v>
          </cell>
          <cell r="G831" t="str">
            <v>403365</v>
          </cell>
          <cell r="I831">
            <v>7452755.9099181974</v>
          </cell>
        </row>
        <row r="832">
          <cell r="A832" t="str">
            <v>403365WA</v>
          </cell>
          <cell r="B832" t="str">
            <v>403365</v>
          </cell>
          <cell r="D832">
            <v>1669102.1366702993</v>
          </cell>
          <cell r="F832" t="str">
            <v>403365WA</v>
          </cell>
          <cell r="G832" t="str">
            <v>403365</v>
          </cell>
          <cell r="I832">
            <v>1669102.1366702993</v>
          </cell>
        </row>
        <row r="833">
          <cell r="A833" t="str">
            <v>403365WYP</v>
          </cell>
          <cell r="B833" t="str">
            <v>403365</v>
          </cell>
          <cell r="D833">
            <v>2505343.1417989163</v>
          </cell>
          <cell r="F833" t="str">
            <v>403365WYP</v>
          </cell>
          <cell r="G833" t="str">
            <v>403365</v>
          </cell>
          <cell r="I833">
            <v>2505343.1417989163</v>
          </cell>
        </row>
        <row r="834">
          <cell r="A834" t="str">
            <v>403365WYU</v>
          </cell>
          <cell r="B834" t="str">
            <v>403365</v>
          </cell>
          <cell r="D834">
            <v>333708.57</v>
          </cell>
          <cell r="F834" t="str">
            <v>403365WYU</v>
          </cell>
          <cell r="G834" t="str">
            <v>403365</v>
          </cell>
          <cell r="I834">
            <v>333708.57</v>
          </cell>
        </row>
        <row r="835">
          <cell r="A835" t="str">
            <v>403366CA</v>
          </cell>
          <cell r="B835" t="str">
            <v>403366</v>
          </cell>
          <cell r="D835">
            <v>498366.46381744812</v>
          </cell>
          <cell r="F835" t="str">
            <v>403366CA</v>
          </cell>
          <cell r="G835" t="str">
            <v>403366</v>
          </cell>
          <cell r="I835">
            <v>498366.46381744812</v>
          </cell>
        </row>
        <row r="836">
          <cell r="A836" t="str">
            <v>403366ID</v>
          </cell>
          <cell r="B836" t="str">
            <v>403366</v>
          </cell>
          <cell r="D836">
            <v>230146.9744149232</v>
          </cell>
          <cell r="F836" t="str">
            <v>403366ID</v>
          </cell>
          <cell r="G836" t="str">
            <v>403366</v>
          </cell>
          <cell r="I836">
            <v>230146.9744149232</v>
          </cell>
        </row>
        <row r="837">
          <cell r="A837" t="str">
            <v>403366OR</v>
          </cell>
          <cell r="B837" t="str">
            <v>403366</v>
          </cell>
          <cell r="D837">
            <v>2042334.6850536207</v>
          </cell>
          <cell r="F837" t="str">
            <v>403366OR</v>
          </cell>
          <cell r="G837" t="str">
            <v>403366</v>
          </cell>
          <cell r="I837">
            <v>2042334.6850536207</v>
          </cell>
        </row>
        <row r="838">
          <cell r="A838" t="str">
            <v>403366UT</v>
          </cell>
          <cell r="B838" t="str">
            <v>403366</v>
          </cell>
          <cell r="D838">
            <v>4335364.2043140987</v>
          </cell>
          <cell r="F838" t="str">
            <v>403366UT</v>
          </cell>
          <cell r="G838" t="str">
            <v>403366</v>
          </cell>
          <cell r="I838">
            <v>4335364.2043140987</v>
          </cell>
        </row>
        <row r="839">
          <cell r="A839" t="str">
            <v>403366WA</v>
          </cell>
          <cell r="B839" t="str">
            <v>403366</v>
          </cell>
          <cell r="D839">
            <v>688169.14064438851</v>
          </cell>
          <cell r="F839" t="str">
            <v>403366WA</v>
          </cell>
          <cell r="G839" t="str">
            <v>403366</v>
          </cell>
          <cell r="I839">
            <v>688169.14064438851</v>
          </cell>
        </row>
        <row r="840">
          <cell r="A840" t="str">
            <v>403366WYP</v>
          </cell>
          <cell r="B840" t="str">
            <v>403366</v>
          </cell>
          <cell r="D840">
            <v>703264.51570138545</v>
          </cell>
          <cell r="F840" t="str">
            <v>403366WYP</v>
          </cell>
          <cell r="G840" t="str">
            <v>403366</v>
          </cell>
          <cell r="I840">
            <v>703264.51570138545</v>
          </cell>
        </row>
        <row r="841">
          <cell r="A841" t="str">
            <v>403366WYU</v>
          </cell>
          <cell r="B841" t="str">
            <v>403366</v>
          </cell>
          <cell r="D841">
            <v>155113.76</v>
          </cell>
          <cell r="F841" t="str">
            <v>403366WYU</v>
          </cell>
          <cell r="G841" t="str">
            <v>403366</v>
          </cell>
          <cell r="I841">
            <v>155113.76</v>
          </cell>
        </row>
        <row r="842">
          <cell r="A842" t="str">
            <v>403367CA</v>
          </cell>
          <cell r="B842" t="str">
            <v>403367</v>
          </cell>
          <cell r="D842">
            <v>463667.06927978568</v>
          </cell>
          <cell r="F842" t="str">
            <v>403367CA</v>
          </cell>
          <cell r="G842" t="str">
            <v>403367</v>
          </cell>
          <cell r="I842">
            <v>463667.06927978568</v>
          </cell>
        </row>
        <row r="843">
          <cell r="A843" t="str">
            <v>403367ID</v>
          </cell>
          <cell r="B843" t="str">
            <v>403367</v>
          </cell>
          <cell r="D843">
            <v>625232.34707775083</v>
          </cell>
          <cell r="F843" t="str">
            <v>403367ID</v>
          </cell>
          <cell r="G843" t="str">
            <v>403367</v>
          </cell>
          <cell r="I843">
            <v>625232.34707775083</v>
          </cell>
        </row>
        <row r="844">
          <cell r="A844" t="str">
            <v>403367OR</v>
          </cell>
          <cell r="B844" t="str">
            <v>403367</v>
          </cell>
          <cell r="D844">
            <v>3448340.6762129897</v>
          </cell>
          <cell r="F844" t="str">
            <v>403367OR</v>
          </cell>
          <cell r="G844" t="str">
            <v>403367</v>
          </cell>
          <cell r="I844">
            <v>3448340.6762129897</v>
          </cell>
        </row>
        <row r="845">
          <cell r="A845" t="str">
            <v>403367UT</v>
          </cell>
          <cell r="B845" t="str">
            <v>403367</v>
          </cell>
          <cell r="D845">
            <v>12040671.148107134</v>
          </cell>
          <cell r="F845" t="str">
            <v>403367UT</v>
          </cell>
          <cell r="G845" t="str">
            <v>403367</v>
          </cell>
          <cell r="I845">
            <v>12040671.148107134</v>
          </cell>
        </row>
        <row r="846">
          <cell r="A846" t="str">
            <v>403367WA</v>
          </cell>
          <cell r="B846" t="str">
            <v>403367</v>
          </cell>
          <cell r="D846">
            <v>584989.57496596803</v>
          </cell>
          <cell r="F846" t="str">
            <v>403367WA</v>
          </cell>
          <cell r="G846" t="str">
            <v>403367</v>
          </cell>
          <cell r="I846">
            <v>584989.57496596803</v>
          </cell>
        </row>
        <row r="847">
          <cell r="A847" t="str">
            <v>403367WYP</v>
          </cell>
          <cell r="B847" t="str">
            <v>403367</v>
          </cell>
          <cell r="D847">
            <v>1413090.5683083374</v>
          </cell>
          <cell r="F847" t="str">
            <v>403367WYP</v>
          </cell>
          <cell r="G847" t="str">
            <v>403367</v>
          </cell>
          <cell r="I847">
            <v>1413090.5683083374</v>
          </cell>
        </row>
        <row r="848">
          <cell r="A848" t="str">
            <v>403367WYU</v>
          </cell>
          <cell r="B848" t="str">
            <v>403367</v>
          </cell>
          <cell r="D848">
            <v>586514.43999999994</v>
          </cell>
          <cell r="F848" t="str">
            <v>403367WYU</v>
          </cell>
          <cell r="G848" t="str">
            <v>403367</v>
          </cell>
          <cell r="I848">
            <v>586514.43999999994</v>
          </cell>
        </row>
        <row r="849">
          <cell r="A849" t="str">
            <v>403368CA</v>
          </cell>
          <cell r="B849" t="str">
            <v>403368</v>
          </cell>
          <cell r="D849">
            <v>1295762.8336710155</v>
          </cell>
          <cell r="F849" t="str">
            <v>403368CA</v>
          </cell>
          <cell r="G849" t="str">
            <v>403368</v>
          </cell>
          <cell r="I849">
            <v>1295762.8336710155</v>
          </cell>
        </row>
        <row r="850">
          <cell r="A850" t="str">
            <v>403368ID</v>
          </cell>
          <cell r="B850" t="str">
            <v>403368</v>
          </cell>
          <cell r="D850">
            <v>1749297.8576621923</v>
          </cell>
          <cell r="F850" t="str">
            <v>403368ID</v>
          </cell>
          <cell r="G850" t="str">
            <v>403368</v>
          </cell>
          <cell r="I850">
            <v>1749297.8576621923</v>
          </cell>
        </row>
        <row r="851">
          <cell r="A851" t="str">
            <v>403368OR</v>
          </cell>
          <cell r="B851" t="str">
            <v>403368</v>
          </cell>
          <cell r="D851">
            <v>10805376.257775648</v>
          </cell>
          <cell r="F851" t="str">
            <v>403368OR</v>
          </cell>
          <cell r="G851" t="str">
            <v>403368</v>
          </cell>
          <cell r="I851">
            <v>10805376.257775648</v>
          </cell>
        </row>
        <row r="852">
          <cell r="A852" t="str">
            <v>403368UT</v>
          </cell>
          <cell r="B852" t="str">
            <v>403368</v>
          </cell>
          <cell r="D852">
            <v>10480271.696340168</v>
          </cell>
          <cell r="F852" t="str">
            <v>403368UT</v>
          </cell>
          <cell r="G852" t="str">
            <v>403368</v>
          </cell>
          <cell r="I852">
            <v>10480271.696340168</v>
          </cell>
        </row>
        <row r="853">
          <cell r="A853" t="str">
            <v>403368WA</v>
          </cell>
          <cell r="B853" t="str">
            <v>403368</v>
          </cell>
          <cell r="D853">
            <v>2769619.5370155238</v>
          </cell>
          <cell r="F853" t="str">
            <v>403368WA</v>
          </cell>
          <cell r="G853" t="str">
            <v>403368</v>
          </cell>
          <cell r="I853">
            <v>2769619.5370155238</v>
          </cell>
        </row>
        <row r="854">
          <cell r="A854" t="str">
            <v>403368WYP</v>
          </cell>
          <cell r="B854" t="str">
            <v>403368</v>
          </cell>
          <cell r="D854">
            <v>2953146.4045567564</v>
          </cell>
          <cell r="F854" t="str">
            <v>403368WYP</v>
          </cell>
          <cell r="G854" t="str">
            <v>403368</v>
          </cell>
          <cell r="I854">
            <v>2953146.4045567564</v>
          </cell>
        </row>
        <row r="855">
          <cell r="A855" t="str">
            <v>403368WYU</v>
          </cell>
          <cell r="B855" t="str">
            <v>403368</v>
          </cell>
          <cell r="D855">
            <v>406682.85</v>
          </cell>
          <cell r="F855" t="str">
            <v>403368WYU</v>
          </cell>
          <cell r="G855" t="str">
            <v>403368</v>
          </cell>
          <cell r="I855">
            <v>406682.85</v>
          </cell>
        </row>
        <row r="856">
          <cell r="A856" t="str">
            <v>403369CA</v>
          </cell>
          <cell r="B856" t="str">
            <v>403369</v>
          </cell>
          <cell r="D856">
            <v>458245.69372247497</v>
          </cell>
          <cell r="F856" t="str">
            <v>403369CA</v>
          </cell>
          <cell r="G856" t="str">
            <v>403369</v>
          </cell>
          <cell r="I856">
            <v>458245.69372247497</v>
          </cell>
        </row>
        <row r="857">
          <cell r="A857" t="str">
            <v>403369ID</v>
          </cell>
          <cell r="B857" t="str">
            <v>403369</v>
          </cell>
          <cell r="D857">
            <v>703171.29410644539</v>
          </cell>
          <cell r="F857" t="str">
            <v>403369ID</v>
          </cell>
          <cell r="G857" t="str">
            <v>403369</v>
          </cell>
          <cell r="I857">
            <v>703171.29410644539</v>
          </cell>
        </row>
        <row r="858">
          <cell r="A858" t="str">
            <v>403369OR</v>
          </cell>
          <cell r="B858" t="str">
            <v>403369</v>
          </cell>
          <cell r="D858">
            <v>4365591.9732393324</v>
          </cell>
          <cell r="F858" t="str">
            <v>403369OR</v>
          </cell>
          <cell r="G858" t="str">
            <v>403369</v>
          </cell>
          <cell r="I858">
            <v>4365591.9732393324</v>
          </cell>
        </row>
        <row r="859">
          <cell r="A859" t="str">
            <v>403369UT</v>
          </cell>
          <cell r="B859" t="str">
            <v>403369</v>
          </cell>
          <cell r="D859">
            <v>4948731.2193351509</v>
          </cell>
          <cell r="F859" t="str">
            <v>403369UT</v>
          </cell>
          <cell r="G859" t="str">
            <v>403369</v>
          </cell>
          <cell r="I859">
            <v>4948731.2193351509</v>
          </cell>
        </row>
        <row r="860">
          <cell r="A860" t="str">
            <v>403369WA</v>
          </cell>
          <cell r="B860" t="str">
            <v>403369</v>
          </cell>
          <cell r="D860">
            <v>1237235.8937706642</v>
          </cell>
          <cell r="F860" t="str">
            <v>403369WA</v>
          </cell>
          <cell r="G860" t="str">
            <v>403369</v>
          </cell>
          <cell r="I860">
            <v>1237235.8937706642</v>
          </cell>
        </row>
        <row r="861">
          <cell r="A861" t="str">
            <v>403369WYP</v>
          </cell>
          <cell r="B861" t="str">
            <v>403369</v>
          </cell>
          <cell r="D861">
            <v>1234176.0838173092</v>
          </cell>
          <cell r="F861" t="str">
            <v>403369WYP</v>
          </cell>
          <cell r="G861" t="str">
            <v>403369</v>
          </cell>
          <cell r="I861">
            <v>1234176.0838173092</v>
          </cell>
        </row>
        <row r="862">
          <cell r="A862" t="str">
            <v>403369WYU</v>
          </cell>
          <cell r="B862" t="str">
            <v>403369</v>
          </cell>
          <cell r="D862">
            <v>293785.94</v>
          </cell>
          <cell r="F862" t="str">
            <v>403369WYU</v>
          </cell>
          <cell r="G862" t="str">
            <v>403369</v>
          </cell>
          <cell r="I862">
            <v>293785.94</v>
          </cell>
        </row>
        <row r="863">
          <cell r="A863" t="str">
            <v>403370CA</v>
          </cell>
          <cell r="B863" t="str">
            <v>403370</v>
          </cell>
          <cell r="D863">
            <v>193288.30976768961</v>
          </cell>
          <cell r="F863" t="str">
            <v>403370CA</v>
          </cell>
          <cell r="G863" t="str">
            <v>403370</v>
          </cell>
          <cell r="I863">
            <v>193288.30976768961</v>
          </cell>
        </row>
        <row r="864">
          <cell r="A864" t="str">
            <v>403370ID</v>
          </cell>
          <cell r="B864" t="str">
            <v>403370</v>
          </cell>
          <cell r="D864">
            <v>463022.3673756895</v>
          </cell>
          <cell r="F864" t="str">
            <v>403370ID</v>
          </cell>
          <cell r="G864" t="str">
            <v>403370</v>
          </cell>
          <cell r="I864">
            <v>463022.3673756895</v>
          </cell>
        </row>
        <row r="865">
          <cell r="A865" t="str">
            <v>403370OR</v>
          </cell>
          <cell r="B865" t="str">
            <v>403370</v>
          </cell>
          <cell r="D865">
            <v>2056242.0152594906</v>
          </cell>
          <cell r="F865" t="str">
            <v>403370OR</v>
          </cell>
          <cell r="G865" t="str">
            <v>403370</v>
          </cell>
          <cell r="I865">
            <v>2056242.0152594906</v>
          </cell>
        </row>
        <row r="866">
          <cell r="A866" t="str">
            <v>403370UT</v>
          </cell>
          <cell r="B866" t="str">
            <v>403370</v>
          </cell>
          <cell r="D866">
            <v>2585986.9117674245</v>
          </cell>
          <cell r="F866" t="str">
            <v>403370UT</v>
          </cell>
          <cell r="G866" t="str">
            <v>403370</v>
          </cell>
          <cell r="I866">
            <v>2585986.9117674245</v>
          </cell>
        </row>
        <row r="867">
          <cell r="A867" t="str">
            <v>403370WA</v>
          </cell>
          <cell r="B867" t="str">
            <v>403370</v>
          </cell>
          <cell r="D867">
            <v>417912.26164917467</v>
          </cell>
          <cell r="F867" t="str">
            <v>403370WA</v>
          </cell>
          <cell r="G867" t="str">
            <v>403370</v>
          </cell>
          <cell r="I867">
            <v>417912.26164917467</v>
          </cell>
        </row>
        <row r="868">
          <cell r="A868" t="str">
            <v>403370WYP</v>
          </cell>
          <cell r="B868" t="str">
            <v>403370</v>
          </cell>
          <cell r="D868">
            <v>474820.0632564582</v>
          </cell>
          <cell r="F868" t="str">
            <v>403370WYP</v>
          </cell>
          <cell r="G868" t="str">
            <v>403370</v>
          </cell>
          <cell r="I868">
            <v>474820.0632564582</v>
          </cell>
        </row>
        <row r="869">
          <cell r="A869" t="str">
            <v>403370WYU</v>
          </cell>
          <cell r="B869" t="str">
            <v>403370</v>
          </cell>
          <cell r="D869">
            <v>77092.490000000005</v>
          </cell>
          <cell r="F869" t="str">
            <v>403370WYU</v>
          </cell>
          <cell r="G869" t="str">
            <v>403370</v>
          </cell>
          <cell r="I869">
            <v>77092.490000000005</v>
          </cell>
        </row>
        <row r="870">
          <cell r="A870" t="str">
            <v>403371CA</v>
          </cell>
          <cell r="B870" t="str">
            <v>403371</v>
          </cell>
          <cell r="D870">
            <v>13461.485410283736</v>
          </cell>
          <cell r="F870" t="str">
            <v>403371CA</v>
          </cell>
          <cell r="G870" t="str">
            <v>403371</v>
          </cell>
          <cell r="I870">
            <v>13461.485410283736</v>
          </cell>
        </row>
        <row r="871">
          <cell r="A871" t="str">
            <v>403371ID</v>
          </cell>
          <cell r="B871" t="str">
            <v>403371</v>
          </cell>
          <cell r="D871">
            <v>9085.8517282803932</v>
          </cell>
          <cell r="F871" t="str">
            <v>403371ID</v>
          </cell>
          <cell r="G871" t="str">
            <v>403371</v>
          </cell>
          <cell r="I871">
            <v>9085.8517282803932</v>
          </cell>
        </row>
        <row r="872">
          <cell r="A872" t="str">
            <v>403371OR</v>
          </cell>
          <cell r="B872" t="str">
            <v>403371</v>
          </cell>
          <cell r="D872">
            <v>115596.34857337597</v>
          </cell>
          <cell r="F872" t="str">
            <v>403371OR</v>
          </cell>
          <cell r="G872" t="str">
            <v>403371</v>
          </cell>
          <cell r="I872">
            <v>115596.34857337597</v>
          </cell>
        </row>
        <row r="873">
          <cell r="A873" t="str">
            <v>403371UT</v>
          </cell>
          <cell r="B873" t="str">
            <v>403371</v>
          </cell>
          <cell r="D873">
            <v>277421.62972472882</v>
          </cell>
          <cell r="F873" t="str">
            <v>403371UT</v>
          </cell>
          <cell r="G873" t="str">
            <v>403371</v>
          </cell>
          <cell r="I873">
            <v>277421.62972472882</v>
          </cell>
        </row>
        <row r="874">
          <cell r="A874" t="str">
            <v>403371WA</v>
          </cell>
          <cell r="B874" t="str">
            <v>403371</v>
          </cell>
          <cell r="D874">
            <v>17978.21290414434</v>
          </cell>
          <cell r="F874" t="str">
            <v>403371WA</v>
          </cell>
          <cell r="G874" t="str">
            <v>403371</v>
          </cell>
          <cell r="I874">
            <v>17978.21290414434</v>
          </cell>
        </row>
        <row r="875">
          <cell r="A875" t="str">
            <v>403371WYP</v>
          </cell>
          <cell r="B875" t="str">
            <v>403371</v>
          </cell>
          <cell r="D875">
            <v>49613.511519332431</v>
          </cell>
          <cell r="F875" t="str">
            <v>403371WYP</v>
          </cell>
          <cell r="G875" t="str">
            <v>403371</v>
          </cell>
          <cell r="I875">
            <v>49613.511519332431</v>
          </cell>
        </row>
        <row r="876">
          <cell r="A876" t="str">
            <v>403371WYU</v>
          </cell>
          <cell r="B876" t="str">
            <v>403371</v>
          </cell>
          <cell r="D876">
            <v>9046.44</v>
          </cell>
          <cell r="F876" t="str">
            <v>403371WYU</v>
          </cell>
          <cell r="G876" t="str">
            <v>403371</v>
          </cell>
          <cell r="I876">
            <v>9046.44</v>
          </cell>
        </row>
        <row r="877">
          <cell r="A877" t="str">
            <v>403373CA</v>
          </cell>
          <cell r="B877" t="str">
            <v>403373</v>
          </cell>
          <cell r="D877">
            <v>24294.637662413952</v>
          </cell>
          <cell r="F877" t="str">
            <v>403373CA</v>
          </cell>
          <cell r="G877" t="str">
            <v>403373</v>
          </cell>
          <cell r="I877">
            <v>24294.637662413952</v>
          </cell>
        </row>
        <row r="878">
          <cell r="A878" t="str">
            <v>403373ID</v>
          </cell>
          <cell r="B878" t="str">
            <v>403373</v>
          </cell>
          <cell r="D878">
            <v>39660.819000028474</v>
          </cell>
          <cell r="F878" t="str">
            <v>403373ID</v>
          </cell>
          <cell r="G878" t="str">
            <v>403373</v>
          </cell>
          <cell r="I878">
            <v>39660.819000028474</v>
          </cell>
        </row>
        <row r="879">
          <cell r="A879" t="str">
            <v>403373OR</v>
          </cell>
          <cell r="B879" t="str">
            <v>403373</v>
          </cell>
          <cell r="D879">
            <v>645712.87982073927</v>
          </cell>
          <cell r="F879" t="str">
            <v>403373OR</v>
          </cell>
          <cell r="G879" t="str">
            <v>403373</v>
          </cell>
          <cell r="I879">
            <v>645712.87982073927</v>
          </cell>
        </row>
        <row r="880">
          <cell r="A880" t="str">
            <v>403373UT</v>
          </cell>
          <cell r="B880" t="str">
            <v>403373</v>
          </cell>
          <cell r="D880">
            <v>1072052.774010625</v>
          </cell>
          <cell r="F880" t="str">
            <v>403373UT</v>
          </cell>
          <cell r="G880" t="str">
            <v>403373</v>
          </cell>
          <cell r="I880">
            <v>1072052.774010625</v>
          </cell>
        </row>
        <row r="881">
          <cell r="A881" t="str">
            <v>403373WA</v>
          </cell>
          <cell r="B881" t="str">
            <v>403373</v>
          </cell>
          <cell r="D881">
            <v>121700.51770114199</v>
          </cell>
          <cell r="F881" t="str">
            <v>403373WA</v>
          </cell>
          <cell r="G881" t="str">
            <v>403373</v>
          </cell>
          <cell r="I881">
            <v>121700.51770114199</v>
          </cell>
        </row>
        <row r="882">
          <cell r="A882" t="str">
            <v>403373WYP</v>
          </cell>
          <cell r="B882" t="str">
            <v>403373</v>
          </cell>
          <cell r="D882">
            <v>236434.26441549094</v>
          </cell>
          <cell r="F882" t="str">
            <v>403373WYP</v>
          </cell>
          <cell r="G882" t="str">
            <v>403373</v>
          </cell>
          <cell r="I882">
            <v>236434.26441549094</v>
          </cell>
        </row>
        <row r="883">
          <cell r="A883" t="str">
            <v>403373WYU</v>
          </cell>
          <cell r="B883" t="str">
            <v>403373</v>
          </cell>
          <cell r="D883">
            <v>62531.92</v>
          </cell>
          <cell r="F883" t="str">
            <v>403373WYU</v>
          </cell>
          <cell r="G883" t="str">
            <v>403373</v>
          </cell>
          <cell r="I883">
            <v>62531.92</v>
          </cell>
        </row>
        <row r="884">
          <cell r="A884" t="str">
            <v>403GPCA</v>
          </cell>
          <cell r="B884" t="str">
            <v>403GP</v>
          </cell>
          <cell r="D884">
            <v>407576.42877401481</v>
          </cell>
          <cell r="F884" t="str">
            <v>403GPCA</v>
          </cell>
          <cell r="G884" t="str">
            <v>403GP</v>
          </cell>
          <cell r="I884">
            <v>407576.42877401481</v>
          </cell>
        </row>
        <row r="885">
          <cell r="A885" t="str">
            <v>403GPCN</v>
          </cell>
          <cell r="B885" t="str">
            <v>403GP</v>
          </cell>
          <cell r="D885">
            <v>1410873.2934037733</v>
          </cell>
          <cell r="F885" t="str">
            <v>403GPCN</v>
          </cell>
          <cell r="G885" t="str">
            <v>403GP</v>
          </cell>
          <cell r="I885">
            <v>1410873.2934037733</v>
          </cell>
        </row>
        <row r="886">
          <cell r="A886" t="str">
            <v>403GPDGP</v>
          </cell>
          <cell r="B886" t="str">
            <v>403GP</v>
          </cell>
          <cell r="D886">
            <v>44293.888447995407</v>
          </cell>
          <cell r="F886" t="str">
            <v>403GPDGP</v>
          </cell>
          <cell r="G886" t="str">
            <v>403GP</v>
          </cell>
          <cell r="I886">
            <v>44293.888447995407</v>
          </cell>
        </row>
        <row r="887">
          <cell r="A887" t="str">
            <v>403GPDGU</v>
          </cell>
          <cell r="B887" t="str">
            <v>403GP</v>
          </cell>
          <cell r="D887">
            <v>51767.55298335597</v>
          </cell>
          <cell r="F887" t="str">
            <v>403GPDGU</v>
          </cell>
          <cell r="G887" t="str">
            <v>403GP</v>
          </cell>
          <cell r="I887">
            <v>51767.55298335597</v>
          </cell>
        </row>
        <row r="888">
          <cell r="A888" t="str">
            <v>403GPID</v>
          </cell>
          <cell r="B888" t="str">
            <v>403GP</v>
          </cell>
          <cell r="D888">
            <v>884508.86385753506</v>
          </cell>
          <cell r="F888" t="str">
            <v>403GPID</v>
          </cell>
          <cell r="G888" t="str">
            <v>403GP</v>
          </cell>
          <cell r="I888">
            <v>884508.86385753506</v>
          </cell>
        </row>
        <row r="889">
          <cell r="A889" t="str">
            <v>403GPOR</v>
          </cell>
          <cell r="B889" t="str">
            <v>403GP</v>
          </cell>
          <cell r="D889">
            <v>4357397.3385422435</v>
          </cell>
          <cell r="F889" t="str">
            <v>403GPOR</v>
          </cell>
          <cell r="G889" t="str">
            <v>403GP</v>
          </cell>
          <cell r="I889">
            <v>4357397.3385422435</v>
          </cell>
        </row>
        <row r="890">
          <cell r="A890" t="str">
            <v>403GPSE</v>
          </cell>
          <cell r="B890" t="str">
            <v>403GP</v>
          </cell>
          <cell r="D890">
            <v>52142.009007881403</v>
          </cell>
          <cell r="F890" t="str">
            <v>403GPSE</v>
          </cell>
          <cell r="G890" t="str">
            <v>403GP</v>
          </cell>
          <cell r="I890">
            <v>52142.009007881403</v>
          </cell>
        </row>
        <row r="891">
          <cell r="A891" t="str">
            <v>403GPSG</v>
          </cell>
          <cell r="B891" t="str">
            <v>403GP</v>
          </cell>
          <cell r="D891">
            <v>8332100.8279454727</v>
          </cell>
          <cell r="F891" t="str">
            <v>403GPSG</v>
          </cell>
          <cell r="G891" t="str">
            <v>403GP</v>
          </cell>
          <cell r="I891">
            <v>8332100.8279454727</v>
          </cell>
        </row>
        <row r="892">
          <cell r="A892" t="str">
            <v>403GPSO</v>
          </cell>
          <cell r="B892" t="str">
            <v>403GP</v>
          </cell>
          <cell r="D892">
            <v>14137241.433989055</v>
          </cell>
          <cell r="F892" t="str">
            <v>403GPSO</v>
          </cell>
          <cell r="G892" t="str">
            <v>403GP</v>
          </cell>
          <cell r="I892">
            <v>14137241.433989055</v>
          </cell>
        </row>
        <row r="893">
          <cell r="A893" t="str">
            <v>403GPSSGCH</v>
          </cell>
          <cell r="B893" t="str">
            <v>403GP</v>
          </cell>
          <cell r="D893">
            <v>128141.86856354872</v>
          </cell>
          <cell r="F893" t="str">
            <v>403GPSSGCH</v>
          </cell>
          <cell r="G893" t="str">
            <v>403GP</v>
          </cell>
          <cell r="I893">
            <v>128141.86856354872</v>
          </cell>
        </row>
        <row r="894">
          <cell r="A894" t="str">
            <v>403GPSSGCT</v>
          </cell>
          <cell r="B894" t="str">
            <v>403GP</v>
          </cell>
          <cell r="D894">
            <v>7454.0761261039552</v>
          </cell>
          <cell r="F894" t="str">
            <v>403GPSSGCT</v>
          </cell>
          <cell r="G894" t="str">
            <v>403GP</v>
          </cell>
          <cell r="I894">
            <v>7454.0761261039552</v>
          </cell>
        </row>
        <row r="895">
          <cell r="A895" t="str">
            <v>403GPUT</v>
          </cell>
          <cell r="B895" t="str">
            <v>403GP</v>
          </cell>
          <cell r="D895">
            <v>4632356.8075201074</v>
          </cell>
          <cell r="F895" t="str">
            <v>403GPUT</v>
          </cell>
          <cell r="G895" t="str">
            <v>403GP</v>
          </cell>
          <cell r="I895">
            <v>4632356.8075201074</v>
          </cell>
        </row>
        <row r="896">
          <cell r="A896" t="str">
            <v>403GPWA</v>
          </cell>
          <cell r="B896" t="str">
            <v>403GP</v>
          </cell>
          <cell r="D896">
            <v>1259857.0883426939</v>
          </cell>
          <cell r="F896" t="str">
            <v>403GPWA</v>
          </cell>
          <cell r="G896" t="str">
            <v>403GP</v>
          </cell>
          <cell r="I896">
            <v>1259857.0883426939</v>
          </cell>
        </row>
        <row r="897">
          <cell r="A897" t="str">
            <v>403GPWYP</v>
          </cell>
          <cell r="B897" t="str">
            <v>403GP</v>
          </cell>
          <cell r="D897">
            <v>2117707.6136187296</v>
          </cell>
          <cell r="F897" t="str">
            <v>403GPWYP</v>
          </cell>
          <cell r="G897" t="str">
            <v>403GP</v>
          </cell>
          <cell r="I897">
            <v>2117707.6136187296</v>
          </cell>
        </row>
        <row r="898">
          <cell r="A898" t="str">
            <v>403GPWYU</v>
          </cell>
          <cell r="B898" t="str">
            <v>403GP</v>
          </cell>
          <cell r="D898">
            <v>333560.45766438253</v>
          </cell>
          <cell r="F898" t="str">
            <v>403GPWYU</v>
          </cell>
          <cell r="G898" t="str">
            <v>403GP</v>
          </cell>
          <cell r="I898">
            <v>333560.45766438253</v>
          </cell>
        </row>
        <row r="899">
          <cell r="A899" t="str">
            <v>403HPDGP</v>
          </cell>
          <cell r="B899" t="str">
            <v>403HP</v>
          </cell>
          <cell r="D899">
            <v>3712595.2774537471</v>
          </cell>
          <cell r="F899" t="str">
            <v>403HPDGP</v>
          </cell>
          <cell r="G899" t="str">
            <v>403HP</v>
          </cell>
          <cell r="I899">
            <v>3712595.2774537471</v>
          </cell>
        </row>
        <row r="900">
          <cell r="A900" t="str">
            <v>403HPDGU</v>
          </cell>
          <cell r="B900" t="str">
            <v>403HP</v>
          </cell>
          <cell r="D900">
            <v>1363511.7522710906</v>
          </cell>
          <cell r="F900" t="str">
            <v>403HPDGU</v>
          </cell>
          <cell r="G900" t="str">
            <v>403HP</v>
          </cell>
          <cell r="I900">
            <v>1363511.7522710906</v>
          </cell>
        </row>
        <row r="901">
          <cell r="A901" t="str">
            <v>403HPSG-P</v>
          </cell>
          <cell r="B901" t="str">
            <v>403HP</v>
          </cell>
          <cell r="D901">
            <v>21542127.429874383</v>
          </cell>
          <cell r="F901" t="str">
            <v>403HPSG-P</v>
          </cell>
          <cell r="G901" t="str">
            <v>403HP</v>
          </cell>
          <cell r="I901">
            <v>21542127.429874383</v>
          </cell>
        </row>
        <row r="902">
          <cell r="A902" t="str">
            <v>403HPSG-U</v>
          </cell>
          <cell r="B902" t="str">
            <v>403HP</v>
          </cell>
          <cell r="D902">
            <v>3732234.0912806639</v>
          </cell>
          <cell r="F902" t="str">
            <v>403HPSG-U</v>
          </cell>
          <cell r="G902" t="str">
            <v>403HP</v>
          </cell>
          <cell r="I902">
            <v>3732234.0912806639</v>
          </cell>
        </row>
        <row r="903">
          <cell r="A903" t="str">
            <v>403OPDGU</v>
          </cell>
          <cell r="B903" t="str">
            <v>403OP</v>
          </cell>
          <cell r="D903">
            <v>0</v>
          </cell>
          <cell r="F903" t="str">
            <v>403OPDGU</v>
          </cell>
          <cell r="G903" t="str">
            <v>403OP</v>
          </cell>
          <cell r="I903">
            <v>0</v>
          </cell>
        </row>
        <row r="904">
          <cell r="A904" t="str">
            <v>403OPSG</v>
          </cell>
          <cell r="B904" t="str">
            <v>403OP</v>
          </cell>
          <cell r="D904">
            <v>56379468.733997211</v>
          </cell>
          <cell r="F904" t="str">
            <v>403OPSG</v>
          </cell>
          <cell r="G904" t="str">
            <v>403OP</v>
          </cell>
          <cell r="I904">
            <v>56379468.733997211</v>
          </cell>
        </row>
        <row r="905">
          <cell r="A905" t="str">
            <v>403OPSG-W</v>
          </cell>
          <cell r="B905" t="str">
            <v>403OP</v>
          </cell>
          <cell r="D905">
            <v>66673885.932347335</v>
          </cell>
          <cell r="F905" t="str">
            <v>403OPSG-W</v>
          </cell>
          <cell r="G905" t="str">
            <v>403OP</v>
          </cell>
          <cell r="I905">
            <v>66673885.932347335</v>
          </cell>
        </row>
        <row r="906">
          <cell r="A906" t="str">
            <v>403OPSSGCT</v>
          </cell>
          <cell r="B906" t="str">
            <v>403OP</v>
          </cell>
          <cell r="D906">
            <v>3034681.9616521094</v>
          </cell>
          <cell r="F906" t="str">
            <v>403OPSSGCT</v>
          </cell>
          <cell r="G906" t="str">
            <v>403OP</v>
          </cell>
          <cell r="I906">
            <v>3034681.9616521094</v>
          </cell>
        </row>
        <row r="907">
          <cell r="A907" t="str">
            <v>403SPDGP</v>
          </cell>
          <cell r="B907" t="str">
            <v>403SP</v>
          </cell>
          <cell r="D907">
            <v>30321897.628129862</v>
          </cell>
          <cell r="F907" t="str">
            <v>403SPDGP</v>
          </cell>
          <cell r="G907" t="str">
            <v>403SP</v>
          </cell>
          <cell r="I907">
            <v>30321897.628129862</v>
          </cell>
        </row>
        <row r="908">
          <cell r="A908" t="str">
            <v>403SPDGU</v>
          </cell>
          <cell r="B908" t="str">
            <v>403SP</v>
          </cell>
          <cell r="D908">
            <v>31767483.010682538</v>
          </cell>
          <cell r="F908" t="str">
            <v>403SPDGU</v>
          </cell>
          <cell r="G908" t="str">
            <v>403SP</v>
          </cell>
          <cell r="I908">
            <v>31767483.010682538</v>
          </cell>
        </row>
        <row r="909">
          <cell r="A909" t="str">
            <v>403SPSG</v>
          </cell>
          <cell r="B909" t="str">
            <v>403SP</v>
          </cell>
          <cell r="D909">
            <v>145286180.98104492</v>
          </cell>
          <cell r="F909" t="str">
            <v>403SPSG</v>
          </cell>
          <cell r="G909" t="str">
            <v>403SP</v>
          </cell>
          <cell r="I909">
            <v>145286180.98104492</v>
          </cell>
        </row>
        <row r="910">
          <cell r="A910" t="str">
            <v>403SPSSGCH</v>
          </cell>
          <cell r="B910" t="str">
            <v>403SP</v>
          </cell>
          <cell r="D910">
            <v>14306385.169707689</v>
          </cell>
          <cell r="F910" t="str">
            <v>403SPSSGCH</v>
          </cell>
          <cell r="G910" t="str">
            <v>403SP</v>
          </cell>
          <cell r="I910">
            <v>14306385.169707689</v>
          </cell>
        </row>
        <row r="911">
          <cell r="A911" t="str">
            <v>403TPDGP</v>
          </cell>
          <cell r="B911" t="str">
            <v>403TP</v>
          </cell>
          <cell r="D911">
            <v>9543386.7408545632</v>
          </cell>
          <cell r="F911" t="str">
            <v>403TPDGP</v>
          </cell>
          <cell r="G911" t="str">
            <v>403TP</v>
          </cell>
          <cell r="I911">
            <v>9543386.7408545632</v>
          </cell>
        </row>
        <row r="912">
          <cell r="A912" t="str">
            <v>403TPDGU</v>
          </cell>
          <cell r="B912" t="str">
            <v>403TP</v>
          </cell>
          <cell r="D912">
            <v>11021746.313923368</v>
          </cell>
          <cell r="F912" t="str">
            <v>403TPDGU</v>
          </cell>
          <cell r="G912" t="str">
            <v>403TP</v>
          </cell>
          <cell r="I912">
            <v>11021746.313923368</v>
          </cell>
        </row>
        <row r="913">
          <cell r="A913" t="str">
            <v>403TPSG</v>
          </cell>
          <cell r="B913" t="str">
            <v>403TP</v>
          </cell>
          <cell r="D913">
            <v>73478251.290577412</v>
          </cell>
          <cell r="F913" t="str">
            <v>403TPSG</v>
          </cell>
          <cell r="G913" t="str">
            <v>403TP</v>
          </cell>
          <cell r="I913">
            <v>73478251.290577412</v>
          </cell>
        </row>
        <row r="914">
          <cell r="A914" t="str">
            <v>404GPCA</v>
          </cell>
          <cell r="B914" t="str">
            <v>404GP</v>
          </cell>
          <cell r="D914">
            <v>104115.11856193004</v>
          </cell>
          <cell r="F914" t="str">
            <v>404GPCA</v>
          </cell>
          <cell r="G914" t="str">
            <v>404GP</v>
          </cell>
          <cell r="I914">
            <v>104115.11856193004</v>
          </cell>
        </row>
        <row r="915">
          <cell r="A915" t="str">
            <v>404GPCN</v>
          </cell>
          <cell r="B915" t="str">
            <v>404GP</v>
          </cell>
          <cell r="D915">
            <v>74078.435948865226</v>
          </cell>
          <cell r="F915" t="str">
            <v>404GPCN</v>
          </cell>
          <cell r="G915" t="str">
            <v>404GP</v>
          </cell>
          <cell r="I915">
            <v>74078.435948865226</v>
          </cell>
        </row>
        <row r="916">
          <cell r="A916" t="str">
            <v>404GPID</v>
          </cell>
          <cell r="B916" t="str">
            <v>404GP</v>
          </cell>
          <cell r="D916">
            <v>18074.858761576448</v>
          </cell>
          <cell r="F916" t="str">
            <v>404GPID</v>
          </cell>
          <cell r="G916" t="str">
            <v>404GP</v>
          </cell>
          <cell r="I916">
            <v>18074.858761576448</v>
          </cell>
        </row>
        <row r="917">
          <cell r="A917" t="str">
            <v>404GPOR</v>
          </cell>
          <cell r="B917" t="str">
            <v>404GP</v>
          </cell>
          <cell r="D917">
            <v>1465633.6585087848</v>
          </cell>
          <cell r="F917" t="str">
            <v>404GPOR</v>
          </cell>
          <cell r="G917" t="str">
            <v>404GP</v>
          </cell>
          <cell r="I917">
            <v>1465633.6585087848</v>
          </cell>
        </row>
        <row r="918">
          <cell r="A918" t="str">
            <v>404GPSO</v>
          </cell>
          <cell r="B918" t="str">
            <v>404GP</v>
          </cell>
          <cell r="D918">
            <v>1556786.7288729053</v>
          </cell>
          <cell r="F918" t="str">
            <v>404GPSO</v>
          </cell>
          <cell r="G918" t="str">
            <v>404GP</v>
          </cell>
          <cell r="I918">
            <v>1556786.7288729053</v>
          </cell>
        </row>
        <row r="919">
          <cell r="A919" t="str">
            <v>404GPUT</v>
          </cell>
          <cell r="B919" t="str">
            <v>404GP</v>
          </cell>
          <cell r="D919">
            <v>727.89</v>
          </cell>
          <cell r="F919" t="str">
            <v>404GPUT</v>
          </cell>
          <cell r="G919" t="str">
            <v>404GP</v>
          </cell>
          <cell r="I919">
            <v>727.89</v>
          </cell>
        </row>
        <row r="920">
          <cell r="A920" t="str">
            <v>404GPWA</v>
          </cell>
          <cell r="B920" t="str">
            <v>404GP</v>
          </cell>
          <cell r="D920">
            <v>72434.849726174274</v>
          </cell>
          <cell r="F920" t="str">
            <v>404GPWA</v>
          </cell>
          <cell r="G920" t="str">
            <v>404GP</v>
          </cell>
          <cell r="I920">
            <v>72434.849726174274</v>
          </cell>
        </row>
        <row r="921">
          <cell r="A921" t="str">
            <v>404GPWYP</v>
          </cell>
          <cell r="B921" t="str">
            <v>404GP</v>
          </cell>
          <cell r="D921">
            <v>375529.73959874874</v>
          </cell>
          <cell r="F921" t="str">
            <v>404GPWYP</v>
          </cell>
          <cell r="G921" t="str">
            <v>404GP</v>
          </cell>
          <cell r="I921">
            <v>375529.73959874874</v>
          </cell>
        </row>
        <row r="922">
          <cell r="A922" t="str">
            <v>404GPWYU</v>
          </cell>
          <cell r="B922" t="str">
            <v>404GP</v>
          </cell>
          <cell r="D922">
            <v>633.15000000000009</v>
          </cell>
          <cell r="F922" t="str">
            <v>404GPWYU</v>
          </cell>
          <cell r="G922" t="str">
            <v>404GP</v>
          </cell>
          <cell r="I922">
            <v>633.15000000000009</v>
          </cell>
        </row>
        <row r="923">
          <cell r="A923" t="str">
            <v>404HPSG-P</v>
          </cell>
          <cell r="B923" t="str">
            <v>404HP</v>
          </cell>
          <cell r="D923">
            <v>274246.72920866002</v>
          </cell>
          <cell r="F923" t="str">
            <v>404HPSG-P</v>
          </cell>
          <cell r="G923" t="str">
            <v>404HP</v>
          </cell>
          <cell r="I923">
            <v>274246.72920866002</v>
          </cell>
        </row>
        <row r="924">
          <cell r="A924" t="str">
            <v>404HPSG-U</v>
          </cell>
          <cell r="B924" t="str">
            <v>404HP</v>
          </cell>
          <cell r="D924">
            <v>0</v>
          </cell>
          <cell r="F924" t="str">
            <v>404HPSG-U</v>
          </cell>
          <cell r="G924" t="str">
            <v>404HP</v>
          </cell>
          <cell r="I924">
            <v>0</v>
          </cell>
        </row>
        <row r="925">
          <cell r="A925" t="str">
            <v>404IPCN</v>
          </cell>
          <cell r="B925" t="str">
            <v>404IP</v>
          </cell>
          <cell r="D925">
            <v>3753468.5006493866</v>
          </cell>
          <cell r="F925" t="str">
            <v>404IPCN</v>
          </cell>
          <cell r="G925" t="str">
            <v>404IP</v>
          </cell>
          <cell r="I925">
            <v>3753468.5006493866</v>
          </cell>
        </row>
        <row r="926">
          <cell r="A926" t="str">
            <v>404IPDGP</v>
          </cell>
          <cell r="B926" t="str">
            <v>404IP</v>
          </cell>
          <cell r="D926">
            <v>0</v>
          </cell>
          <cell r="F926" t="str">
            <v>404IPDGP</v>
          </cell>
          <cell r="G926" t="str">
            <v>404IP</v>
          </cell>
          <cell r="I926">
            <v>0</v>
          </cell>
        </row>
        <row r="927">
          <cell r="A927" t="str">
            <v>404IPDGU</v>
          </cell>
          <cell r="B927" t="str">
            <v>404IP</v>
          </cell>
          <cell r="D927">
            <v>16519.830000000002</v>
          </cell>
          <cell r="F927" t="str">
            <v>404IPDGU</v>
          </cell>
          <cell r="G927" t="str">
            <v>404IP</v>
          </cell>
          <cell r="I927">
            <v>16519.830000000002</v>
          </cell>
        </row>
        <row r="928">
          <cell r="A928" t="str">
            <v>404IPID</v>
          </cell>
          <cell r="B928" t="str">
            <v>404IP</v>
          </cell>
          <cell r="D928">
            <v>21162.578865169649</v>
          </cell>
          <cell r="F928" t="str">
            <v>404IPID</v>
          </cell>
          <cell r="G928" t="str">
            <v>404IP</v>
          </cell>
          <cell r="I928">
            <v>21162.578865169649</v>
          </cell>
        </row>
        <row r="929">
          <cell r="A929" t="str">
            <v>404IPOR</v>
          </cell>
          <cell r="B929" t="str">
            <v>404IP</v>
          </cell>
          <cell r="D929">
            <v>16114.794010897276</v>
          </cell>
          <cell r="F929" t="str">
            <v>404IPOR</v>
          </cell>
          <cell r="G929" t="str">
            <v>404IP</v>
          </cell>
          <cell r="I929">
            <v>16114.794010897276</v>
          </cell>
        </row>
        <row r="930">
          <cell r="A930" t="str">
            <v>404IPOTHER</v>
          </cell>
          <cell r="B930" t="str">
            <v>404IP</v>
          </cell>
          <cell r="D930">
            <v>2355941.59</v>
          </cell>
          <cell r="F930" t="str">
            <v>404IPOTHER</v>
          </cell>
          <cell r="G930" t="str">
            <v>404IP</v>
          </cell>
          <cell r="I930">
            <v>2355941.59</v>
          </cell>
        </row>
        <row r="931">
          <cell r="A931" t="str">
            <v>404IPSE</v>
          </cell>
          <cell r="B931" t="str">
            <v>404IP</v>
          </cell>
          <cell r="D931">
            <v>449261.8098658371</v>
          </cell>
          <cell r="F931" t="str">
            <v>404IPSE</v>
          </cell>
          <cell r="G931" t="str">
            <v>404IP</v>
          </cell>
          <cell r="I931">
            <v>449261.8098658371</v>
          </cell>
        </row>
        <row r="932">
          <cell r="A932" t="str">
            <v>404IPSG</v>
          </cell>
          <cell r="B932" t="str">
            <v>404IP</v>
          </cell>
          <cell r="D932">
            <v>8287436.8325178996</v>
          </cell>
          <cell r="F932" t="str">
            <v>404IPSG</v>
          </cell>
          <cell r="G932" t="str">
            <v>404IP</v>
          </cell>
          <cell r="I932">
            <v>8287436.8325178996</v>
          </cell>
        </row>
        <row r="933">
          <cell r="A933" t="str">
            <v>404IPSG-P</v>
          </cell>
          <cell r="B933" t="str">
            <v>404IP</v>
          </cell>
          <cell r="D933">
            <v>-3836179.1825647578</v>
          </cell>
          <cell r="F933" t="str">
            <v>404IPSG-P</v>
          </cell>
          <cell r="G933" t="str">
            <v>404IP</v>
          </cell>
          <cell r="I933">
            <v>-3836179.1825647578</v>
          </cell>
        </row>
        <row r="934">
          <cell r="A934" t="str">
            <v>404IPSG-U</v>
          </cell>
          <cell r="B934" t="str">
            <v>404IP</v>
          </cell>
          <cell r="D934">
            <v>306234.11129285954</v>
          </cell>
          <cell r="F934" t="str">
            <v>404IPSG-U</v>
          </cell>
          <cell r="G934" t="str">
            <v>404IP</v>
          </cell>
          <cell r="I934">
            <v>306234.11129285954</v>
          </cell>
        </row>
        <row r="935">
          <cell r="A935" t="str">
            <v>404IPSO</v>
          </cell>
          <cell r="B935" t="str">
            <v>404IP</v>
          </cell>
          <cell r="D935">
            <v>20322192.227829371</v>
          </cell>
          <cell r="F935" t="str">
            <v>404IPSO</v>
          </cell>
          <cell r="G935" t="str">
            <v>404IP</v>
          </cell>
          <cell r="I935">
            <v>20322192.227829371</v>
          </cell>
        </row>
        <row r="936">
          <cell r="A936" t="str">
            <v>404IPSSGCH</v>
          </cell>
          <cell r="B936" t="str">
            <v>404IP</v>
          </cell>
          <cell r="D936">
            <v>0</v>
          </cell>
          <cell r="F936" t="str">
            <v>404IPSSGCH</v>
          </cell>
          <cell r="G936" t="str">
            <v>404IP</v>
          </cell>
          <cell r="I936">
            <v>0</v>
          </cell>
        </row>
        <row r="937">
          <cell r="A937" t="str">
            <v>404IPUT</v>
          </cell>
          <cell r="B937" t="str">
            <v>404IP</v>
          </cell>
          <cell r="D937">
            <v>4541626.468536674</v>
          </cell>
          <cell r="F937" t="str">
            <v>404IPUT</v>
          </cell>
          <cell r="G937" t="str">
            <v>404IP</v>
          </cell>
          <cell r="I937">
            <v>4541626.468536674</v>
          </cell>
        </row>
        <row r="938">
          <cell r="A938" t="str">
            <v>404IPWA</v>
          </cell>
          <cell r="B938" t="str">
            <v>404IP</v>
          </cell>
          <cell r="D938">
            <v>0</v>
          </cell>
          <cell r="F938" t="str">
            <v>404IPWA</v>
          </cell>
          <cell r="G938" t="str">
            <v>404IP</v>
          </cell>
          <cell r="I938">
            <v>0</v>
          </cell>
        </row>
        <row r="939">
          <cell r="A939" t="str">
            <v>404IPWYP</v>
          </cell>
          <cell r="B939" t="str">
            <v>404IP</v>
          </cell>
          <cell r="D939">
            <v>154471.58579878273</v>
          </cell>
          <cell r="F939" t="str">
            <v>404IPWYP</v>
          </cell>
          <cell r="G939" t="str">
            <v>404IP</v>
          </cell>
          <cell r="I939">
            <v>154471.58579878273</v>
          </cell>
        </row>
        <row r="940">
          <cell r="A940" t="str">
            <v>406SG</v>
          </cell>
          <cell r="B940" t="str">
            <v>406</v>
          </cell>
          <cell r="D940">
            <v>4778648.3200000012</v>
          </cell>
          <cell r="F940" t="str">
            <v>406SG</v>
          </cell>
          <cell r="G940" t="str">
            <v>406</v>
          </cell>
          <cell r="I940">
            <v>4778648.3200000012</v>
          </cell>
        </row>
        <row r="941">
          <cell r="A941" t="str">
            <v>407OR</v>
          </cell>
          <cell r="B941" t="str">
            <v>407</v>
          </cell>
          <cell r="D941">
            <v>0</v>
          </cell>
          <cell r="F941" t="str">
            <v>407OR</v>
          </cell>
          <cell r="G941" t="str">
            <v>407</v>
          </cell>
          <cell r="I941">
            <v>0</v>
          </cell>
        </row>
        <row r="942">
          <cell r="A942" t="str">
            <v>407OTHER</v>
          </cell>
          <cell r="B942" t="str">
            <v>407</v>
          </cell>
          <cell r="D942">
            <v>-312025.61</v>
          </cell>
          <cell r="F942" t="str">
            <v>407OTHER</v>
          </cell>
          <cell r="G942" t="str">
            <v>407</v>
          </cell>
          <cell r="I942">
            <v>-312025.61</v>
          </cell>
        </row>
        <row r="943">
          <cell r="A943" t="str">
            <v>407TROJP</v>
          </cell>
          <cell r="B943" t="str">
            <v>407</v>
          </cell>
          <cell r="D943">
            <v>0</v>
          </cell>
          <cell r="F943" t="str">
            <v>407TROJP</v>
          </cell>
          <cell r="G943" t="str">
            <v>407</v>
          </cell>
          <cell r="I943">
            <v>0</v>
          </cell>
        </row>
        <row r="944">
          <cell r="A944" t="str">
            <v>407UT</v>
          </cell>
          <cell r="B944" t="str">
            <v>407</v>
          </cell>
          <cell r="D944">
            <v>178158.94550325791</v>
          </cell>
          <cell r="F944" t="str">
            <v>407UT</v>
          </cell>
          <cell r="G944" t="str">
            <v>407</v>
          </cell>
          <cell r="I944">
            <v>178158.94550325791</v>
          </cell>
        </row>
        <row r="945">
          <cell r="A945" t="str">
            <v>407WA</v>
          </cell>
          <cell r="B945" t="str">
            <v>407</v>
          </cell>
          <cell r="D945">
            <v>0</v>
          </cell>
          <cell r="F945" t="str">
            <v>407WA</v>
          </cell>
          <cell r="G945" t="str">
            <v>407</v>
          </cell>
          <cell r="I945">
            <v>0</v>
          </cell>
        </row>
        <row r="946">
          <cell r="A946" t="str">
            <v>407WYP</v>
          </cell>
          <cell r="B946" t="str">
            <v>407</v>
          </cell>
          <cell r="D946">
            <v>385332</v>
          </cell>
          <cell r="F946" t="str">
            <v>407WYP</v>
          </cell>
          <cell r="G946" t="str">
            <v>407</v>
          </cell>
          <cell r="I946">
            <v>385332</v>
          </cell>
        </row>
        <row r="947">
          <cell r="A947" t="str">
            <v>408CA</v>
          </cell>
          <cell r="B947" t="str">
            <v>408</v>
          </cell>
          <cell r="D947">
            <v>1183135.76</v>
          </cell>
          <cell r="F947" t="str">
            <v>408CA</v>
          </cell>
          <cell r="G947" t="str">
            <v>408</v>
          </cell>
          <cell r="I947">
            <v>1183135.76</v>
          </cell>
        </row>
        <row r="948">
          <cell r="A948" t="str">
            <v>408GPS</v>
          </cell>
          <cell r="B948" t="str">
            <v>408</v>
          </cell>
          <cell r="D948">
            <v>134961525.69999999</v>
          </cell>
          <cell r="F948" t="str">
            <v>408GPS</v>
          </cell>
          <cell r="G948" t="str">
            <v>408</v>
          </cell>
          <cell r="I948">
            <v>134961525.69999999</v>
          </cell>
        </row>
        <row r="949">
          <cell r="A949" t="str">
            <v>408OR</v>
          </cell>
          <cell r="B949" t="str">
            <v>408</v>
          </cell>
          <cell r="D949">
            <v>27820614</v>
          </cell>
          <cell r="F949" t="str">
            <v>408OR</v>
          </cell>
          <cell r="G949" t="str">
            <v>408</v>
          </cell>
          <cell r="I949">
            <v>27820614</v>
          </cell>
        </row>
        <row r="950">
          <cell r="A950" t="str">
            <v>408SE</v>
          </cell>
          <cell r="B950" t="str">
            <v>408</v>
          </cell>
          <cell r="D950">
            <v>833183.15</v>
          </cell>
          <cell r="F950" t="str">
            <v>408SE</v>
          </cell>
          <cell r="G950" t="str">
            <v>408</v>
          </cell>
          <cell r="I950">
            <v>833183.15</v>
          </cell>
        </row>
        <row r="951">
          <cell r="A951" t="str">
            <v>408SG</v>
          </cell>
          <cell r="B951" t="str">
            <v>408</v>
          </cell>
          <cell r="D951">
            <v>2009507</v>
          </cell>
          <cell r="F951" t="str">
            <v>408SG</v>
          </cell>
          <cell r="G951" t="str">
            <v>408</v>
          </cell>
          <cell r="I951">
            <v>2009507</v>
          </cell>
        </row>
        <row r="952">
          <cell r="A952" t="str">
            <v>408SO</v>
          </cell>
          <cell r="B952" t="str">
            <v>408</v>
          </cell>
          <cell r="D952">
            <v>10703113.039999999</v>
          </cell>
          <cell r="F952" t="str">
            <v>408SO</v>
          </cell>
          <cell r="G952" t="str">
            <v>408</v>
          </cell>
          <cell r="I952">
            <v>10703113.039999999</v>
          </cell>
        </row>
        <row r="953">
          <cell r="A953" t="str">
            <v>408UT</v>
          </cell>
          <cell r="B953" t="str">
            <v>408</v>
          </cell>
          <cell r="D953">
            <v>-2507.73</v>
          </cell>
          <cell r="F953" t="str">
            <v>408UT</v>
          </cell>
          <cell r="G953" t="str">
            <v>408</v>
          </cell>
          <cell r="I953">
            <v>-2507.73</v>
          </cell>
        </row>
        <row r="954">
          <cell r="A954" t="str">
            <v>408WA</v>
          </cell>
          <cell r="B954" t="str">
            <v>408</v>
          </cell>
          <cell r="D954">
            <v>35728.629999999997</v>
          </cell>
          <cell r="F954" t="str">
            <v>408WA</v>
          </cell>
          <cell r="G954" t="str">
            <v>408</v>
          </cell>
          <cell r="I954">
            <v>35728.629999999997</v>
          </cell>
        </row>
        <row r="955">
          <cell r="A955" t="str">
            <v>408WYP</v>
          </cell>
          <cell r="B955" t="str">
            <v>408</v>
          </cell>
          <cell r="D955">
            <v>1943979.51</v>
          </cell>
          <cell r="F955" t="str">
            <v>408WYP</v>
          </cell>
          <cell r="G955" t="str">
            <v>408</v>
          </cell>
          <cell r="I955">
            <v>1943979.51</v>
          </cell>
        </row>
        <row r="956">
          <cell r="A956" t="str">
            <v>40910IBT</v>
          </cell>
          <cell r="B956" t="str">
            <v>40910</v>
          </cell>
          <cell r="D956">
            <v>0</v>
          </cell>
          <cell r="F956" t="str">
            <v>40910IBT</v>
          </cell>
          <cell r="G956" t="str">
            <v>40910</v>
          </cell>
          <cell r="I956">
            <v>0</v>
          </cell>
        </row>
        <row r="957">
          <cell r="A957" t="str">
            <v>40911IBT</v>
          </cell>
          <cell r="B957" t="str">
            <v>40911</v>
          </cell>
          <cell r="D957">
            <v>0</v>
          </cell>
          <cell r="F957" t="str">
            <v>40911IBT</v>
          </cell>
          <cell r="G957" t="str">
            <v>40911</v>
          </cell>
          <cell r="I957">
            <v>0</v>
          </cell>
        </row>
        <row r="958">
          <cell r="A958" t="str">
            <v>41140DGU</v>
          </cell>
          <cell r="B958" t="str">
            <v>41140</v>
          </cell>
          <cell r="D958">
            <v>-4995526</v>
          </cell>
          <cell r="F958" t="str">
            <v>41140DGU</v>
          </cell>
          <cell r="G958" t="str">
            <v>41140</v>
          </cell>
          <cell r="I958">
            <v>-4995526</v>
          </cell>
        </row>
        <row r="959">
          <cell r="A959" t="str">
            <v>41170DGU</v>
          </cell>
          <cell r="B959" t="str">
            <v>41170</v>
          </cell>
          <cell r="D959">
            <v>0</v>
          </cell>
          <cell r="F959" t="str">
            <v>41170DGU</v>
          </cell>
          <cell r="G959" t="str">
            <v>41170</v>
          </cell>
          <cell r="I959">
            <v>0</v>
          </cell>
        </row>
        <row r="960">
          <cell r="A960" t="str">
            <v>4118SE</v>
          </cell>
          <cell r="B960" t="str">
            <v>4118</v>
          </cell>
          <cell r="D960">
            <v>-56360.543000000005</v>
          </cell>
          <cell r="F960" t="str">
            <v>4118SE</v>
          </cell>
          <cell r="G960" t="str">
            <v>4118</v>
          </cell>
          <cell r="I960">
            <v>-56360.543000000005</v>
          </cell>
        </row>
        <row r="961">
          <cell r="A961" t="str">
            <v>419OTHER</v>
          </cell>
          <cell r="B961" t="str">
            <v>419</v>
          </cell>
          <cell r="D961">
            <v>0</v>
          </cell>
          <cell r="F961" t="str">
            <v>419OTHER</v>
          </cell>
          <cell r="G961" t="str">
            <v>419</v>
          </cell>
          <cell r="I961">
            <v>0</v>
          </cell>
        </row>
        <row r="962">
          <cell r="A962" t="str">
            <v>419SNP</v>
          </cell>
          <cell r="B962" t="str">
            <v>419</v>
          </cell>
          <cell r="D962">
            <v>-50733512.25</v>
          </cell>
          <cell r="F962" t="str">
            <v>419SNP</v>
          </cell>
          <cell r="G962" t="str">
            <v>419</v>
          </cell>
          <cell r="I962">
            <v>-50733512.25</v>
          </cell>
        </row>
        <row r="963">
          <cell r="A963" t="str">
            <v>421CA</v>
          </cell>
          <cell r="B963" t="str">
            <v>421</v>
          </cell>
          <cell r="D963">
            <v>0</v>
          </cell>
          <cell r="F963" t="str">
            <v>421CA</v>
          </cell>
          <cell r="G963" t="str">
            <v>421</v>
          </cell>
          <cell r="I963">
            <v>0</v>
          </cell>
        </row>
        <row r="964">
          <cell r="A964" t="str">
            <v>421CN</v>
          </cell>
          <cell r="B964" t="str">
            <v>421</v>
          </cell>
          <cell r="D964">
            <v>0</v>
          </cell>
          <cell r="F964" t="str">
            <v>421CN</v>
          </cell>
          <cell r="G964" t="str">
            <v>421</v>
          </cell>
          <cell r="I964">
            <v>0</v>
          </cell>
        </row>
        <row r="965">
          <cell r="A965" t="str">
            <v>421DGU</v>
          </cell>
          <cell r="B965" t="str">
            <v>421</v>
          </cell>
          <cell r="D965">
            <v>1563.39</v>
          </cell>
          <cell r="F965" t="str">
            <v>421DGU</v>
          </cell>
          <cell r="G965" t="str">
            <v>421</v>
          </cell>
          <cell r="I965">
            <v>1563.39</v>
          </cell>
        </row>
        <row r="966">
          <cell r="A966" t="str">
            <v>421ID</v>
          </cell>
          <cell r="B966" t="str">
            <v>421</v>
          </cell>
          <cell r="D966">
            <v>0</v>
          </cell>
          <cell r="F966" t="str">
            <v>421ID</v>
          </cell>
          <cell r="G966" t="str">
            <v>421</v>
          </cell>
          <cell r="I966">
            <v>0</v>
          </cell>
        </row>
        <row r="967">
          <cell r="A967" t="str">
            <v>421NUTIL</v>
          </cell>
          <cell r="B967" t="str">
            <v>421</v>
          </cell>
          <cell r="D967">
            <v>18100.759999999998</v>
          </cell>
          <cell r="F967" t="str">
            <v>421NUTIL</v>
          </cell>
          <cell r="G967" t="str">
            <v>421</v>
          </cell>
          <cell r="I967">
            <v>18100.759999999998</v>
          </cell>
        </row>
        <row r="968">
          <cell r="A968" t="str">
            <v>421OR</v>
          </cell>
          <cell r="B968" t="str">
            <v>421</v>
          </cell>
          <cell r="D968">
            <v>38018.589999999997</v>
          </cell>
          <cell r="F968" t="str">
            <v>421OR</v>
          </cell>
          <cell r="G968" t="str">
            <v>421</v>
          </cell>
          <cell r="I968">
            <v>38018.589999999997</v>
          </cell>
        </row>
        <row r="969">
          <cell r="A969" t="str">
            <v>421OTHER</v>
          </cell>
          <cell r="B969" t="str">
            <v>421</v>
          </cell>
          <cell r="D969">
            <v>250</v>
          </cell>
          <cell r="F969" t="str">
            <v>421OTHER</v>
          </cell>
          <cell r="G969" t="str">
            <v>421</v>
          </cell>
          <cell r="I969">
            <v>250</v>
          </cell>
        </row>
        <row r="970">
          <cell r="A970" t="str">
            <v>421SG</v>
          </cell>
          <cell r="B970" t="str">
            <v>421</v>
          </cell>
          <cell r="D970">
            <v>-405269.67000000004</v>
          </cell>
          <cell r="F970" t="str">
            <v>421SG</v>
          </cell>
          <cell r="G970" t="str">
            <v>421</v>
          </cell>
          <cell r="I970">
            <v>-405269.67000000004</v>
          </cell>
        </row>
        <row r="971">
          <cell r="A971" t="str">
            <v>421SO</v>
          </cell>
          <cell r="B971" t="str">
            <v>421</v>
          </cell>
          <cell r="D971">
            <v>1.0000000067520887E-2</v>
          </cell>
          <cell r="F971" t="str">
            <v>421SO</v>
          </cell>
          <cell r="G971" t="str">
            <v>421</v>
          </cell>
          <cell r="I971">
            <v>1.0000000067520887E-2</v>
          </cell>
        </row>
        <row r="972">
          <cell r="A972" t="str">
            <v>421UT</v>
          </cell>
          <cell r="B972" t="str">
            <v>421</v>
          </cell>
          <cell r="D972">
            <v>-53483.399999999994</v>
          </cell>
          <cell r="F972" t="str">
            <v>421UT</v>
          </cell>
          <cell r="G972" t="str">
            <v>421</v>
          </cell>
          <cell r="I972">
            <v>-53483.399999999994</v>
          </cell>
        </row>
        <row r="973">
          <cell r="A973" t="str">
            <v>421WA</v>
          </cell>
          <cell r="B973" t="str">
            <v>421</v>
          </cell>
          <cell r="D973">
            <v>24313.77</v>
          </cell>
          <cell r="F973" t="str">
            <v>421WA</v>
          </cell>
          <cell r="G973" t="str">
            <v>421</v>
          </cell>
          <cell r="I973">
            <v>24313.77</v>
          </cell>
        </row>
        <row r="974">
          <cell r="A974" t="str">
            <v>421WYP</v>
          </cell>
          <cell r="B974" t="str">
            <v>421</v>
          </cell>
          <cell r="D974">
            <v>-171.15999999999997</v>
          </cell>
          <cell r="F974" t="str">
            <v>421WYP</v>
          </cell>
          <cell r="G974" t="str">
            <v>421</v>
          </cell>
          <cell r="I974">
            <v>-171.15999999999997</v>
          </cell>
        </row>
        <row r="975">
          <cell r="A975" t="str">
            <v>427SNP</v>
          </cell>
          <cell r="B975" t="str">
            <v>427</v>
          </cell>
          <cell r="D975">
            <v>0</v>
          </cell>
          <cell r="F975" t="str">
            <v>427SNP</v>
          </cell>
          <cell r="G975" t="str">
            <v>427</v>
          </cell>
          <cell r="I975">
            <v>0</v>
          </cell>
        </row>
        <row r="976">
          <cell r="A976" t="str">
            <v>428SNP</v>
          </cell>
          <cell r="B976" t="str">
            <v>428</v>
          </cell>
          <cell r="D976">
            <v>0</v>
          </cell>
          <cell r="F976" t="str">
            <v>428SNP</v>
          </cell>
          <cell r="G976" t="str">
            <v>428</v>
          </cell>
          <cell r="I976">
            <v>0</v>
          </cell>
        </row>
        <row r="977">
          <cell r="A977" t="str">
            <v>429SNP</v>
          </cell>
          <cell r="B977" t="str">
            <v>429</v>
          </cell>
          <cell r="D977">
            <v>0</v>
          </cell>
          <cell r="F977" t="str">
            <v>429SNP</v>
          </cell>
          <cell r="G977" t="str">
            <v>429</v>
          </cell>
          <cell r="I977">
            <v>0</v>
          </cell>
        </row>
        <row r="978">
          <cell r="A978" t="str">
            <v>4311UT</v>
          </cell>
          <cell r="B978">
            <v>4311</v>
          </cell>
          <cell r="D978">
            <v>931249.07000000018</v>
          </cell>
          <cell r="F978" t="str">
            <v>4311UT</v>
          </cell>
          <cell r="G978">
            <v>4311</v>
          </cell>
          <cell r="I978">
            <v>931249.07000000018</v>
          </cell>
        </row>
        <row r="979">
          <cell r="A979" t="str">
            <v>431SNP</v>
          </cell>
          <cell r="B979" t="str">
            <v>431</v>
          </cell>
          <cell r="D979">
            <v>0</v>
          </cell>
          <cell r="F979" t="str">
            <v>431SNP</v>
          </cell>
          <cell r="G979" t="str">
            <v>431</v>
          </cell>
          <cell r="I979">
            <v>0</v>
          </cell>
        </row>
        <row r="980">
          <cell r="A980" t="str">
            <v>432SNP</v>
          </cell>
          <cell r="B980" t="str">
            <v>432</v>
          </cell>
          <cell r="D980">
            <v>0</v>
          </cell>
          <cell r="F980" t="str">
            <v>432SNP</v>
          </cell>
          <cell r="G980" t="str">
            <v>432</v>
          </cell>
          <cell r="I980">
            <v>0</v>
          </cell>
        </row>
        <row r="981">
          <cell r="A981" t="str">
            <v>440CA</v>
          </cell>
          <cell r="B981" t="str">
            <v>440</v>
          </cell>
          <cell r="D981">
            <v>50460272.787551232</v>
          </cell>
          <cell r="F981" t="str">
            <v>440CA</v>
          </cell>
          <cell r="G981" t="str">
            <v>440</v>
          </cell>
          <cell r="I981">
            <v>50460272.787551232</v>
          </cell>
        </row>
        <row r="982">
          <cell r="A982" t="str">
            <v>440ID</v>
          </cell>
          <cell r="B982" t="str">
            <v>440</v>
          </cell>
          <cell r="D982">
            <v>70644331.519844428</v>
          </cell>
          <cell r="F982" t="str">
            <v>440ID</v>
          </cell>
          <cell r="G982" t="str">
            <v>440</v>
          </cell>
          <cell r="I982">
            <v>70644331.519844428</v>
          </cell>
        </row>
        <row r="983">
          <cell r="A983" t="str">
            <v>440OR</v>
          </cell>
          <cell r="B983" t="str">
            <v>440</v>
          </cell>
          <cell r="D983">
            <v>579453744.04537404</v>
          </cell>
          <cell r="F983" t="str">
            <v>440OR</v>
          </cell>
          <cell r="G983" t="str">
            <v>440</v>
          </cell>
          <cell r="I983">
            <v>579453744.04537404</v>
          </cell>
        </row>
        <row r="984">
          <cell r="A984" t="str">
            <v>440OTHER</v>
          </cell>
          <cell r="B984" t="str">
            <v>440</v>
          </cell>
          <cell r="D984">
            <v>2767445.9</v>
          </cell>
          <cell r="F984" t="str">
            <v>440OTHER</v>
          </cell>
          <cell r="G984" t="str">
            <v>440</v>
          </cell>
          <cell r="I984">
            <v>2767445.9</v>
          </cell>
        </row>
        <row r="985">
          <cell r="A985" t="str">
            <v>440UT</v>
          </cell>
          <cell r="B985" t="str">
            <v>440</v>
          </cell>
          <cell r="D985">
            <v>680975839.26999986</v>
          </cell>
          <cell r="F985" t="str">
            <v>440UT</v>
          </cell>
          <cell r="G985" t="str">
            <v>440</v>
          </cell>
          <cell r="I985">
            <v>680975839.26999986</v>
          </cell>
        </row>
        <row r="986">
          <cell r="A986" t="str">
            <v>440WA</v>
          </cell>
          <cell r="B986" t="str">
            <v>440</v>
          </cell>
          <cell r="D986">
            <v>133752249.61068878</v>
          </cell>
          <cell r="F986" t="str">
            <v>440WA</v>
          </cell>
          <cell r="G986" t="str">
            <v>440</v>
          </cell>
          <cell r="I986">
            <v>133752249.61068878</v>
          </cell>
        </row>
        <row r="987">
          <cell r="A987" t="str">
            <v>440WYP</v>
          </cell>
          <cell r="B987" t="str">
            <v>440</v>
          </cell>
          <cell r="D987">
            <v>98945653.198089853</v>
          </cell>
          <cell r="F987" t="str">
            <v>440WYP</v>
          </cell>
          <cell r="G987" t="str">
            <v>440</v>
          </cell>
          <cell r="I987">
            <v>98945653.198089853</v>
          </cell>
        </row>
        <row r="988">
          <cell r="A988" t="str">
            <v>440WYU</v>
          </cell>
          <cell r="B988" t="str">
            <v>440</v>
          </cell>
          <cell r="D988">
            <v>12936409.210000001</v>
          </cell>
          <cell r="F988" t="str">
            <v>440WYU</v>
          </cell>
          <cell r="G988" t="str">
            <v>440</v>
          </cell>
          <cell r="I988">
            <v>12936409.210000001</v>
          </cell>
        </row>
        <row r="989">
          <cell r="A989" t="str">
            <v>442CA</v>
          </cell>
          <cell r="B989" t="str">
            <v>442</v>
          </cell>
          <cell r="D989">
            <v>46310469.810090289</v>
          </cell>
          <cell r="F989" t="str">
            <v>442CA</v>
          </cell>
          <cell r="G989" t="str">
            <v>442</v>
          </cell>
          <cell r="I989">
            <v>46310469.810090289</v>
          </cell>
        </row>
        <row r="990">
          <cell r="A990" t="str">
            <v>442ID</v>
          </cell>
          <cell r="B990" t="str">
            <v>442</v>
          </cell>
          <cell r="D990">
            <v>183529186.06735304</v>
          </cell>
          <cell r="F990" t="str">
            <v>442ID</v>
          </cell>
          <cell r="G990" t="str">
            <v>442</v>
          </cell>
          <cell r="I990">
            <v>183529186.06735304</v>
          </cell>
        </row>
        <row r="991">
          <cell r="A991" t="str">
            <v>442OR</v>
          </cell>
          <cell r="B991" t="str">
            <v>442</v>
          </cell>
          <cell r="D991">
            <v>638912585.52010024</v>
          </cell>
          <cell r="F991" t="str">
            <v>442OR</v>
          </cell>
          <cell r="G991" t="str">
            <v>442</v>
          </cell>
          <cell r="I991">
            <v>638912585.52010024</v>
          </cell>
        </row>
        <row r="992">
          <cell r="A992" t="str">
            <v>442OTHER</v>
          </cell>
          <cell r="B992" t="str">
            <v>442</v>
          </cell>
          <cell r="D992">
            <v>2087024.68</v>
          </cell>
          <cell r="F992" t="str">
            <v>442OTHER</v>
          </cell>
          <cell r="G992" t="str">
            <v>442</v>
          </cell>
          <cell r="I992">
            <v>2087024.68</v>
          </cell>
        </row>
        <row r="993">
          <cell r="A993" t="str">
            <v>442UT</v>
          </cell>
          <cell r="B993" t="str">
            <v>442</v>
          </cell>
          <cell r="D993">
            <v>1177462520.7099998</v>
          </cell>
          <cell r="F993" t="str">
            <v>442UT</v>
          </cell>
          <cell r="G993" t="str">
            <v>442</v>
          </cell>
          <cell r="I993">
            <v>1177462520.7099998</v>
          </cell>
        </row>
        <row r="994">
          <cell r="A994" t="str">
            <v>442WA</v>
          </cell>
          <cell r="B994" t="str">
            <v>442</v>
          </cell>
          <cell r="D994">
            <v>164799196.13623223</v>
          </cell>
          <cell r="F994" t="str">
            <v>442WA</v>
          </cell>
          <cell r="G994" t="str">
            <v>442</v>
          </cell>
          <cell r="I994">
            <v>164799196.13623223</v>
          </cell>
        </row>
        <row r="995">
          <cell r="A995" t="str">
            <v>442WYP</v>
          </cell>
          <cell r="B995" t="str">
            <v>442</v>
          </cell>
          <cell r="D995">
            <v>454055048.94142097</v>
          </cell>
          <cell r="F995" t="str">
            <v>442WYP</v>
          </cell>
          <cell r="G995" t="str">
            <v>442</v>
          </cell>
          <cell r="I995">
            <v>454055048.94142097</v>
          </cell>
        </row>
        <row r="996">
          <cell r="A996" t="str">
            <v>442WYU</v>
          </cell>
          <cell r="B996" t="str">
            <v>442</v>
          </cell>
          <cell r="D996">
            <v>114202376.44</v>
          </cell>
          <cell r="F996" t="str">
            <v>442WYU</v>
          </cell>
          <cell r="G996" t="str">
            <v>442</v>
          </cell>
          <cell r="I996">
            <v>114202376.44</v>
          </cell>
        </row>
        <row r="997">
          <cell r="A997" t="str">
            <v>444CA</v>
          </cell>
          <cell r="B997" t="str">
            <v>444</v>
          </cell>
          <cell r="D997">
            <v>458556.63339675724</v>
          </cell>
          <cell r="F997" t="str">
            <v>444CA</v>
          </cell>
          <cell r="G997" t="str">
            <v>444</v>
          </cell>
          <cell r="I997">
            <v>458556.63339675724</v>
          </cell>
        </row>
        <row r="998">
          <cell r="A998" t="str">
            <v>444ID</v>
          </cell>
          <cell r="B998" t="str">
            <v>444</v>
          </cell>
          <cell r="D998">
            <v>504588.10880208539</v>
          </cell>
          <cell r="F998" t="str">
            <v>444ID</v>
          </cell>
          <cell r="G998" t="str">
            <v>444</v>
          </cell>
          <cell r="I998">
            <v>504588.10880208539</v>
          </cell>
        </row>
        <row r="999">
          <cell r="A999" t="str">
            <v>444OR</v>
          </cell>
          <cell r="B999" t="str">
            <v>444</v>
          </cell>
          <cell r="D999">
            <v>5850243.4811503123</v>
          </cell>
          <cell r="F999" t="str">
            <v>444OR</v>
          </cell>
          <cell r="G999" t="str">
            <v>444</v>
          </cell>
          <cell r="I999">
            <v>5850243.4811503123</v>
          </cell>
        </row>
        <row r="1000">
          <cell r="A1000" t="str">
            <v>444OTHER</v>
          </cell>
          <cell r="B1000" t="str">
            <v>444</v>
          </cell>
          <cell r="D1000">
            <v>-761982.45</v>
          </cell>
          <cell r="F1000" t="str">
            <v>444OTHER</v>
          </cell>
          <cell r="G1000" t="str">
            <v>444</v>
          </cell>
          <cell r="I1000">
            <v>-761982.45</v>
          </cell>
        </row>
        <row r="1001">
          <cell r="A1001" t="str">
            <v>444UT</v>
          </cell>
          <cell r="B1001" t="str">
            <v>444</v>
          </cell>
          <cell r="D1001">
            <v>9630562.6399999969</v>
          </cell>
          <cell r="F1001" t="str">
            <v>444UT</v>
          </cell>
          <cell r="G1001" t="str">
            <v>444</v>
          </cell>
          <cell r="I1001">
            <v>9630562.6399999969</v>
          </cell>
        </row>
        <row r="1002">
          <cell r="A1002" t="str">
            <v>444WA</v>
          </cell>
          <cell r="B1002" t="str">
            <v>444</v>
          </cell>
          <cell r="D1002">
            <v>1249476.2426496109</v>
          </cell>
          <cell r="F1002" t="str">
            <v>444WA</v>
          </cell>
          <cell r="G1002" t="str">
            <v>444</v>
          </cell>
          <cell r="I1002">
            <v>1249476.2426496109</v>
          </cell>
        </row>
        <row r="1003">
          <cell r="A1003" t="str">
            <v>444WYP</v>
          </cell>
          <cell r="B1003" t="str">
            <v>444</v>
          </cell>
          <cell r="D1003">
            <v>1753526.1025548526</v>
          </cell>
          <cell r="F1003" t="str">
            <v>444WYP</v>
          </cell>
          <cell r="G1003" t="str">
            <v>444</v>
          </cell>
          <cell r="I1003">
            <v>1753526.1025548526</v>
          </cell>
        </row>
        <row r="1004">
          <cell r="A1004" t="str">
            <v>444WYU</v>
          </cell>
          <cell r="B1004" t="str">
            <v>444</v>
          </cell>
          <cell r="D1004">
            <v>415081.34</v>
          </cell>
          <cell r="F1004" t="str">
            <v>444WYU</v>
          </cell>
          <cell r="G1004" t="str">
            <v>444</v>
          </cell>
          <cell r="I1004">
            <v>415081.34</v>
          </cell>
        </row>
        <row r="1005">
          <cell r="A1005" t="str">
            <v>445OTHER</v>
          </cell>
          <cell r="B1005" t="str">
            <v>445</v>
          </cell>
          <cell r="D1005">
            <v>-6582.74</v>
          </cell>
          <cell r="F1005" t="str">
            <v>445OTHER</v>
          </cell>
          <cell r="G1005" t="str">
            <v>445</v>
          </cell>
          <cell r="I1005">
            <v>-6582.74</v>
          </cell>
        </row>
        <row r="1006">
          <cell r="A1006" t="str">
            <v>445UT</v>
          </cell>
          <cell r="B1006" t="str">
            <v>445</v>
          </cell>
          <cell r="D1006">
            <v>16038540.000000002</v>
          </cell>
          <cell r="F1006" t="str">
            <v>445UT</v>
          </cell>
          <cell r="G1006" t="str">
            <v>445</v>
          </cell>
          <cell r="I1006">
            <v>16038540.000000002</v>
          </cell>
        </row>
        <row r="1007">
          <cell r="A1007" t="str">
            <v>447FERC</v>
          </cell>
          <cell r="B1007" t="str">
            <v>447</v>
          </cell>
          <cell r="D1007">
            <v>10259879.890000001</v>
          </cell>
          <cell r="F1007" t="str">
            <v>447FERC</v>
          </cell>
          <cell r="G1007" t="str">
            <v>447</v>
          </cell>
          <cell r="I1007">
            <v>10259879.890000001</v>
          </cell>
        </row>
        <row r="1008">
          <cell r="A1008" t="str">
            <v>447NPCSE</v>
          </cell>
          <cell r="B1008" t="str">
            <v>447NPC</v>
          </cell>
          <cell r="D1008">
            <v>0</v>
          </cell>
          <cell r="F1008" t="str">
            <v>447NPCSE</v>
          </cell>
          <cell r="G1008" t="str">
            <v>447NPC</v>
          </cell>
          <cell r="I1008">
            <v>0</v>
          </cell>
        </row>
        <row r="1009">
          <cell r="A1009" t="str">
            <v>447NPCSG</v>
          </cell>
          <cell r="B1009" t="str">
            <v>447NPC</v>
          </cell>
          <cell r="D1009">
            <v>350073382.26999998</v>
          </cell>
          <cell r="F1009" t="str">
            <v>447NPCSG</v>
          </cell>
          <cell r="G1009" t="str">
            <v>447NPC</v>
          </cell>
          <cell r="I1009">
            <v>350073382.26999998</v>
          </cell>
        </row>
        <row r="1010">
          <cell r="A1010" t="str">
            <v>447OR</v>
          </cell>
          <cell r="B1010" t="str">
            <v>447</v>
          </cell>
          <cell r="D1010">
            <v>1076116.25</v>
          </cell>
          <cell r="F1010" t="str">
            <v>447OR</v>
          </cell>
          <cell r="G1010" t="str">
            <v>447</v>
          </cell>
          <cell r="I1010">
            <v>1076116.25</v>
          </cell>
        </row>
        <row r="1011">
          <cell r="A1011" t="str">
            <v>447SG</v>
          </cell>
          <cell r="B1011" t="str">
            <v>447</v>
          </cell>
          <cell r="D1011">
            <v>0</v>
          </cell>
          <cell r="F1011" t="str">
            <v>447SG</v>
          </cell>
          <cell r="G1011" t="str">
            <v>447</v>
          </cell>
          <cell r="I1011">
            <v>0</v>
          </cell>
        </row>
        <row r="1012">
          <cell r="A1012" t="str">
            <v>447WYP</v>
          </cell>
          <cell r="B1012" t="str">
            <v>447</v>
          </cell>
          <cell r="D1012">
            <v>25070.74</v>
          </cell>
          <cell r="F1012" t="str">
            <v>447WYP</v>
          </cell>
          <cell r="G1012" t="str">
            <v>447</v>
          </cell>
          <cell r="I1012">
            <v>25070.74</v>
          </cell>
        </row>
        <row r="1013">
          <cell r="A1013" t="str">
            <v>450CA</v>
          </cell>
          <cell r="B1013" t="str">
            <v>450</v>
          </cell>
          <cell r="D1013">
            <v>304095.77</v>
          </cell>
          <cell r="F1013" t="str">
            <v>450CA</v>
          </cell>
          <cell r="G1013" t="str">
            <v>450</v>
          </cell>
          <cell r="I1013">
            <v>304095.77</v>
          </cell>
        </row>
        <row r="1014">
          <cell r="A1014" t="str">
            <v>450ID</v>
          </cell>
          <cell r="B1014" t="str">
            <v>450</v>
          </cell>
          <cell r="D1014">
            <v>499837.77</v>
          </cell>
          <cell r="F1014" t="str">
            <v>450ID</v>
          </cell>
          <cell r="G1014" t="str">
            <v>450</v>
          </cell>
          <cell r="I1014">
            <v>499837.77</v>
          </cell>
        </row>
        <row r="1015">
          <cell r="A1015" t="str">
            <v>450OR</v>
          </cell>
          <cell r="B1015" t="str">
            <v>450</v>
          </cell>
          <cell r="D1015">
            <v>3793922.19</v>
          </cell>
          <cell r="F1015" t="str">
            <v>450OR</v>
          </cell>
          <cell r="G1015" t="str">
            <v>450</v>
          </cell>
          <cell r="I1015">
            <v>3793922.19</v>
          </cell>
        </row>
        <row r="1016">
          <cell r="A1016" t="str">
            <v>450UT</v>
          </cell>
          <cell r="B1016" t="str">
            <v>450</v>
          </cell>
          <cell r="D1016">
            <v>3627201.35</v>
          </cell>
          <cell r="F1016" t="str">
            <v>450UT</v>
          </cell>
          <cell r="G1016" t="str">
            <v>450</v>
          </cell>
          <cell r="I1016">
            <v>3627201.35</v>
          </cell>
        </row>
        <row r="1017">
          <cell r="A1017" t="str">
            <v>450WA</v>
          </cell>
          <cell r="B1017" t="str">
            <v>450</v>
          </cell>
          <cell r="D1017">
            <v>681903.21</v>
          </cell>
          <cell r="F1017" t="str">
            <v>450WA</v>
          </cell>
          <cell r="G1017" t="str">
            <v>450</v>
          </cell>
          <cell r="I1017">
            <v>681903.21</v>
          </cell>
        </row>
        <row r="1018">
          <cell r="A1018" t="str">
            <v>450WYP</v>
          </cell>
          <cell r="B1018" t="str">
            <v>450</v>
          </cell>
          <cell r="D1018">
            <v>613316.49</v>
          </cell>
          <cell r="F1018" t="str">
            <v>450WYP</v>
          </cell>
          <cell r="G1018" t="str">
            <v>450</v>
          </cell>
          <cell r="I1018">
            <v>613316.49</v>
          </cell>
        </row>
        <row r="1019">
          <cell r="A1019" t="str">
            <v>450WYU</v>
          </cell>
          <cell r="B1019" t="str">
            <v>450</v>
          </cell>
          <cell r="D1019">
            <v>149838.13</v>
          </cell>
          <cell r="F1019" t="str">
            <v>450WYU</v>
          </cell>
          <cell r="G1019" t="str">
            <v>450</v>
          </cell>
          <cell r="I1019">
            <v>149838.13</v>
          </cell>
        </row>
        <row r="1020">
          <cell r="A1020" t="str">
            <v>451CA</v>
          </cell>
          <cell r="B1020" t="str">
            <v>451</v>
          </cell>
          <cell r="D1020">
            <v>70068.94</v>
          </cell>
          <cell r="F1020" t="str">
            <v>451CA</v>
          </cell>
          <cell r="G1020" t="str">
            <v>451</v>
          </cell>
          <cell r="I1020">
            <v>70068.94</v>
          </cell>
        </row>
        <row r="1021">
          <cell r="A1021" t="str">
            <v>451ID</v>
          </cell>
          <cell r="B1021" t="str">
            <v>451</v>
          </cell>
          <cell r="D1021">
            <v>132945.98000000001</v>
          </cell>
          <cell r="F1021" t="str">
            <v>451ID</v>
          </cell>
          <cell r="G1021" t="str">
            <v>451</v>
          </cell>
          <cell r="I1021">
            <v>132945.98000000001</v>
          </cell>
        </row>
        <row r="1022">
          <cell r="A1022" t="str">
            <v>451OR</v>
          </cell>
          <cell r="B1022" t="str">
            <v>451</v>
          </cell>
          <cell r="D1022">
            <v>1484666.83</v>
          </cell>
          <cell r="F1022" t="str">
            <v>451OR</v>
          </cell>
          <cell r="G1022" t="str">
            <v>451</v>
          </cell>
          <cell r="I1022">
            <v>1484666.83</v>
          </cell>
        </row>
        <row r="1023">
          <cell r="A1023" t="str">
            <v>451SO</v>
          </cell>
          <cell r="B1023" t="str">
            <v>451</v>
          </cell>
          <cell r="D1023">
            <v>11855.16</v>
          </cell>
          <cell r="F1023" t="str">
            <v>451SO</v>
          </cell>
          <cell r="G1023" t="str">
            <v>451</v>
          </cell>
          <cell r="I1023">
            <v>11855.16</v>
          </cell>
        </row>
        <row r="1024">
          <cell r="A1024" t="str">
            <v>451UT</v>
          </cell>
          <cell r="B1024" t="str">
            <v>451</v>
          </cell>
          <cell r="D1024">
            <v>3919411.11</v>
          </cell>
          <cell r="F1024" t="str">
            <v>451UT</v>
          </cell>
          <cell r="G1024" t="str">
            <v>451</v>
          </cell>
          <cell r="I1024">
            <v>3919411.11</v>
          </cell>
        </row>
        <row r="1025">
          <cell r="A1025" t="str">
            <v>451WA</v>
          </cell>
          <cell r="B1025" t="str">
            <v>451</v>
          </cell>
          <cell r="D1025">
            <v>181011.22</v>
          </cell>
          <cell r="F1025" t="str">
            <v>451WA</v>
          </cell>
          <cell r="G1025" t="str">
            <v>451</v>
          </cell>
          <cell r="I1025">
            <v>181011.22</v>
          </cell>
        </row>
        <row r="1026">
          <cell r="A1026" t="str">
            <v>451WYP</v>
          </cell>
          <cell r="B1026" t="str">
            <v>451</v>
          </cell>
          <cell r="D1026">
            <v>487039.56</v>
          </cell>
          <cell r="F1026" t="str">
            <v>451WYP</v>
          </cell>
          <cell r="G1026" t="str">
            <v>451</v>
          </cell>
          <cell r="I1026">
            <v>487039.56</v>
          </cell>
        </row>
        <row r="1027">
          <cell r="A1027" t="str">
            <v>451WYU</v>
          </cell>
          <cell r="B1027" t="str">
            <v>451</v>
          </cell>
          <cell r="D1027">
            <v>153853.91</v>
          </cell>
          <cell r="F1027" t="str">
            <v>451WYU</v>
          </cell>
          <cell r="G1027" t="str">
            <v>451</v>
          </cell>
          <cell r="I1027">
            <v>153853.91</v>
          </cell>
        </row>
        <row r="1028">
          <cell r="A1028" t="str">
            <v>453SG</v>
          </cell>
          <cell r="B1028" t="str">
            <v>453</v>
          </cell>
          <cell r="D1028">
            <v>1982.26</v>
          </cell>
          <cell r="F1028" t="str">
            <v>453SG</v>
          </cell>
          <cell r="G1028" t="str">
            <v>453</v>
          </cell>
          <cell r="I1028">
            <v>1982.26</v>
          </cell>
        </row>
        <row r="1029">
          <cell r="A1029" t="str">
            <v>454CA</v>
          </cell>
          <cell r="B1029" t="str">
            <v>454</v>
          </cell>
          <cell r="D1029">
            <v>483462.51</v>
          </cell>
          <cell r="F1029" t="str">
            <v>454CA</v>
          </cell>
          <cell r="G1029" t="str">
            <v>454</v>
          </cell>
          <cell r="I1029">
            <v>483462.51</v>
          </cell>
        </row>
        <row r="1030">
          <cell r="A1030" t="str">
            <v>454ID</v>
          </cell>
          <cell r="B1030" t="str">
            <v>454</v>
          </cell>
          <cell r="D1030">
            <v>150961.79999999999</v>
          </cell>
          <cell r="F1030" t="str">
            <v>454ID</v>
          </cell>
          <cell r="G1030" t="str">
            <v>454</v>
          </cell>
          <cell r="I1030">
            <v>150961.79999999999</v>
          </cell>
        </row>
        <row r="1031">
          <cell r="A1031" t="str">
            <v>454OR</v>
          </cell>
          <cell r="B1031" t="str">
            <v>454</v>
          </cell>
          <cell r="D1031">
            <v>3501321.62</v>
          </cell>
          <cell r="F1031" t="str">
            <v>454OR</v>
          </cell>
          <cell r="G1031" t="str">
            <v>454</v>
          </cell>
          <cell r="I1031">
            <v>3501321.62</v>
          </cell>
        </row>
        <row r="1032">
          <cell r="A1032" t="str">
            <v>454SG</v>
          </cell>
          <cell r="B1032" t="str">
            <v>454</v>
          </cell>
          <cell r="D1032">
            <v>5421042.3700000001</v>
          </cell>
          <cell r="F1032" t="str">
            <v>454SG</v>
          </cell>
          <cell r="G1032" t="str">
            <v>454</v>
          </cell>
          <cell r="I1032">
            <v>5421042.3700000001</v>
          </cell>
        </row>
        <row r="1033">
          <cell r="A1033" t="str">
            <v>454SO</v>
          </cell>
          <cell r="B1033" t="str">
            <v>454</v>
          </cell>
          <cell r="D1033">
            <v>3680755.9</v>
          </cell>
          <cell r="F1033" t="str">
            <v>454SO</v>
          </cell>
          <cell r="G1033" t="str">
            <v>454</v>
          </cell>
          <cell r="I1033">
            <v>3680755.9</v>
          </cell>
        </row>
        <row r="1034">
          <cell r="A1034" t="str">
            <v>454UT</v>
          </cell>
          <cell r="B1034" t="str">
            <v>454</v>
          </cell>
          <cell r="D1034">
            <v>3278177.8899999997</v>
          </cell>
          <cell r="F1034" t="str">
            <v>454UT</v>
          </cell>
          <cell r="G1034" t="str">
            <v>454</v>
          </cell>
          <cell r="I1034">
            <v>3278177.8899999997</v>
          </cell>
        </row>
        <row r="1035">
          <cell r="A1035" t="str">
            <v>454WA</v>
          </cell>
          <cell r="B1035" t="str">
            <v>454</v>
          </cell>
          <cell r="D1035">
            <v>961960.69</v>
          </cell>
          <cell r="F1035" t="str">
            <v>454WA</v>
          </cell>
          <cell r="G1035" t="str">
            <v>454</v>
          </cell>
          <cell r="I1035">
            <v>961960.69</v>
          </cell>
        </row>
        <row r="1036">
          <cell r="A1036" t="str">
            <v>454WYP</v>
          </cell>
          <cell r="B1036" t="str">
            <v>454</v>
          </cell>
          <cell r="D1036">
            <v>355240.63</v>
          </cell>
          <cell r="F1036" t="str">
            <v>454WYP</v>
          </cell>
          <cell r="G1036" t="str">
            <v>454</v>
          </cell>
          <cell r="I1036">
            <v>355240.63</v>
          </cell>
        </row>
        <row r="1037">
          <cell r="A1037" t="str">
            <v>454WYU</v>
          </cell>
          <cell r="B1037" t="str">
            <v>454</v>
          </cell>
          <cell r="D1037">
            <v>18419.09</v>
          </cell>
          <cell r="F1037" t="str">
            <v>454WYU</v>
          </cell>
          <cell r="G1037" t="str">
            <v>454</v>
          </cell>
          <cell r="I1037">
            <v>18419.09</v>
          </cell>
        </row>
        <row r="1038">
          <cell r="A1038" t="str">
            <v>456CA</v>
          </cell>
          <cell r="B1038" t="str">
            <v>456</v>
          </cell>
          <cell r="D1038">
            <v>-74581.314887278437</v>
          </cell>
          <cell r="F1038" t="str">
            <v>456CA</v>
          </cell>
          <cell r="G1038" t="str">
            <v>456</v>
          </cell>
          <cell r="I1038">
            <v>-74581.314887278437</v>
          </cell>
        </row>
        <row r="1039">
          <cell r="A1039" t="str">
            <v>456ID</v>
          </cell>
          <cell r="B1039" t="str">
            <v>456</v>
          </cell>
          <cell r="D1039">
            <v>0</v>
          </cell>
          <cell r="F1039" t="str">
            <v>456ID</v>
          </cell>
          <cell r="G1039" t="str">
            <v>456</v>
          </cell>
          <cell r="I1039">
            <v>0</v>
          </cell>
        </row>
        <row r="1040">
          <cell r="A1040" t="str">
            <v>456OR</v>
          </cell>
          <cell r="B1040" t="str">
            <v>456</v>
          </cell>
          <cell r="D1040">
            <v>-994806.64237172599</v>
          </cell>
          <cell r="F1040" t="str">
            <v>456OR</v>
          </cell>
          <cell r="G1040" t="str">
            <v>456</v>
          </cell>
          <cell r="I1040">
            <v>-994806.64237172599</v>
          </cell>
        </row>
        <row r="1041">
          <cell r="A1041" t="str">
            <v>456OTHER</v>
          </cell>
          <cell r="B1041" t="str">
            <v>456</v>
          </cell>
          <cell r="D1041">
            <v>13581525.300979968</v>
          </cell>
          <cell r="F1041" t="str">
            <v>456OTHER</v>
          </cell>
          <cell r="G1041" t="str">
            <v>456</v>
          </cell>
          <cell r="I1041">
            <v>13581525.300979968</v>
          </cell>
        </row>
        <row r="1042">
          <cell r="A1042" t="str">
            <v>456SE</v>
          </cell>
          <cell r="B1042" t="str">
            <v>456</v>
          </cell>
          <cell r="D1042">
            <v>13596926.24</v>
          </cell>
          <cell r="F1042" t="str">
            <v>456SE</v>
          </cell>
          <cell r="G1042" t="str">
            <v>456</v>
          </cell>
          <cell r="I1042">
            <v>13596926.24</v>
          </cell>
        </row>
        <row r="1043">
          <cell r="A1043" t="str">
            <v>456SG</v>
          </cell>
          <cell r="B1043" t="str">
            <v>456</v>
          </cell>
          <cell r="D1043">
            <v>119108809.42813072</v>
          </cell>
          <cell r="F1043" t="str">
            <v>456SG</v>
          </cell>
          <cell r="G1043" t="str">
            <v>456</v>
          </cell>
          <cell r="I1043">
            <v>119108809.42813072</v>
          </cell>
        </row>
        <row r="1044">
          <cell r="A1044" t="str">
            <v>456SO</v>
          </cell>
          <cell r="B1044" t="str">
            <v>456</v>
          </cell>
          <cell r="D1044">
            <v>308636.51</v>
          </cell>
          <cell r="F1044" t="str">
            <v>456SO</v>
          </cell>
          <cell r="G1044" t="str">
            <v>456</v>
          </cell>
          <cell r="I1044">
            <v>308636.51</v>
          </cell>
        </row>
        <row r="1045">
          <cell r="A1045" t="str">
            <v>456UT</v>
          </cell>
          <cell r="B1045" t="str">
            <v>456</v>
          </cell>
          <cell r="D1045">
            <v>-359934.7</v>
          </cell>
          <cell r="F1045" t="str">
            <v>456UT</v>
          </cell>
          <cell r="G1045" t="str">
            <v>456</v>
          </cell>
          <cell r="I1045">
            <v>-359934.7</v>
          </cell>
        </row>
        <row r="1046">
          <cell r="A1046" t="str">
            <v>456WA</v>
          </cell>
          <cell r="B1046" t="str">
            <v>456</v>
          </cell>
          <cell r="D1046">
            <v>-100863.59460167999</v>
          </cell>
          <cell r="F1046" t="str">
            <v>456WA</v>
          </cell>
          <cell r="G1046" t="str">
            <v>456</v>
          </cell>
          <cell r="I1046">
            <v>-100863.59460167999</v>
          </cell>
        </row>
        <row r="1047">
          <cell r="A1047" t="str">
            <v>456WYP</v>
          </cell>
          <cell r="B1047" t="str">
            <v>456</v>
          </cell>
          <cell r="D1047">
            <v>263686.65000000002</v>
          </cell>
          <cell r="F1047" t="str">
            <v>456WYP</v>
          </cell>
          <cell r="G1047" t="str">
            <v>456</v>
          </cell>
          <cell r="I1047">
            <v>263686.65000000002</v>
          </cell>
        </row>
        <row r="1048">
          <cell r="A1048" t="str">
            <v>456WYU</v>
          </cell>
          <cell r="B1048" t="str">
            <v>456</v>
          </cell>
          <cell r="D1048">
            <v>0</v>
          </cell>
          <cell r="F1048" t="str">
            <v>456WYU</v>
          </cell>
          <cell r="G1048" t="str">
            <v>456</v>
          </cell>
          <cell r="I1048">
            <v>0</v>
          </cell>
        </row>
        <row r="1049">
          <cell r="A1049" t="str">
            <v>500SNPPS</v>
          </cell>
          <cell r="B1049" t="str">
            <v>500</v>
          </cell>
          <cell r="D1049">
            <v>17243763.713814873</v>
          </cell>
          <cell r="F1049" t="str">
            <v>500SNPPS</v>
          </cell>
          <cell r="G1049" t="str">
            <v>500</v>
          </cell>
          <cell r="I1049">
            <v>17243763.713814873</v>
          </cell>
        </row>
        <row r="1050">
          <cell r="A1050" t="str">
            <v>500SSGCH</v>
          </cell>
          <cell r="B1050" t="str">
            <v>500</v>
          </cell>
          <cell r="D1050">
            <v>1442542.558883223</v>
          </cell>
          <cell r="F1050" t="str">
            <v>500SSGCH</v>
          </cell>
          <cell r="G1050" t="str">
            <v>500</v>
          </cell>
          <cell r="I1050">
            <v>1442542.558883223</v>
          </cell>
        </row>
        <row r="1051">
          <cell r="A1051" t="str">
            <v>501NPCID</v>
          </cell>
          <cell r="B1051" t="str">
            <v>501NPC</v>
          </cell>
          <cell r="D1051">
            <v>0</v>
          </cell>
          <cell r="F1051" t="str">
            <v>501NPCID</v>
          </cell>
          <cell r="G1051" t="str">
            <v>501NPC</v>
          </cell>
          <cell r="I1051">
            <v>0</v>
          </cell>
        </row>
        <row r="1052">
          <cell r="A1052" t="str">
            <v>501NPCSE</v>
          </cell>
          <cell r="B1052" t="str">
            <v>501NPC</v>
          </cell>
          <cell r="D1052">
            <v>776505423.13908732</v>
          </cell>
          <cell r="F1052" t="str">
            <v>501NPCSE</v>
          </cell>
          <cell r="G1052" t="str">
            <v>501NPC</v>
          </cell>
          <cell r="I1052">
            <v>776505423.13908732</v>
          </cell>
        </row>
        <row r="1053">
          <cell r="A1053" t="str">
            <v>501NPCSSECH</v>
          </cell>
          <cell r="B1053" t="str">
            <v>501NPC</v>
          </cell>
          <cell r="D1053">
            <v>50877989.68</v>
          </cell>
          <cell r="F1053" t="str">
            <v>501NPCSSECH</v>
          </cell>
          <cell r="G1053" t="str">
            <v>501NPC</v>
          </cell>
          <cell r="I1053">
            <v>50877989.68</v>
          </cell>
        </row>
        <row r="1054">
          <cell r="A1054" t="str">
            <v>501NPCWYP</v>
          </cell>
          <cell r="B1054" t="str">
            <v>501NPC</v>
          </cell>
          <cell r="D1054">
            <v>0</v>
          </cell>
          <cell r="F1054" t="str">
            <v>501NPCWYP</v>
          </cell>
          <cell r="G1054" t="str">
            <v>501NPC</v>
          </cell>
          <cell r="I1054">
            <v>0</v>
          </cell>
        </row>
        <row r="1055">
          <cell r="A1055" t="str">
            <v>501SE</v>
          </cell>
          <cell r="B1055" t="str">
            <v>501</v>
          </cell>
          <cell r="D1055">
            <v>14205112.629314506</v>
          </cell>
          <cell r="F1055" t="str">
            <v>501SE</v>
          </cell>
          <cell r="G1055" t="str">
            <v>501</v>
          </cell>
          <cell r="I1055">
            <v>14205112.629314506</v>
          </cell>
        </row>
        <row r="1056">
          <cell r="A1056" t="str">
            <v>501SSECH</v>
          </cell>
          <cell r="B1056" t="str">
            <v>501</v>
          </cell>
          <cell r="D1056">
            <v>3774392.2121672616</v>
          </cell>
          <cell r="F1056" t="str">
            <v>501SSECH</v>
          </cell>
          <cell r="G1056" t="str">
            <v>501</v>
          </cell>
          <cell r="I1056">
            <v>3774392.2121672616</v>
          </cell>
        </row>
        <row r="1057">
          <cell r="A1057" t="str">
            <v>502SNPPS</v>
          </cell>
          <cell r="B1057" t="str">
            <v>502</v>
          </cell>
          <cell r="D1057">
            <v>35744726.090180814</v>
          </cell>
          <cell r="F1057" t="str">
            <v>502SNPPS</v>
          </cell>
          <cell r="G1057" t="str">
            <v>502</v>
          </cell>
          <cell r="I1057">
            <v>35744726.090180814</v>
          </cell>
        </row>
        <row r="1058">
          <cell r="A1058" t="str">
            <v>502SSGCH</v>
          </cell>
          <cell r="B1058" t="str">
            <v>502</v>
          </cell>
          <cell r="D1058">
            <v>8027946.3599541048</v>
          </cell>
          <cell r="F1058" t="str">
            <v>502SSGCH</v>
          </cell>
          <cell r="G1058" t="str">
            <v>502</v>
          </cell>
          <cell r="I1058">
            <v>8027946.3599541048</v>
          </cell>
        </row>
        <row r="1059">
          <cell r="A1059" t="str">
            <v>503NPCSE</v>
          </cell>
          <cell r="B1059" t="str">
            <v>503NPC</v>
          </cell>
          <cell r="D1059">
            <v>3757234.29</v>
          </cell>
          <cell r="F1059" t="str">
            <v>503NPCSE</v>
          </cell>
          <cell r="G1059" t="str">
            <v>503NPC</v>
          </cell>
          <cell r="I1059">
            <v>3757234.29</v>
          </cell>
        </row>
        <row r="1060">
          <cell r="A1060" t="str">
            <v>505SNPPS</v>
          </cell>
          <cell r="B1060" t="str">
            <v>505</v>
          </cell>
          <cell r="D1060">
            <v>3162188.1539424965</v>
          </cell>
          <cell r="F1060" t="str">
            <v>505SNPPS</v>
          </cell>
          <cell r="G1060" t="str">
            <v>505</v>
          </cell>
          <cell r="I1060">
            <v>3162188.1539424965</v>
          </cell>
        </row>
        <row r="1061">
          <cell r="A1061" t="str">
            <v>505SSGCH</v>
          </cell>
          <cell r="B1061" t="str">
            <v>505</v>
          </cell>
          <cell r="D1061">
            <v>892969.0729168792</v>
          </cell>
          <cell r="F1061" t="str">
            <v>505SSGCH</v>
          </cell>
          <cell r="G1061" t="str">
            <v>505</v>
          </cell>
          <cell r="I1061">
            <v>892969.0729168792</v>
          </cell>
        </row>
        <row r="1062">
          <cell r="A1062" t="str">
            <v>506SNPPS</v>
          </cell>
          <cell r="B1062" t="str">
            <v>506</v>
          </cell>
          <cell r="D1062">
            <v>53129615.932465963</v>
          </cell>
          <cell r="F1062" t="str">
            <v>506SNPPS</v>
          </cell>
          <cell r="G1062" t="str">
            <v>506</v>
          </cell>
          <cell r="I1062">
            <v>53129615.932465963</v>
          </cell>
        </row>
        <row r="1063">
          <cell r="A1063" t="str">
            <v>506SSGCH</v>
          </cell>
          <cell r="B1063" t="str">
            <v>506</v>
          </cell>
          <cell r="D1063">
            <v>1926017.1234752678</v>
          </cell>
          <cell r="F1063" t="str">
            <v>506SSGCH</v>
          </cell>
          <cell r="G1063" t="str">
            <v>506</v>
          </cell>
          <cell r="I1063">
            <v>1926017.1234752678</v>
          </cell>
        </row>
        <row r="1064">
          <cell r="A1064" t="str">
            <v>507SNPPS</v>
          </cell>
          <cell r="B1064" t="str">
            <v>507</v>
          </cell>
          <cell r="D1064">
            <v>439600.59713666496</v>
          </cell>
          <cell r="F1064" t="str">
            <v>507SNPPS</v>
          </cell>
          <cell r="G1064" t="str">
            <v>507</v>
          </cell>
          <cell r="I1064">
            <v>439600.59713666496</v>
          </cell>
        </row>
        <row r="1065">
          <cell r="A1065" t="str">
            <v>507SSGCH</v>
          </cell>
          <cell r="B1065" t="str">
            <v>507</v>
          </cell>
          <cell r="D1065">
            <v>0</v>
          </cell>
          <cell r="F1065" t="str">
            <v>507SSGCH</v>
          </cell>
          <cell r="G1065" t="str">
            <v>507</v>
          </cell>
          <cell r="I1065">
            <v>0</v>
          </cell>
        </row>
        <row r="1066">
          <cell r="A1066" t="str">
            <v>510SNPPS</v>
          </cell>
          <cell r="B1066" t="str">
            <v>510</v>
          </cell>
          <cell r="D1066">
            <v>18248134.691014051</v>
          </cell>
          <cell r="F1066" t="str">
            <v>510SNPPS</v>
          </cell>
          <cell r="G1066" t="str">
            <v>510</v>
          </cell>
          <cell r="I1066">
            <v>18248134.691014051</v>
          </cell>
        </row>
        <row r="1067">
          <cell r="A1067" t="str">
            <v>510SSGCH</v>
          </cell>
          <cell r="B1067" t="str">
            <v>510</v>
          </cell>
          <cell r="D1067">
            <v>-833679.79657913931</v>
          </cell>
          <cell r="F1067" t="str">
            <v>510SSGCH</v>
          </cell>
          <cell r="G1067" t="str">
            <v>510</v>
          </cell>
          <cell r="I1067">
            <v>-833679.79657913931</v>
          </cell>
        </row>
        <row r="1068">
          <cell r="A1068" t="str">
            <v>511SNPPS</v>
          </cell>
          <cell r="B1068" t="str">
            <v>511</v>
          </cell>
          <cell r="D1068">
            <v>27509704.342977449</v>
          </cell>
          <cell r="F1068" t="str">
            <v>511SNPPS</v>
          </cell>
          <cell r="G1068" t="str">
            <v>511</v>
          </cell>
          <cell r="I1068">
            <v>27509704.342977449</v>
          </cell>
        </row>
        <row r="1069">
          <cell r="A1069" t="str">
            <v>511SSGCH</v>
          </cell>
          <cell r="B1069" t="str">
            <v>511</v>
          </cell>
          <cell r="D1069">
            <v>688943.40120832156</v>
          </cell>
          <cell r="F1069" t="str">
            <v>511SSGCH</v>
          </cell>
          <cell r="G1069" t="str">
            <v>511</v>
          </cell>
          <cell r="I1069">
            <v>688943.40120832156</v>
          </cell>
        </row>
        <row r="1070">
          <cell r="A1070" t="str">
            <v>512SNPPS</v>
          </cell>
          <cell r="B1070" t="str">
            <v>512</v>
          </cell>
          <cell r="D1070">
            <v>107695256.59859239</v>
          </cell>
          <cell r="F1070" t="str">
            <v>512SNPPS</v>
          </cell>
          <cell r="G1070" t="str">
            <v>512</v>
          </cell>
          <cell r="I1070">
            <v>107695256.59859239</v>
          </cell>
        </row>
        <row r="1071">
          <cell r="A1071" t="str">
            <v>512SSGCH</v>
          </cell>
          <cell r="B1071" t="str">
            <v>512</v>
          </cell>
          <cell r="D1071">
            <v>11048045.150216468</v>
          </cell>
          <cell r="F1071" t="str">
            <v>512SSGCH</v>
          </cell>
          <cell r="G1071" t="str">
            <v>512</v>
          </cell>
          <cell r="I1071">
            <v>11048045.150216468</v>
          </cell>
        </row>
        <row r="1072">
          <cell r="A1072" t="str">
            <v>513SNPPS</v>
          </cell>
          <cell r="B1072" t="str">
            <v>513</v>
          </cell>
          <cell r="D1072">
            <v>29498311.662888322</v>
          </cell>
          <cell r="F1072" t="str">
            <v>513SNPPS</v>
          </cell>
          <cell r="G1072" t="str">
            <v>513</v>
          </cell>
          <cell r="I1072">
            <v>29498311.662888322</v>
          </cell>
        </row>
        <row r="1073">
          <cell r="A1073" t="str">
            <v>513SSGCH</v>
          </cell>
          <cell r="B1073" t="str">
            <v>513</v>
          </cell>
          <cell r="D1073">
            <v>797353.62723852939</v>
          </cell>
          <cell r="F1073" t="str">
            <v>513SSGCH</v>
          </cell>
          <cell r="G1073" t="str">
            <v>513</v>
          </cell>
          <cell r="I1073">
            <v>797353.62723852939</v>
          </cell>
        </row>
        <row r="1074">
          <cell r="A1074" t="str">
            <v>514SNPPS</v>
          </cell>
          <cell r="B1074" t="str">
            <v>514</v>
          </cell>
          <cell r="D1074">
            <v>10528876.118165392</v>
          </cell>
          <cell r="F1074" t="str">
            <v>514SNPPS</v>
          </cell>
          <cell r="G1074" t="str">
            <v>514</v>
          </cell>
          <cell r="I1074">
            <v>10528876.118165392</v>
          </cell>
        </row>
        <row r="1075">
          <cell r="A1075" t="str">
            <v>514SSGCH</v>
          </cell>
          <cell r="B1075" t="str">
            <v>514</v>
          </cell>
          <cell r="D1075">
            <v>4253604.6797777144</v>
          </cell>
          <cell r="F1075" t="str">
            <v>514SSGCH</v>
          </cell>
          <cell r="G1075" t="str">
            <v>514</v>
          </cell>
          <cell r="I1075">
            <v>4253604.6797777144</v>
          </cell>
        </row>
        <row r="1076">
          <cell r="A1076" t="str">
            <v>535SNPPH-P</v>
          </cell>
          <cell r="B1076" t="str">
            <v>535</v>
          </cell>
          <cell r="D1076">
            <v>7938590.7311075069</v>
          </cell>
          <cell r="F1076" t="str">
            <v>535SNPPH-P</v>
          </cell>
          <cell r="G1076" t="str">
            <v>535</v>
          </cell>
          <cell r="I1076">
            <v>7938590.7311075069</v>
          </cell>
        </row>
        <row r="1077">
          <cell r="A1077" t="str">
            <v>535SNPPH-U</v>
          </cell>
          <cell r="B1077" t="str">
            <v>535</v>
          </cell>
          <cell r="D1077">
            <v>-84368.922588639311</v>
          </cell>
          <cell r="F1077" t="str">
            <v>535SNPPH-U</v>
          </cell>
          <cell r="G1077" t="str">
            <v>535</v>
          </cell>
          <cell r="I1077">
            <v>-84368.922588639311</v>
          </cell>
        </row>
        <row r="1078">
          <cell r="A1078" t="str">
            <v>536SNPPH-P</v>
          </cell>
          <cell r="B1078" t="str">
            <v>536</v>
          </cell>
          <cell r="D1078">
            <v>147747.08589251523</v>
          </cell>
          <cell r="F1078" t="str">
            <v>536SNPPH-P</v>
          </cell>
          <cell r="G1078" t="str">
            <v>536</v>
          </cell>
          <cell r="I1078">
            <v>147747.08589251523</v>
          </cell>
        </row>
        <row r="1079">
          <cell r="A1079" t="str">
            <v>537SNPPH-P</v>
          </cell>
          <cell r="B1079" t="str">
            <v>537</v>
          </cell>
          <cell r="D1079">
            <v>5273078.7020812668</v>
          </cell>
          <cell r="F1079" t="str">
            <v>537SNPPH-P</v>
          </cell>
          <cell r="G1079" t="str">
            <v>537</v>
          </cell>
          <cell r="I1079">
            <v>5273078.7020812668</v>
          </cell>
        </row>
        <row r="1080">
          <cell r="A1080" t="str">
            <v>537SNPPH-U</v>
          </cell>
          <cell r="B1080" t="str">
            <v>537</v>
          </cell>
          <cell r="D1080">
            <v>192095.97231901137</v>
          </cell>
          <cell r="F1080" t="str">
            <v>537SNPPH-U</v>
          </cell>
          <cell r="G1080" t="str">
            <v>537</v>
          </cell>
          <cell r="I1080">
            <v>192095.97231901137</v>
          </cell>
        </row>
        <row r="1081">
          <cell r="A1081" t="str">
            <v>539SNPPH-P</v>
          </cell>
          <cell r="B1081" t="str">
            <v>539</v>
          </cell>
          <cell r="D1081">
            <v>12316158.405593172</v>
          </cell>
          <cell r="F1081" t="str">
            <v>539SNPPH-P</v>
          </cell>
          <cell r="G1081" t="str">
            <v>539</v>
          </cell>
          <cell r="I1081">
            <v>12316158.405593172</v>
          </cell>
        </row>
        <row r="1082">
          <cell r="A1082" t="str">
            <v>539SNPPH-U</v>
          </cell>
          <cell r="B1082" t="str">
            <v>539</v>
          </cell>
          <cell r="D1082">
            <v>5554144.43222789</v>
          </cell>
          <cell r="F1082" t="str">
            <v>539SNPPH-U</v>
          </cell>
          <cell r="G1082" t="str">
            <v>539</v>
          </cell>
          <cell r="I1082">
            <v>5554144.43222789</v>
          </cell>
        </row>
        <row r="1083">
          <cell r="A1083" t="str">
            <v>540SNPPH-P</v>
          </cell>
          <cell r="B1083" t="str">
            <v>540</v>
          </cell>
          <cell r="D1083">
            <v>727857.43791545404</v>
          </cell>
          <cell r="F1083" t="str">
            <v>540SNPPH-P</v>
          </cell>
          <cell r="G1083" t="str">
            <v>540</v>
          </cell>
          <cell r="I1083">
            <v>727857.43791545404</v>
          </cell>
        </row>
        <row r="1084">
          <cell r="A1084" t="str">
            <v>540SNPPH-U</v>
          </cell>
          <cell r="B1084" t="str">
            <v>540</v>
          </cell>
          <cell r="D1084">
            <v>9750.9997019840739</v>
          </cell>
          <cell r="F1084" t="str">
            <v>540SNPPH-U</v>
          </cell>
          <cell r="G1084" t="str">
            <v>540</v>
          </cell>
          <cell r="I1084">
            <v>9750.9997019840739</v>
          </cell>
        </row>
        <row r="1085">
          <cell r="A1085" t="str">
            <v>541SNPPH-P</v>
          </cell>
          <cell r="B1085" t="str">
            <v>541</v>
          </cell>
          <cell r="D1085">
            <v>421.32225201072379</v>
          </cell>
          <cell r="F1085" t="str">
            <v>541SNPPH-P</v>
          </cell>
          <cell r="G1085" t="str">
            <v>541</v>
          </cell>
          <cell r="I1085">
            <v>421.32225201072379</v>
          </cell>
        </row>
        <row r="1086">
          <cell r="A1086" t="str">
            <v>542SNPPH-P</v>
          </cell>
          <cell r="B1086" t="str">
            <v>542</v>
          </cell>
          <cell r="D1086">
            <v>606380.23637264583</v>
          </cell>
          <cell r="F1086" t="str">
            <v>542SNPPH-P</v>
          </cell>
          <cell r="G1086" t="str">
            <v>542</v>
          </cell>
          <cell r="I1086">
            <v>606380.23637264583</v>
          </cell>
        </row>
        <row r="1087">
          <cell r="A1087" t="str">
            <v>542SNPPH-U</v>
          </cell>
          <cell r="B1087" t="str">
            <v>542</v>
          </cell>
          <cell r="D1087">
            <v>162813.63085997396</v>
          </cell>
          <cell r="F1087" t="str">
            <v>542SNPPH-U</v>
          </cell>
          <cell r="G1087" t="str">
            <v>542</v>
          </cell>
          <cell r="I1087">
            <v>162813.63085997396</v>
          </cell>
        </row>
        <row r="1088">
          <cell r="A1088" t="str">
            <v>543SNPPH-P</v>
          </cell>
          <cell r="B1088" t="str">
            <v>543</v>
          </cell>
          <cell r="D1088">
            <v>1849817.4741233333</v>
          </cell>
          <cell r="F1088" t="str">
            <v>543SNPPH-P</v>
          </cell>
          <cell r="G1088" t="str">
            <v>543</v>
          </cell>
          <cell r="I1088">
            <v>1849817.4741233333</v>
          </cell>
        </row>
        <row r="1089">
          <cell r="A1089" t="str">
            <v>543SNPPH-U</v>
          </cell>
          <cell r="B1089" t="str">
            <v>543</v>
          </cell>
          <cell r="D1089">
            <v>517369.5093453658</v>
          </cell>
          <cell r="F1089" t="str">
            <v>543SNPPH-U</v>
          </cell>
          <cell r="G1089" t="str">
            <v>543</v>
          </cell>
          <cell r="I1089">
            <v>517369.5093453658</v>
          </cell>
        </row>
        <row r="1090">
          <cell r="A1090" t="str">
            <v>544SNPPH-P</v>
          </cell>
          <cell r="B1090" t="str">
            <v>544</v>
          </cell>
          <cell r="D1090">
            <v>1964795.5323432288</v>
          </cell>
          <cell r="F1090" t="str">
            <v>544SNPPH-P</v>
          </cell>
          <cell r="G1090" t="str">
            <v>544</v>
          </cell>
          <cell r="I1090">
            <v>1964795.5323432288</v>
          </cell>
        </row>
        <row r="1091">
          <cell r="A1091" t="str">
            <v>544SNPPH-U</v>
          </cell>
          <cell r="B1091" t="str">
            <v>544</v>
          </cell>
          <cell r="D1091">
            <v>623670.40589695366</v>
          </cell>
          <cell r="F1091" t="str">
            <v>544SNPPH-U</v>
          </cell>
          <cell r="G1091" t="str">
            <v>544</v>
          </cell>
          <cell r="I1091">
            <v>623670.40589695366</v>
          </cell>
        </row>
        <row r="1092">
          <cell r="A1092" t="str">
            <v>545SNPPH-P</v>
          </cell>
          <cell r="B1092" t="str">
            <v>545</v>
          </cell>
          <cell r="D1092">
            <v>2695805.7942490135</v>
          </cell>
          <cell r="F1092" t="str">
            <v>545SNPPH-P</v>
          </cell>
          <cell r="G1092" t="str">
            <v>545</v>
          </cell>
          <cell r="I1092">
            <v>2695805.7942490135</v>
          </cell>
        </row>
        <row r="1093">
          <cell r="A1093" t="str">
            <v>545SNPPH-U</v>
          </cell>
          <cell r="B1093" t="str">
            <v>545</v>
          </cell>
          <cell r="D1093">
            <v>706363.71697356692</v>
          </cell>
          <cell r="F1093" t="str">
            <v>545SNPPH-U</v>
          </cell>
          <cell r="G1093" t="str">
            <v>545</v>
          </cell>
          <cell r="I1093">
            <v>706363.71697356692</v>
          </cell>
        </row>
        <row r="1094">
          <cell r="A1094" t="str">
            <v>546SNPPO</v>
          </cell>
          <cell r="B1094" t="str">
            <v>546</v>
          </cell>
          <cell r="D1094">
            <v>458497.28223107575</v>
          </cell>
          <cell r="F1094" t="str">
            <v>546SNPPO</v>
          </cell>
          <cell r="G1094" t="str">
            <v>546</v>
          </cell>
          <cell r="I1094">
            <v>458497.28223107575</v>
          </cell>
        </row>
        <row r="1095">
          <cell r="A1095" t="str">
            <v>547NPCSE</v>
          </cell>
          <cell r="B1095" t="str">
            <v>547NPC</v>
          </cell>
          <cell r="D1095">
            <v>292396305.30691254</v>
          </cell>
          <cell r="F1095" t="str">
            <v>547NPCSE</v>
          </cell>
          <cell r="G1095" t="str">
            <v>547NPC</v>
          </cell>
          <cell r="I1095">
            <v>292396305.30691254</v>
          </cell>
        </row>
        <row r="1096">
          <cell r="A1096" t="str">
            <v>547NPCSSECT</v>
          </cell>
          <cell r="B1096" t="str">
            <v>547NPC</v>
          </cell>
          <cell r="D1096">
            <v>9903584.8699999992</v>
          </cell>
          <cell r="F1096" t="str">
            <v>547NPCSSECT</v>
          </cell>
          <cell r="G1096" t="str">
            <v>547NPC</v>
          </cell>
          <cell r="I1096">
            <v>9903584.8699999992</v>
          </cell>
        </row>
        <row r="1097">
          <cell r="A1097" t="str">
            <v>548SNPPO</v>
          </cell>
          <cell r="B1097" t="str">
            <v>548</v>
          </cell>
          <cell r="D1097">
            <v>13736699.8958971</v>
          </cell>
          <cell r="F1097" t="str">
            <v>548SNPPO</v>
          </cell>
          <cell r="G1097" t="str">
            <v>548</v>
          </cell>
          <cell r="I1097">
            <v>13736699.8958971</v>
          </cell>
        </row>
        <row r="1098">
          <cell r="A1098" t="str">
            <v>548SSGCT</v>
          </cell>
          <cell r="B1098" t="str">
            <v>548</v>
          </cell>
          <cell r="D1098">
            <v>524423.80989273684</v>
          </cell>
          <cell r="F1098" t="str">
            <v>548SSGCT</v>
          </cell>
          <cell r="G1098" t="str">
            <v>548</v>
          </cell>
          <cell r="I1098">
            <v>524423.80989273684</v>
          </cell>
        </row>
        <row r="1099">
          <cell r="A1099" t="str">
            <v>549OR</v>
          </cell>
          <cell r="B1099" t="str">
            <v>549</v>
          </cell>
          <cell r="D1099">
            <v>96418.365184500683</v>
          </cell>
          <cell r="F1099" t="str">
            <v>549OR</v>
          </cell>
          <cell r="G1099" t="str">
            <v>549</v>
          </cell>
          <cell r="I1099">
            <v>96418.365184500683</v>
          </cell>
        </row>
        <row r="1100">
          <cell r="A1100" t="str">
            <v>549SNPPO</v>
          </cell>
          <cell r="B1100" t="str">
            <v>549</v>
          </cell>
          <cell r="D1100">
            <v>4840431.0826765932</v>
          </cell>
          <cell r="F1100" t="str">
            <v>549SNPPO</v>
          </cell>
          <cell r="G1100" t="str">
            <v>549</v>
          </cell>
          <cell r="I1100">
            <v>4840431.0826765932</v>
          </cell>
        </row>
        <row r="1101">
          <cell r="A1101" t="str">
            <v>549SNPPO-W</v>
          </cell>
          <cell r="B1101" t="str">
            <v>549</v>
          </cell>
          <cell r="D1101">
            <v>4092685.1543409848</v>
          </cell>
          <cell r="F1101" t="str">
            <v>549SNPPO-W</v>
          </cell>
          <cell r="G1101" t="str">
            <v>549</v>
          </cell>
          <cell r="I1101">
            <v>4092685.1543409848</v>
          </cell>
        </row>
        <row r="1102">
          <cell r="A1102" t="str">
            <v>550OR</v>
          </cell>
          <cell r="B1102" t="str">
            <v>550</v>
          </cell>
          <cell r="D1102">
            <v>266297.57564204722</v>
          </cell>
          <cell r="F1102" t="str">
            <v>550OR</v>
          </cell>
          <cell r="G1102" t="str">
            <v>550</v>
          </cell>
          <cell r="I1102">
            <v>266297.57564204722</v>
          </cell>
        </row>
        <row r="1103">
          <cell r="A1103" t="str">
            <v>550SNPPO</v>
          </cell>
          <cell r="B1103" t="str">
            <v>550</v>
          </cell>
          <cell r="D1103">
            <v>931019.1235979161</v>
          </cell>
          <cell r="F1103" t="str">
            <v>550SNPPO</v>
          </cell>
          <cell r="G1103" t="str">
            <v>550</v>
          </cell>
          <cell r="I1103">
            <v>931019.1235979161</v>
          </cell>
        </row>
        <row r="1104">
          <cell r="A1104" t="str">
            <v>550SNPPO-W</v>
          </cell>
          <cell r="B1104" t="str">
            <v>550</v>
          </cell>
          <cell r="D1104">
            <v>3352210.4550536317</v>
          </cell>
          <cell r="F1104" t="str">
            <v>550SNPPO-W</v>
          </cell>
          <cell r="G1104" t="str">
            <v>550</v>
          </cell>
          <cell r="I1104">
            <v>3352210.4550536317</v>
          </cell>
        </row>
        <row r="1105">
          <cell r="A1105" t="str">
            <v>552SNPPO</v>
          </cell>
          <cell r="B1105" t="str">
            <v>552</v>
          </cell>
          <cell r="D1105">
            <v>3695120.4623758099</v>
          </cell>
          <cell r="F1105" t="str">
            <v>552SNPPO</v>
          </cell>
          <cell r="G1105" t="str">
            <v>552</v>
          </cell>
          <cell r="I1105">
            <v>3695120.4623758099</v>
          </cell>
        </row>
        <row r="1106">
          <cell r="A1106" t="str">
            <v>552SSGCT</v>
          </cell>
          <cell r="B1106" t="str">
            <v>552</v>
          </cell>
          <cell r="D1106">
            <v>246088.08020446094</v>
          </cell>
          <cell r="F1106" t="str">
            <v>552SSGCT</v>
          </cell>
          <cell r="G1106" t="str">
            <v>552</v>
          </cell>
          <cell r="I1106">
            <v>246088.08020446094</v>
          </cell>
        </row>
        <row r="1107">
          <cell r="A1107" t="str">
            <v>553SNPPO</v>
          </cell>
          <cell r="B1107" t="str">
            <v>553</v>
          </cell>
          <cell r="D1107">
            <v>8682130.1874287631</v>
          </cell>
          <cell r="F1107" t="str">
            <v>553SNPPO</v>
          </cell>
          <cell r="G1107" t="str">
            <v>553</v>
          </cell>
          <cell r="I1107">
            <v>8682130.1874287631</v>
          </cell>
        </row>
        <row r="1108">
          <cell r="A1108" t="str">
            <v>553SNPPO-W</v>
          </cell>
          <cell r="B1108" t="str">
            <v>553</v>
          </cell>
          <cell r="D1108">
            <v>14048971.87932156</v>
          </cell>
          <cell r="F1108" t="str">
            <v>553SNPPO-W</v>
          </cell>
          <cell r="G1108" t="str">
            <v>553</v>
          </cell>
          <cell r="I1108">
            <v>14048971.87932156</v>
          </cell>
        </row>
        <row r="1109">
          <cell r="A1109" t="str">
            <v>553SSGCT</v>
          </cell>
          <cell r="B1109" t="str">
            <v>553</v>
          </cell>
          <cell r="D1109">
            <v>557101.60613382887</v>
          </cell>
          <cell r="F1109" t="str">
            <v>553SSGCT</v>
          </cell>
          <cell r="G1109" t="str">
            <v>553</v>
          </cell>
          <cell r="I1109">
            <v>557101.60613382887</v>
          </cell>
        </row>
        <row r="1110">
          <cell r="A1110" t="str">
            <v>554SNPPO</v>
          </cell>
          <cell r="B1110" t="str">
            <v>554</v>
          </cell>
          <cell r="D1110">
            <v>295149.17624200537</v>
          </cell>
          <cell r="F1110" t="str">
            <v>554SNPPO</v>
          </cell>
          <cell r="G1110" t="str">
            <v>554</v>
          </cell>
          <cell r="I1110">
            <v>295149.17624200537</v>
          </cell>
        </row>
        <row r="1111">
          <cell r="A1111" t="str">
            <v>554SNPPO-W</v>
          </cell>
          <cell r="B1111" t="str">
            <v>554</v>
          </cell>
          <cell r="D1111">
            <v>1987692.2797397769</v>
          </cell>
          <cell r="F1111" t="str">
            <v>554SNPPO-W</v>
          </cell>
          <cell r="G1111" t="str">
            <v>554</v>
          </cell>
          <cell r="I1111">
            <v>1987692.2797397769</v>
          </cell>
        </row>
        <row r="1112">
          <cell r="A1112" t="str">
            <v>554SSGCT</v>
          </cell>
          <cell r="B1112" t="str">
            <v>554</v>
          </cell>
          <cell r="D1112">
            <v>146478.34814126394</v>
          </cell>
          <cell r="F1112" t="str">
            <v>554SSGCT</v>
          </cell>
          <cell r="G1112" t="str">
            <v>554</v>
          </cell>
          <cell r="I1112">
            <v>146478.34814126394</v>
          </cell>
        </row>
        <row r="1113">
          <cell r="A1113" t="str">
            <v>555ID</v>
          </cell>
          <cell r="B1113" t="str">
            <v>555</v>
          </cell>
          <cell r="D1113">
            <v>-1945909.25</v>
          </cell>
          <cell r="F1113" t="str">
            <v>555ID</v>
          </cell>
          <cell r="G1113" t="str">
            <v>555</v>
          </cell>
          <cell r="I1113">
            <v>-1945909.25</v>
          </cell>
        </row>
        <row r="1114">
          <cell r="A1114" t="str">
            <v>555NPCSE</v>
          </cell>
          <cell r="B1114" t="str">
            <v>555NPC</v>
          </cell>
          <cell r="D1114">
            <v>27590654.331647612</v>
          </cell>
          <cell r="F1114" t="str">
            <v>555NPCSE</v>
          </cell>
          <cell r="G1114" t="str">
            <v>555NPC</v>
          </cell>
          <cell r="I1114">
            <v>27590654.331647612</v>
          </cell>
        </row>
        <row r="1115">
          <cell r="A1115" t="str">
            <v>555NPCSG</v>
          </cell>
          <cell r="B1115" t="str">
            <v>555NPC</v>
          </cell>
          <cell r="D1115">
            <v>563489838.89835215</v>
          </cell>
          <cell r="F1115" t="str">
            <v>555NPCSG</v>
          </cell>
          <cell r="G1115" t="str">
            <v>555NPC</v>
          </cell>
          <cell r="I1115">
            <v>563489838.89835215</v>
          </cell>
        </row>
        <row r="1116">
          <cell r="A1116" t="str">
            <v>555OR</v>
          </cell>
          <cell r="B1116" t="str">
            <v>555</v>
          </cell>
          <cell r="D1116">
            <v>-10491417.869999999</v>
          </cell>
          <cell r="F1116" t="str">
            <v>555OR</v>
          </cell>
          <cell r="G1116" t="str">
            <v>555</v>
          </cell>
          <cell r="I1116">
            <v>-10491417.869999999</v>
          </cell>
        </row>
        <row r="1117">
          <cell r="A1117" t="str">
            <v>555WA</v>
          </cell>
          <cell r="B1117" t="str">
            <v>555</v>
          </cell>
          <cell r="D1117">
            <v>-3397909.99</v>
          </cell>
          <cell r="F1117" t="str">
            <v>555WA</v>
          </cell>
          <cell r="G1117" t="str">
            <v>555</v>
          </cell>
          <cell r="I1117">
            <v>-3397909.99</v>
          </cell>
        </row>
        <row r="1118">
          <cell r="A1118" t="str">
            <v>556SG</v>
          </cell>
          <cell r="B1118" t="str">
            <v>556</v>
          </cell>
          <cell r="D1118">
            <v>1521468.4729485565</v>
          </cell>
          <cell r="F1118" t="str">
            <v>556SG</v>
          </cell>
          <cell r="G1118" t="str">
            <v>556</v>
          </cell>
          <cell r="I1118">
            <v>1521468.4729485565</v>
          </cell>
        </row>
        <row r="1119">
          <cell r="A1119" t="str">
            <v>557ID</v>
          </cell>
          <cell r="B1119" t="str">
            <v>557</v>
          </cell>
          <cell r="D1119">
            <v>7394855.5407416495</v>
          </cell>
          <cell r="F1119" t="str">
            <v>557ID</v>
          </cell>
          <cell r="G1119" t="str">
            <v>557</v>
          </cell>
          <cell r="I1119">
            <v>7394855.5407416495</v>
          </cell>
        </row>
        <row r="1120">
          <cell r="A1120" t="str">
            <v>557OR</v>
          </cell>
          <cell r="B1120" t="str">
            <v>557</v>
          </cell>
          <cell r="D1120">
            <v>-56633.153343548889</v>
          </cell>
          <cell r="F1120" t="str">
            <v>557OR</v>
          </cell>
          <cell r="G1120" t="str">
            <v>557</v>
          </cell>
          <cell r="I1120">
            <v>-56633.153343548889</v>
          </cell>
        </row>
        <row r="1121">
          <cell r="A1121" t="str">
            <v>557SE</v>
          </cell>
          <cell r="B1121" t="str">
            <v>557</v>
          </cell>
          <cell r="D1121">
            <v>9251.572761262767</v>
          </cell>
          <cell r="F1121" t="str">
            <v>557SE</v>
          </cell>
          <cell r="G1121" t="str">
            <v>557</v>
          </cell>
          <cell r="I1121">
            <v>9251.572761262767</v>
          </cell>
        </row>
        <row r="1122">
          <cell r="A1122" t="str">
            <v>557SG</v>
          </cell>
          <cell r="B1122" t="str">
            <v>557</v>
          </cell>
          <cell r="D1122">
            <v>56060475.359146982</v>
          </cell>
          <cell r="F1122" t="str">
            <v>557SG</v>
          </cell>
          <cell r="G1122" t="str">
            <v>557</v>
          </cell>
          <cell r="I1122">
            <v>56060475.359146982</v>
          </cell>
        </row>
        <row r="1123">
          <cell r="A1123" t="str">
            <v>557SGCT</v>
          </cell>
          <cell r="B1123" t="str">
            <v>557</v>
          </cell>
          <cell r="D1123">
            <v>1122425.04</v>
          </cell>
          <cell r="F1123" t="str">
            <v>557SGCT</v>
          </cell>
          <cell r="G1123" t="str">
            <v>557</v>
          </cell>
          <cell r="I1123">
            <v>1122425.04</v>
          </cell>
        </row>
        <row r="1124">
          <cell r="A1124" t="str">
            <v>557UT</v>
          </cell>
          <cell r="B1124" t="str">
            <v>557</v>
          </cell>
          <cell r="D1124">
            <v>-188141.91426371437</v>
          </cell>
          <cell r="F1124" t="str">
            <v>557UT</v>
          </cell>
          <cell r="G1124" t="str">
            <v>557</v>
          </cell>
          <cell r="I1124">
            <v>-188141.91426371437</v>
          </cell>
        </row>
        <row r="1125">
          <cell r="A1125" t="str">
            <v>557WA</v>
          </cell>
          <cell r="B1125" t="str">
            <v>557</v>
          </cell>
          <cell r="D1125">
            <v>-102089.88378792522</v>
          </cell>
          <cell r="F1125" t="str">
            <v>557WA</v>
          </cell>
          <cell r="G1125" t="str">
            <v>557</v>
          </cell>
          <cell r="I1125">
            <v>-102089.88378792522</v>
          </cell>
        </row>
        <row r="1126">
          <cell r="A1126" t="str">
            <v>560SNPT</v>
          </cell>
          <cell r="B1126" t="str">
            <v>560</v>
          </cell>
          <cell r="D1126">
            <v>6158588.8698111083</v>
          </cell>
          <cell r="F1126" t="str">
            <v>560SNPT</v>
          </cell>
          <cell r="G1126" t="str">
            <v>560</v>
          </cell>
          <cell r="I1126">
            <v>6158588.8698111083</v>
          </cell>
        </row>
        <row r="1127">
          <cell r="A1127" t="str">
            <v>561SNPT</v>
          </cell>
          <cell r="B1127" t="str">
            <v>561</v>
          </cell>
          <cell r="D1127">
            <v>8991665.2040132154</v>
          </cell>
          <cell r="F1127" t="str">
            <v>561SNPT</v>
          </cell>
          <cell r="G1127" t="str">
            <v>561</v>
          </cell>
          <cell r="I1127">
            <v>8991665.2040132154</v>
          </cell>
        </row>
        <row r="1128">
          <cell r="A1128" t="str">
            <v>562SNPT</v>
          </cell>
          <cell r="B1128" t="str">
            <v>562</v>
          </cell>
          <cell r="D1128">
            <v>3192629.4337747106</v>
          </cell>
          <cell r="F1128" t="str">
            <v>562SNPT</v>
          </cell>
          <cell r="G1128" t="str">
            <v>562</v>
          </cell>
          <cell r="I1128">
            <v>3192629.4337747106</v>
          </cell>
        </row>
        <row r="1129">
          <cell r="A1129" t="str">
            <v>563SNPT</v>
          </cell>
          <cell r="B1129" t="str">
            <v>563</v>
          </cell>
          <cell r="D1129">
            <v>274059.47003141418</v>
          </cell>
          <cell r="F1129" t="str">
            <v>563SNPT</v>
          </cell>
          <cell r="G1129" t="str">
            <v>563</v>
          </cell>
          <cell r="I1129">
            <v>274059.47003141418</v>
          </cell>
        </row>
        <row r="1130">
          <cell r="A1130" t="str">
            <v>564SNPT</v>
          </cell>
          <cell r="B1130" t="str">
            <v>564</v>
          </cell>
          <cell r="D1130">
            <v>0</v>
          </cell>
          <cell r="F1130" t="str">
            <v>564SNPT</v>
          </cell>
          <cell r="G1130" t="str">
            <v>564</v>
          </cell>
          <cell r="I1130">
            <v>0</v>
          </cell>
        </row>
        <row r="1131">
          <cell r="A1131" t="str">
            <v>565NPCSE</v>
          </cell>
          <cell r="B1131" t="str">
            <v>565NPC</v>
          </cell>
          <cell r="D1131">
            <v>8157371.7525110692</v>
          </cell>
          <cell r="F1131" t="str">
            <v>565NPCSE</v>
          </cell>
          <cell r="G1131" t="str">
            <v>565NPC</v>
          </cell>
          <cell r="I1131">
            <v>8157371.7525110692</v>
          </cell>
        </row>
        <row r="1132">
          <cell r="A1132" t="str">
            <v>565NPCSG</v>
          </cell>
          <cell r="B1132" t="str">
            <v>565NPC</v>
          </cell>
          <cell r="D1132">
            <v>139254557.91748896</v>
          </cell>
          <cell r="F1132" t="str">
            <v>565NPCSG</v>
          </cell>
          <cell r="G1132" t="str">
            <v>565NPC</v>
          </cell>
          <cell r="I1132">
            <v>139254557.91748896</v>
          </cell>
        </row>
        <row r="1133">
          <cell r="A1133" t="str">
            <v>566SNPT</v>
          </cell>
          <cell r="B1133" t="str">
            <v>566</v>
          </cell>
          <cell r="D1133">
            <v>2657667.6824242864</v>
          </cell>
          <cell r="F1133" t="str">
            <v>566SNPT</v>
          </cell>
          <cell r="G1133" t="str">
            <v>566</v>
          </cell>
          <cell r="I1133">
            <v>2657667.6824242864</v>
          </cell>
        </row>
        <row r="1134">
          <cell r="A1134" t="str">
            <v>567SNPT</v>
          </cell>
          <cell r="B1134" t="str">
            <v>567</v>
          </cell>
          <cell r="D1134">
            <v>2133371.0215985253</v>
          </cell>
          <cell r="F1134" t="str">
            <v>567SNPT</v>
          </cell>
          <cell r="G1134" t="str">
            <v>567</v>
          </cell>
          <cell r="I1134">
            <v>2133371.0215985253</v>
          </cell>
        </row>
        <row r="1135">
          <cell r="A1135" t="str">
            <v>568SNPT</v>
          </cell>
          <cell r="B1135" t="str">
            <v>568</v>
          </cell>
          <cell r="D1135">
            <v>2265580.9680138254</v>
          </cell>
          <cell r="F1135" t="str">
            <v>568SNPT</v>
          </cell>
          <cell r="G1135" t="str">
            <v>568</v>
          </cell>
          <cell r="I1135">
            <v>2265580.9680138254</v>
          </cell>
        </row>
        <row r="1136">
          <cell r="A1136" t="str">
            <v>569SNPT</v>
          </cell>
          <cell r="B1136" t="str">
            <v>569</v>
          </cell>
          <cell r="D1136">
            <v>4418762.7615725277</v>
          </cell>
          <cell r="F1136" t="str">
            <v>569SNPT</v>
          </cell>
          <cell r="G1136" t="str">
            <v>569</v>
          </cell>
          <cell r="I1136">
            <v>4418762.7615725277</v>
          </cell>
        </row>
        <row r="1137">
          <cell r="A1137" t="str">
            <v>570SNPT</v>
          </cell>
          <cell r="B1137" t="str">
            <v>570</v>
          </cell>
          <cell r="D1137">
            <v>11930155.860832771</v>
          </cell>
          <cell r="F1137" t="str">
            <v>570SNPT</v>
          </cell>
          <cell r="G1137" t="str">
            <v>570</v>
          </cell>
          <cell r="I1137">
            <v>11930155.860832771</v>
          </cell>
        </row>
        <row r="1138">
          <cell r="A1138" t="str">
            <v>571SNPT</v>
          </cell>
          <cell r="B1138" t="str">
            <v>571</v>
          </cell>
          <cell r="D1138">
            <v>19715661.848821733</v>
          </cell>
          <cell r="F1138" t="str">
            <v>571SNPT</v>
          </cell>
          <cell r="G1138" t="str">
            <v>571</v>
          </cell>
          <cell r="I1138">
            <v>19715661.848821733</v>
          </cell>
        </row>
        <row r="1139">
          <cell r="A1139" t="str">
            <v>572SNPT</v>
          </cell>
          <cell r="B1139" t="str">
            <v>572</v>
          </cell>
          <cell r="D1139">
            <v>95854.641497422606</v>
          </cell>
          <cell r="F1139" t="str">
            <v>572SNPT</v>
          </cell>
          <cell r="G1139" t="str">
            <v>572</v>
          </cell>
          <cell r="I1139">
            <v>95854.641497422606</v>
          </cell>
        </row>
        <row r="1140">
          <cell r="A1140" t="str">
            <v>573SNPT</v>
          </cell>
          <cell r="B1140" t="str">
            <v>573</v>
          </cell>
          <cell r="D1140">
            <v>2940290.4674739791</v>
          </cell>
          <cell r="F1140" t="str">
            <v>573SNPT</v>
          </cell>
          <cell r="G1140" t="str">
            <v>573</v>
          </cell>
          <cell r="I1140">
            <v>2940290.4674739791</v>
          </cell>
        </row>
        <row r="1141">
          <cell r="A1141" t="str">
            <v>580CA</v>
          </cell>
          <cell r="B1141" t="str">
            <v>580</v>
          </cell>
          <cell r="D1141">
            <v>28125.52882353112</v>
          </cell>
          <cell r="F1141" t="str">
            <v>580CA</v>
          </cell>
          <cell r="G1141" t="str">
            <v>580</v>
          </cell>
          <cell r="I1141">
            <v>28125.52882353112</v>
          </cell>
        </row>
        <row r="1142">
          <cell r="A1142" t="str">
            <v>580ID</v>
          </cell>
          <cell r="B1142" t="str">
            <v>580</v>
          </cell>
          <cell r="D1142">
            <v>63520.086208462919</v>
          </cell>
          <cell r="F1142" t="str">
            <v>580ID</v>
          </cell>
          <cell r="G1142" t="str">
            <v>580</v>
          </cell>
          <cell r="I1142">
            <v>63520.086208462919</v>
          </cell>
        </row>
        <row r="1143">
          <cell r="A1143" t="str">
            <v>580OR</v>
          </cell>
          <cell r="B1143" t="str">
            <v>580</v>
          </cell>
          <cell r="D1143">
            <v>347076.20805888838</v>
          </cell>
          <cell r="F1143" t="str">
            <v>580OR</v>
          </cell>
          <cell r="G1143" t="str">
            <v>580</v>
          </cell>
          <cell r="I1143">
            <v>347076.20805888838</v>
          </cell>
        </row>
        <row r="1144">
          <cell r="A1144" t="str">
            <v>580SNPD</v>
          </cell>
          <cell r="B1144" t="str">
            <v>580</v>
          </cell>
          <cell r="D1144">
            <v>11886624.871320065</v>
          </cell>
          <cell r="F1144" t="str">
            <v>580SNPD</v>
          </cell>
          <cell r="G1144" t="str">
            <v>580</v>
          </cell>
          <cell r="I1144">
            <v>11886624.871320065</v>
          </cell>
        </row>
        <row r="1145">
          <cell r="A1145" t="str">
            <v>580UT</v>
          </cell>
          <cell r="B1145" t="str">
            <v>580</v>
          </cell>
          <cell r="D1145">
            <v>512795.9085470087</v>
          </cell>
          <cell r="F1145" t="str">
            <v>580UT</v>
          </cell>
          <cell r="G1145" t="str">
            <v>580</v>
          </cell>
          <cell r="I1145">
            <v>512795.9085470087</v>
          </cell>
        </row>
        <row r="1146">
          <cell r="A1146" t="str">
            <v>580WA</v>
          </cell>
          <cell r="B1146" t="str">
            <v>580</v>
          </cell>
          <cell r="D1146">
            <v>129240.02285908071</v>
          </cell>
          <cell r="F1146" t="str">
            <v>580WA</v>
          </cell>
          <cell r="G1146" t="str">
            <v>580</v>
          </cell>
          <cell r="I1146">
            <v>129240.02285908071</v>
          </cell>
        </row>
        <row r="1147">
          <cell r="A1147" t="str">
            <v>580WYP</v>
          </cell>
          <cell r="B1147" t="str">
            <v>580</v>
          </cell>
          <cell r="D1147">
            <v>159706.41358637941</v>
          </cell>
          <cell r="F1147" t="str">
            <v>580WYP</v>
          </cell>
          <cell r="G1147" t="str">
            <v>580</v>
          </cell>
          <cell r="I1147">
            <v>159706.41358637941</v>
          </cell>
        </row>
        <row r="1148">
          <cell r="A1148" t="str">
            <v>580WYU</v>
          </cell>
          <cell r="B1148" t="str">
            <v>580</v>
          </cell>
          <cell r="D1148">
            <v>-351.82729100186964</v>
          </cell>
          <cell r="F1148" t="str">
            <v>580WYU</v>
          </cell>
          <cell r="G1148" t="str">
            <v>580</v>
          </cell>
          <cell r="I1148">
            <v>-351.82729100186964</v>
          </cell>
        </row>
        <row r="1149">
          <cell r="A1149" t="str">
            <v>581OR</v>
          </cell>
          <cell r="B1149" t="str">
            <v>581</v>
          </cell>
          <cell r="D1149">
            <v>0</v>
          </cell>
          <cell r="F1149" t="str">
            <v>581OR</v>
          </cell>
          <cell r="G1149" t="str">
            <v>581</v>
          </cell>
          <cell r="I1149">
            <v>0</v>
          </cell>
        </row>
        <row r="1150">
          <cell r="A1150" t="str">
            <v>581SNPD</v>
          </cell>
          <cell r="B1150" t="str">
            <v>581</v>
          </cell>
          <cell r="D1150">
            <v>12648043.188463135</v>
          </cell>
          <cell r="F1150" t="str">
            <v>581SNPD</v>
          </cell>
          <cell r="G1150" t="str">
            <v>581</v>
          </cell>
          <cell r="I1150">
            <v>12648043.188463135</v>
          </cell>
        </row>
        <row r="1151">
          <cell r="A1151" t="str">
            <v>582CA</v>
          </cell>
          <cell r="B1151" t="str">
            <v>582</v>
          </cell>
          <cell r="D1151">
            <v>85144.556015380818</v>
          </cell>
          <cell r="F1151" t="str">
            <v>582CA</v>
          </cell>
          <cell r="G1151" t="str">
            <v>582</v>
          </cell>
          <cell r="I1151">
            <v>85144.556015380818</v>
          </cell>
        </row>
        <row r="1152">
          <cell r="A1152" t="str">
            <v>582ID</v>
          </cell>
          <cell r="B1152" t="str">
            <v>582</v>
          </cell>
          <cell r="D1152">
            <v>407087.09907484258</v>
          </cell>
          <cell r="F1152" t="str">
            <v>582ID</v>
          </cell>
          <cell r="G1152" t="str">
            <v>582</v>
          </cell>
          <cell r="I1152">
            <v>407087.09907484258</v>
          </cell>
        </row>
        <row r="1153">
          <cell r="A1153" t="str">
            <v>582OR</v>
          </cell>
          <cell r="B1153" t="str">
            <v>582</v>
          </cell>
          <cell r="D1153">
            <v>1067162.9750467031</v>
          </cell>
          <cell r="F1153" t="str">
            <v>582OR</v>
          </cell>
          <cell r="G1153" t="str">
            <v>582</v>
          </cell>
          <cell r="I1153">
            <v>1067162.9750467031</v>
          </cell>
        </row>
        <row r="1154">
          <cell r="A1154" t="str">
            <v>582SNPD</v>
          </cell>
          <cell r="B1154" t="str">
            <v>582</v>
          </cell>
          <cell r="D1154">
            <v>38565.741508116655</v>
          </cell>
          <cell r="F1154" t="str">
            <v>582SNPD</v>
          </cell>
          <cell r="G1154" t="str">
            <v>582</v>
          </cell>
          <cell r="I1154">
            <v>38565.741508116655</v>
          </cell>
        </row>
        <row r="1155">
          <cell r="A1155" t="str">
            <v>582UT</v>
          </cell>
          <cell r="B1155" t="str">
            <v>582</v>
          </cell>
          <cell r="D1155">
            <v>1984499.5574818086</v>
          </cell>
          <cell r="F1155" t="str">
            <v>582UT</v>
          </cell>
          <cell r="G1155" t="str">
            <v>582</v>
          </cell>
          <cell r="I1155">
            <v>1984499.5574818086</v>
          </cell>
        </row>
        <row r="1156">
          <cell r="A1156" t="str">
            <v>582WA</v>
          </cell>
          <cell r="B1156" t="str">
            <v>582</v>
          </cell>
          <cell r="D1156">
            <v>289651.85782023403</v>
          </cell>
          <cell r="F1156" t="str">
            <v>582WA</v>
          </cell>
          <cell r="G1156" t="str">
            <v>582</v>
          </cell>
          <cell r="I1156">
            <v>289651.85782023403</v>
          </cell>
        </row>
        <row r="1157">
          <cell r="A1157" t="str">
            <v>582WYP</v>
          </cell>
          <cell r="B1157" t="str">
            <v>582</v>
          </cell>
          <cell r="D1157">
            <v>599403.86645849398</v>
          </cell>
          <cell r="F1157" t="str">
            <v>582WYP</v>
          </cell>
          <cell r="G1157" t="str">
            <v>582</v>
          </cell>
          <cell r="I1157">
            <v>599403.86645849398</v>
          </cell>
        </row>
        <row r="1158">
          <cell r="A1158" t="str">
            <v>583CA</v>
          </cell>
          <cell r="B1158" t="str">
            <v>583</v>
          </cell>
          <cell r="D1158">
            <v>214142.65101716903</v>
          </cell>
          <cell r="F1158" t="str">
            <v>583CA</v>
          </cell>
          <cell r="G1158" t="str">
            <v>583</v>
          </cell>
          <cell r="I1158">
            <v>214142.65101716903</v>
          </cell>
        </row>
        <row r="1159">
          <cell r="A1159" t="str">
            <v>583ID</v>
          </cell>
          <cell r="B1159" t="str">
            <v>583</v>
          </cell>
          <cell r="D1159">
            <v>210544.55498151929</v>
          </cell>
          <cell r="F1159" t="str">
            <v>583ID</v>
          </cell>
          <cell r="G1159" t="str">
            <v>583</v>
          </cell>
          <cell r="I1159">
            <v>210544.55498151929</v>
          </cell>
        </row>
        <row r="1160">
          <cell r="A1160" t="str">
            <v>583OR</v>
          </cell>
          <cell r="B1160" t="str">
            <v>583</v>
          </cell>
          <cell r="D1160">
            <v>2106124.1668200791</v>
          </cell>
          <cell r="F1160" t="str">
            <v>583OR</v>
          </cell>
          <cell r="G1160" t="str">
            <v>583</v>
          </cell>
          <cell r="I1160">
            <v>2106124.1668200791</v>
          </cell>
        </row>
        <row r="1161">
          <cell r="A1161" t="str">
            <v>583SNPD</v>
          </cell>
          <cell r="B1161" t="str">
            <v>583</v>
          </cell>
          <cell r="D1161">
            <v>19854.809624231493</v>
          </cell>
          <cell r="F1161" t="str">
            <v>583SNPD</v>
          </cell>
          <cell r="G1161" t="str">
            <v>583</v>
          </cell>
          <cell r="I1161">
            <v>19854.809624231493</v>
          </cell>
        </row>
        <row r="1162">
          <cell r="A1162" t="str">
            <v>583UT</v>
          </cell>
          <cell r="B1162" t="str">
            <v>583</v>
          </cell>
          <cell r="D1162">
            <v>2089533.1957068301</v>
          </cell>
          <cell r="F1162" t="str">
            <v>583UT</v>
          </cell>
          <cell r="G1162" t="str">
            <v>583</v>
          </cell>
          <cell r="I1162">
            <v>2089533.1957068301</v>
          </cell>
        </row>
        <row r="1163">
          <cell r="A1163" t="str">
            <v>583WA</v>
          </cell>
          <cell r="B1163" t="str">
            <v>583</v>
          </cell>
          <cell r="D1163">
            <v>323707.55925257487</v>
          </cell>
          <cell r="F1163" t="str">
            <v>583WA</v>
          </cell>
          <cell r="G1163" t="str">
            <v>583</v>
          </cell>
          <cell r="I1163">
            <v>323707.55925257487</v>
          </cell>
        </row>
        <row r="1164">
          <cell r="A1164" t="str">
            <v>583WYP</v>
          </cell>
          <cell r="B1164" t="str">
            <v>583</v>
          </cell>
          <cell r="D1164">
            <v>436593.29024086258</v>
          </cell>
          <cell r="F1164" t="str">
            <v>583WYP</v>
          </cell>
          <cell r="G1164" t="str">
            <v>583</v>
          </cell>
          <cell r="I1164">
            <v>436593.29024086258</v>
          </cell>
        </row>
        <row r="1165">
          <cell r="A1165" t="str">
            <v>583WYU</v>
          </cell>
          <cell r="B1165" t="str">
            <v>583</v>
          </cell>
          <cell r="D1165">
            <v>70870.571695923922</v>
          </cell>
          <cell r="F1165" t="str">
            <v>583WYU</v>
          </cell>
          <cell r="G1165" t="str">
            <v>583</v>
          </cell>
          <cell r="I1165">
            <v>70870.571695923922</v>
          </cell>
        </row>
        <row r="1166">
          <cell r="A1166" t="str">
            <v>584ID</v>
          </cell>
          <cell r="B1166" t="str">
            <v>584</v>
          </cell>
          <cell r="D1166">
            <v>13.939990808823527</v>
          </cell>
          <cell r="F1166" t="str">
            <v>584ID</v>
          </cell>
          <cell r="G1166" t="str">
            <v>584</v>
          </cell>
          <cell r="I1166">
            <v>13.939990808823527</v>
          </cell>
        </row>
        <row r="1167">
          <cell r="A1167" t="str">
            <v>584SNPD</v>
          </cell>
          <cell r="B1167" t="str">
            <v>584</v>
          </cell>
          <cell r="D1167">
            <v>0</v>
          </cell>
          <cell r="F1167" t="str">
            <v>584SNPD</v>
          </cell>
          <cell r="G1167" t="str">
            <v>584</v>
          </cell>
          <cell r="I1167">
            <v>0</v>
          </cell>
        </row>
        <row r="1168">
          <cell r="A1168" t="str">
            <v>584UT</v>
          </cell>
          <cell r="B1168" t="str">
            <v>584</v>
          </cell>
          <cell r="D1168">
            <v>204.49477941176468</v>
          </cell>
          <cell r="F1168" t="str">
            <v>584UT</v>
          </cell>
          <cell r="G1168" t="str">
            <v>584</v>
          </cell>
          <cell r="I1168">
            <v>204.49477941176468</v>
          </cell>
        </row>
        <row r="1169">
          <cell r="A1169" t="str">
            <v>585SNPD</v>
          </cell>
          <cell r="B1169" t="str">
            <v>585</v>
          </cell>
          <cell r="D1169">
            <v>218883.15142599924</v>
          </cell>
          <cell r="F1169" t="str">
            <v>585SNPD</v>
          </cell>
          <cell r="G1169" t="str">
            <v>585</v>
          </cell>
          <cell r="I1169">
            <v>218883.15142599924</v>
          </cell>
        </row>
        <row r="1170">
          <cell r="A1170" t="str">
            <v>585WYP</v>
          </cell>
          <cell r="B1170" t="str">
            <v>585</v>
          </cell>
          <cell r="D1170">
            <v>0</v>
          </cell>
          <cell r="F1170" t="str">
            <v>585WYP</v>
          </cell>
          <cell r="G1170" t="str">
            <v>585</v>
          </cell>
          <cell r="I1170">
            <v>0</v>
          </cell>
        </row>
        <row r="1171">
          <cell r="A1171" t="str">
            <v>586CA</v>
          </cell>
          <cell r="B1171" t="str">
            <v>586</v>
          </cell>
          <cell r="D1171">
            <v>253749.42764192788</v>
          </cell>
          <cell r="F1171" t="str">
            <v>586CA</v>
          </cell>
          <cell r="G1171" t="str">
            <v>586</v>
          </cell>
          <cell r="I1171">
            <v>253749.42764192788</v>
          </cell>
        </row>
        <row r="1172">
          <cell r="A1172" t="str">
            <v>586ID</v>
          </cell>
          <cell r="B1172" t="str">
            <v>586</v>
          </cell>
          <cell r="D1172">
            <v>335006.98058125732</v>
          </cell>
          <cell r="F1172" t="str">
            <v>586ID</v>
          </cell>
          <cell r="G1172" t="str">
            <v>586</v>
          </cell>
          <cell r="I1172">
            <v>335006.98058125732</v>
          </cell>
        </row>
        <row r="1173">
          <cell r="A1173" t="str">
            <v>586OR</v>
          </cell>
          <cell r="B1173" t="str">
            <v>586</v>
          </cell>
          <cell r="D1173">
            <v>2980735.9486681414</v>
          </cell>
          <cell r="F1173" t="str">
            <v>586OR</v>
          </cell>
          <cell r="G1173" t="str">
            <v>586</v>
          </cell>
          <cell r="I1173">
            <v>2980735.9486681414</v>
          </cell>
        </row>
        <row r="1174">
          <cell r="A1174" t="str">
            <v>586SNPD</v>
          </cell>
          <cell r="B1174" t="str">
            <v>586</v>
          </cell>
          <cell r="D1174">
            <v>501026.61764182168</v>
          </cell>
          <cell r="F1174" t="str">
            <v>586SNPD</v>
          </cell>
          <cell r="G1174" t="str">
            <v>586</v>
          </cell>
          <cell r="I1174">
            <v>501026.61764182168</v>
          </cell>
        </row>
        <row r="1175">
          <cell r="A1175" t="str">
            <v>586UT</v>
          </cell>
          <cell r="B1175" t="str">
            <v>586</v>
          </cell>
          <cell r="D1175">
            <v>1800917.3996638167</v>
          </cell>
          <cell r="F1175" t="str">
            <v>586UT</v>
          </cell>
          <cell r="G1175" t="str">
            <v>586</v>
          </cell>
          <cell r="I1175">
            <v>1800917.3996638167</v>
          </cell>
        </row>
        <row r="1176">
          <cell r="A1176" t="str">
            <v>586WA</v>
          </cell>
          <cell r="B1176" t="str">
            <v>586</v>
          </cell>
          <cell r="D1176">
            <v>644588.00932250323</v>
          </cell>
          <cell r="F1176" t="str">
            <v>586WA</v>
          </cell>
          <cell r="G1176" t="str">
            <v>586</v>
          </cell>
          <cell r="I1176">
            <v>644588.00932250323</v>
          </cell>
        </row>
        <row r="1177">
          <cell r="A1177" t="str">
            <v>586WYP</v>
          </cell>
          <cell r="B1177" t="str">
            <v>586</v>
          </cell>
          <cell r="D1177">
            <v>588751.43801864993</v>
          </cell>
          <cell r="F1177" t="str">
            <v>586WYP</v>
          </cell>
          <cell r="G1177" t="str">
            <v>586</v>
          </cell>
          <cell r="I1177">
            <v>588751.43801864993</v>
          </cell>
        </row>
        <row r="1178">
          <cell r="A1178" t="str">
            <v>586WYU</v>
          </cell>
          <cell r="B1178" t="str">
            <v>586</v>
          </cell>
          <cell r="D1178">
            <v>90690.118228714317</v>
          </cell>
          <cell r="F1178" t="str">
            <v>586WYU</v>
          </cell>
          <cell r="G1178" t="str">
            <v>586</v>
          </cell>
          <cell r="I1178">
            <v>90690.118228714317</v>
          </cell>
        </row>
        <row r="1179">
          <cell r="A1179" t="str">
            <v>587CA</v>
          </cell>
          <cell r="B1179" t="str">
            <v>587</v>
          </cell>
          <cell r="D1179">
            <v>509966.12263778411</v>
          </cell>
          <cell r="F1179" t="str">
            <v>587CA</v>
          </cell>
          <cell r="G1179" t="str">
            <v>587</v>
          </cell>
          <cell r="I1179">
            <v>509966.12263778411</v>
          </cell>
        </row>
        <row r="1180">
          <cell r="A1180" t="str">
            <v>587ID</v>
          </cell>
          <cell r="B1180" t="str">
            <v>587</v>
          </cell>
          <cell r="D1180">
            <v>748719.80270292412</v>
          </cell>
          <cell r="F1180" t="str">
            <v>587ID</v>
          </cell>
          <cell r="G1180" t="str">
            <v>587</v>
          </cell>
          <cell r="I1180">
            <v>748719.80270292412</v>
          </cell>
        </row>
        <row r="1181">
          <cell r="A1181" t="str">
            <v>587OR</v>
          </cell>
          <cell r="B1181" t="str">
            <v>587</v>
          </cell>
          <cell r="D1181">
            <v>4359270.9247644553</v>
          </cell>
          <cell r="F1181" t="str">
            <v>587OR</v>
          </cell>
          <cell r="G1181" t="str">
            <v>587</v>
          </cell>
          <cell r="I1181">
            <v>4359270.9247644553</v>
          </cell>
        </row>
        <row r="1182">
          <cell r="A1182" t="str">
            <v>587UT</v>
          </cell>
          <cell r="B1182" t="str">
            <v>587</v>
          </cell>
          <cell r="D1182">
            <v>4590622.9736733176</v>
          </cell>
          <cell r="F1182" t="str">
            <v>587UT</v>
          </cell>
          <cell r="G1182" t="str">
            <v>587</v>
          </cell>
          <cell r="I1182">
            <v>4590622.9736733176</v>
          </cell>
        </row>
        <row r="1183">
          <cell r="A1183" t="str">
            <v>587WA</v>
          </cell>
          <cell r="B1183" t="str">
            <v>587</v>
          </cell>
          <cell r="D1183">
            <v>950183.8742922314</v>
          </cell>
          <cell r="F1183" t="str">
            <v>587WA</v>
          </cell>
          <cell r="G1183" t="str">
            <v>587</v>
          </cell>
          <cell r="I1183">
            <v>950183.8742922314</v>
          </cell>
        </row>
        <row r="1184">
          <cell r="A1184" t="str">
            <v>587WYP</v>
          </cell>
          <cell r="B1184" t="str">
            <v>587</v>
          </cell>
          <cell r="D1184">
            <v>805404.87540064112</v>
          </cell>
          <cell r="F1184" t="str">
            <v>587WYP</v>
          </cell>
          <cell r="G1184" t="str">
            <v>587</v>
          </cell>
          <cell r="I1184">
            <v>805404.87540064112</v>
          </cell>
        </row>
        <row r="1185">
          <cell r="A1185" t="str">
            <v>587WYU</v>
          </cell>
          <cell r="B1185" t="str">
            <v>587</v>
          </cell>
          <cell r="D1185">
            <v>87058.503815836491</v>
          </cell>
          <cell r="F1185" t="str">
            <v>587WYU</v>
          </cell>
          <cell r="G1185" t="str">
            <v>587</v>
          </cell>
          <cell r="I1185">
            <v>87058.503815836491</v>
          </cell>
        </row>
        <row r="1186">
          <cell r="A1186" t="str">
            <v>588CA</v>
          </cell>
          <cell r="B1186" t="str">
            <v>588</v>
          </cell>
          <cell r="D1186">
            <v>45003.313886550939</v>
          </cell>
          <cell r="F1186" t="str">
            <v>588CA</v>
          </cell>
          <cell r="G1186" t="str">
            <v>588</v>
          </cell>
          <cell r="I1186">
            <v>45003.313886550939</v>
          </cell>
        </row>
        <row r="1187">
          <cell r="A1187" t="str">
            <v>588ID</v>
          </cell>
          <cell r="B1187" t="str">
            <v>588</v>
          </cell>
          <cell r="D1187">
            <v>65923.777357545827</v>
          </cell>
          <cell r="F1187" t="str">
            <v>588ID</v>
          </cell>
          <cell r="G1187" t="str">
            <v>588</v>
          </cell>
          <cell r="I1187">
            <v>65923.777357545827</v>
          </cell>
        </row>
        <row r="1188">
          <cell r="A1188" t="str">
            <v>588OR</v>
          </cell>
          <cell r="B1188" t="str">
            <v>588</v>
          </cell>
          <cell r="D1188">
            <v>236136.60031752088</v>
          </cell>
          <cell r="F1188" t="str">
            <v>588OR</v>
          </cell>
          <cell r="G1188" t="str">
            <v>588</v>
          </cell>
          <cell r="I1188">
            <v>236136.60031752088</v>
          </cell>
        </row>
        <row r="1189">
          <cell r="A1189" t="str">
            <v>588SNPD</v>
          </cell>
          <cell r="B1189" t="str">
            <v>588</v>
          </cell>
          <cell r="D1189">
            <v>3583324.5467175273</v>
          </cell>
          <cell r="F1189" t="str">
            <v>588SNPD</v>
          </cell>
          <cell r="G1189" t="str">
            <v>588</v>
          </cell>
          <cell r="I1189">
            <v>3583324.5467175273</v>
          </cell>
        </row>
        <row r="1190">
          <cell r="A1190" t="str">
            <v>588UT</v>
          </cell>
          <cell r="B1190" t="str">
            <v>588</v>
          </cell>
          <cell r="D1190">
            <v>405440.00920442265</v>
          </cell>
          <cell r="F1190" t="str">
            <v>588UT</v>
          </cell>
          <cell r="G1190" t="str">
            <v>588</v>
          </cell>
          <cell r="I1190">
            <v>405440.00920442265</v>
          </cell>
        </row>
        <row r="1191">
          <cell r="A1191" t="str">
            <v>588WA</v>
          </cell>
          <cell r="B1191" t="str">
            <v>588</v>
          </cell>
          <cell r="D1191">
            <v>35811.487654274199</v>
          </cell>
          <cell r="F1191" t="str">
            <v>588WA</v>
          </cell>
          <cell r="G1191" t="str">
            <v>588</v>
          </cell>
          <cell r="I1191">
            <v>35811.487654274199</v>
          </cell>
        </row>
        <row r="1192">
          <cell r="A1192" t="str">
            <v>588WYP</v>
          </cell>
          <cell r="B1192" t="str">
            <v>588</v>
          </cell>
          <cell r="D1192">
            <v>181263.19275024399</v>
          </cell>
          <cell r="F1192" t="str">
            <v>588WYP</v>
          </cell>
          <cell r="G1192" t="str">
            <v>588</v>
          </cell>
          <cell r="I1192">
            <v>181263.19275024399</v>
          </cell>
        </row>
        <row r="1193">
          <cell r="A1193" t="str">
            <v>588WYU</v>
          </cell>
          <cell r="B1193" t="str">
            <v>588</v>
          </cell>
          <cell r="D1193">
            <v>-55484.222465833234</v>
          </cell>
          <cell r="F1193" t="str">
            <v>588WYU</v>
          </cell>
          <cell r="G1193" t="str">
            <v>588</v>
          </cell>
          <cell r="I1193">
            <v>-55484.222465833234</v>
          </cell>
        </row>
        <row r="1194">
          <cell r="A1194" t="str">
            <v>589CA</v>
          </cell>
          <cell r="B1194" t="str">
            <v>589</v>
          </cell>
          <cell r="D1194">
            <v>90319.319965326926</v>
          </cell>
          <cell r="F1194" t="str">
            <v>589CA</v>
          </cell>
          <cell r="G1194" t="str">
            <v>589</v>
          </cell>
          <cell r="I1194">
            <v>90319.319965326926</v>
          </cell>
        </row>
        <row r="1195">
          <cell r="A1195" t="str">
            <v>589ID</v>
          </cell>
          <cell r="B1195" t="str">
            <v>589</v>
          </cell>
          <cell r="D1195">
            <v>22467.725516963426</v>
          </cell>
          <cell r="F1195" t="str">
            <v>589ID</v>
          </cell>
          <cell r="G1195" t="str">
            <v>589</v>
          </cell>
          <cell r="I1195">
            <v>22467.725516963426</v>
          </cell>
        </row>
        <row r="1196">
          <cell r="A1196" t="str">
            <v>589OR</v>
          </cell>
          <cell r="B1196" t="str">
            <v>589</v>
          </cell>
          <cell r="D1196">
            <v>1780534.112028009</v>
          </cell>
          <cell r="F1196" t="str">
            <v>589OR</v>
          </cell>
          <cell r="G1196" t="str">
            <v>589</v>
          </cell>
          <cell r="I1196">
            <v>1780534.112028009</v>
          </cell>
        </row>
        <row r="1197">
          <cell r="A1197" t="str">
            <v>589SNPD</v>
          </cell>
          <cell r="B1197" t="str">
            <v>589</v>
          </cell>
          <cell r="D1197">
            <v>30579.152619485289</v>
          </cell>
          <cell r="F1197" t="str">
            <v>589SNPD</v>
          </cell>
          <cell r="G1197" t="str">
            <v>589</v>
          </cell>
          <cell r="I1197">
            <v>30579.152619485289</v>
          </cell>
        </row>
        <row r="1198">
          <cell r="A1198" t="str">
            <v>589UT</v>
          </cell>
          <cell r="B1198" t="str">
            <v>589</v>
          </cell>
          <cell r="D1198">
            <v>501769.01899782947</v>
          </cell>
          <cell r="F1198" t="str">
            <v>589UT</v>
          </cell>
          <cell r="G1198" t="str">
            <v>589</v>
          </cell>
          <cell r="I1198">
            <v>501769.01899782947</v>
          </cell>
        </row>
        <row r="1199">
          <cell r="A1199" t="str">
            <v>589WA</v>
          </cell>
          <cell r="B1199" t="str">
            <v>589</v>
          </cell>
          <cell r="D1199">
            <v>103782.48632953716</v>
          </cell>
          <cell r="F1199" t="str">
            <v>589WA</v>
          </cell>
          <cell r="G1199" t="str">
            <v>589</v>
          </cell>
          <cell r="I1199">
            <v>103782.48632953716</v>
          </cell>
        </row>
        <row r="1200">
          <cell r="A1200" t="str">
            <v>589WYP</v>
          </cell>
          <cell r="B1200" t="str">
            <v>589</v>
          </cell>
          <cell r="D1200">
            <v>1102636.1100921207</v>
          </cell>
          <cell r="F1200" t="str">
            <v>589WYP</v>
          </cell>
          <cell r="G1200" t="str">
            <v>589</v>
          </cell>
          <cell r="I1200">
            <v>1102636.1100921207</v>
          </cell>
        </row>
        <row r="1201">
          <cell r="A1201" t="str">
            <v>589WYU</v>
          </cell>
          <cell r="B1201" t="str">
            <v>589</v>
          </cell>
          <cell r="D1201">
            <v>107797.31901465</v>
          </cell>
          <cell r="F1201" t="str">
            <v>589WYU</v>
          </cell>
          <cell r="G1201" t="str">
            <v>589</v>
          </cell>
          <cell r="I1201">
            <v>107797.31901465</v>
          </cell>
        </row>
        <row r="1202">
          <cell r="A1202" t="str">
            <v>590CA</v>
          </cell>
          <cell r="B1202" t="str">
            <v>590</v>
          </cell>
          <cell r="D1202">
            <v>37745.118820680786</v>
          </cell>
          <cell r="F1202" t="str">
            <v>590CA</v>
          </cell>
          <cell r="G1202" t="str">
            <v>590</v>
          </cell>
          <cell r="I1202">
            <v>37745.118820680786</v>
          </cell>
        </row>
        <row r="1203">
          <cell r="A1203" t="str">
            <v>590ID</v>
          </cell>
          <cell r="B1203" t="str">
            <v>590</v>
          </cell>
          <cell r="D1203">
            <v>72590.536457481066</v>
          </cell>
          <cell r="F1203" t="str">
            <v>590ID</v>
          </cell>
          <cell r="G1203" t="str">
            <v>590</v>
          </cell>
          <cell r="I1203">
            <v>72590.536457481066</v>
          </cell>
        </row>
        <row r="1204">
          <cell r="A1204" t="str">
            <v>590OR</v>
          </cell>
          <cell r="B1204" t="str">
            <v>590</v>
          </cell>
          <cell r="D1204">
            <v>586577.45266944019</v>
          </cell>
          <cell r="F1204" t="str">
            <v>590OR</v>
          </cell>
          <cell r="G1204" t="str">
            <v>590</v>
          </cell>
          <cell r="I1204">
            <v>586577.45266944019</v>
          </cell>
        </row>
        <row r="1205">
          <cell r="A1205" t="str">
            <v>590SNPD</v>
          </cell>
          <cell r="B1205" t="str">
            <v>590</v>
          </cell>
          <cell r="D1205">
            <v>3439739.4342184137</v>
          </cell>
          <cell r="F1205" t="str">
            <v>590SNPD</v>
          </cell>
          <cell r="G1205" t="str">
            <v>590</v>
          </cell>
          <cell r="I1205">
            <v>3439739.4342184137</v>
          </cell>
        </row>
        <row r="1206">
          <cell r="A1206" t="str">
            <v>590UT</v>
          </cell>
          <cell r="B1206" t="str">
            <v>590</v>
          </cell>
          <cell r="D1206">
            <v>776826.99959989253</v>
          </cell>
          <cell r="F1206" t="str">
            <v>590UT</v>
          </cell>
          <cell r="G1206" t="str">
            <v>590</v>
          </cell>
          <cell r="I1206">
            <v>776826.99959989253</v>
          </cell>
        </row>
        <row r="1207">
          <cell r="A1207" t="str">
            <v>590WA</v>
          </cell>
          <cell r="B1207" t="str">
            <v>590</v>
          </cell>
          <cell r="D1207">
            <v>142957.68979382562</v>
          </cell>
          <cell r="F1207" t="str">
            <v>590WA</v>
          </cell>
          <cell r="G1207" t="str">
            <v>590</v>
          </cell>
          <cell r="I1207">
            <v>142957.68979382562</v>
          </cell>
        </row>
        <row r="1208">
          <cell r="A1208" t="str">
            <v>590WYP</v>
          </cell>
          <cell r="B1208" t="str">
            <v>590</v>
          </cell>
          <cell r="D1208">
            <v>161913.76072136997</v>
          </cell>
          <cell r="F1208" t="str">
            <v>590WYP</v>
          </cell>
          <cell r="G1208" t="str">
            <v>590</v>
          </cell>
          <cell r="I1208">
            <v>161913.76072136997</v>
          </cell>
        </row>
        <row r="1209">
          <cell r="A1209" t="str">
            <v>591CA</v>
          </cell>
          <cell r="B1209" t="str">
            <v>591</v>
          </cell>
          <cell r="D1209">
            <v>20548.153557011792</v>
          </cell>
          <cell r="F1209" t="str">
            <v>591CA</v>
          </cell>
          <cell r="G1209" t="str">
            <v>591</v>
          </cell>
          <cell r="I1209">
            <v>20548.153557011792</v>
          </cell>
        </row>
        <row r="1210">
          <cell r="A1210" t="str">
            <v>591ID</v>
          </cell>
          <cell r="B1210" t="str">
            <v>591</v>
          </cell>
          <cell r="D1210">
            <v>36555.618715596327</v>
          </cell>
          <cell r="F1210" t="str">
            <v>591ID</v>
          </cell>
          <cell r="G1210" t="str">
            <v>591</v>
          </cell>
          <cell r="I1210">
            <v>36555.618715596327</v>
          </cell>
        </row>
        <row r="1211">
          <cell r="A1211" t="str">
            <v>591OR</v>
          </cell>
          <cell r="B1211" t="str">
            <v>591</v>
          </cell>
          <cell r="D1211">
            <v>461245.981163827</v>
          </cell>
          <cell r="F1211" t="str">
            <v>591OR</v>
          </cell>
          <cell r="G1211" t="str">
            <v>591</v>
          </cell>
          <cell r="I1211">
            <v>461245.981163827</v>
          </cell>
        </row>
        <row r="1212">
          <cell r="A1212" t="str">
            <v>591SNPD</v>
          </cell>
          <cell r="B1212" t="str">
            <v>591</v>
          </cell>
          <cell r="D1212">
            <v>104215.62251638269</v>
          </cell>
          <cell r="F1212" t="str">
            <v>591SNPD</v>
          </cell>
          <cell r="G1212" t="str">
            <v>591</v>
          </cell>
          <cell r="I1212">
            <v>104215.62251638269</v>
          </cell>
        </row>
        <row r="1213">
          <cell r="A1213" t="str">
            <v>591UT</v>
          </cell>
          <cell r="B1213" t="str">
            <v>591</v>
          </cell>
          <cell r="D1213">
            <v>409535.22778505896</v>
          </cell>
          <cell r="F1213" t="str">
            <v>591UT</v>
          </cell>
          <cell r="G1213" t="str">
            <v>591</v>
          </cell>
          <cell r="I1213">
            <v>409535.22778505896</v>
          </cell>
        </row>
        <row r="1214">
          <cell r="A1214" t="str">
            <v>591WA</v>
          </cell>
          <cell r="B1214" t="str">
            <v>591</v>
          </cell>
          <cell r="D1214">
            <v>105573.49829095675</v>
          </cell>
          <cell r="F1214" t="str">
            <v>591WA</v>
          </cell>
          <cell r="G1214" t="str">
            <v>591</v>
          </cell>
          <cell r="I1214">
            <v>105573.49829095675</v>
          </cell>
        </row>
        <row r="1215">
          <cell r="A1215" t="str">
            <v>591WYP</v>
          </cell>
          <cell r="B1215" t="str">
            <v>591</v>
          </cell>
          <cell r="D1215">
            <v>153128.91409698559</v>
          </cell>
          <cell r="F1215" t="str">
            <v>591WYP</v>
          </cell>
          <cell r="G1215" t="str">
            <v>591</v>
          </cell>
          <cell r="I1215">
            <v>153128.91409698559</v>
          </cell>
        </row>
        <row r="1216">
          <cell r="A1216" t="str">
            <v>591WYU</v>
          </cell>
          <cell r="B1216" t="str">
            <v>591</v>
          </cell>
          <cell r="D1216">
            <v>37622.746427260812</v>
          </cell>
          <cell r="F1216" t="str">
            <v>591WYU</v>
          </cell>
          <cell r="G1216" t="str">
            <v>591</v>
          </cell>
          <cell r="I1216">
            <v>37622.746427260812</v>
          </cell>
        </row>
        <row r="1217">
          <cell r="A1217" t="str">
            <v>592CA</v>
          </cell>
          <cell r="B1217" t="str">
            <v>592</v>
          </cell>
          <cell r="D1217">
            <v>362744.29097841674</v>
          </cell>
          <cell r="F1217" t="str">
            <v>592CA</v>
          </cell>
          <cell r="G1217" t="str">
            <v>592</v>
          </cell>
          <cell r="I1217">
            <v>362744.29097841674</v>
          </cell>
        </row>
        <row r="1218">
          <cell r="A1218" t="str">
            <v>592ID</v>
          </cell>
          <cell r="B1218" t="str">
            <v>592</v>
          </cell>
          <cell r="D1218">
            <v>772701.07816514885</v>
          </cell>
          <cell r="F1218" t="str">
            <v>592ID</v>
          </cell>
          <cell r="G1218" t="str">
            <v>592</v>
          </cell>
          <cell r="I1218">
            <v>772701.07816514885</v>
          </cell>
        </row>
        <row r="1219">
          <cell r="A1219" t="str">
            <v>592OR</v>
          </cell>
          <cell r="B1219" t="str">
            <v>592</v>
          </cell>
          <cell r="D1219">
            <v>2822793.9658192783</v>
          </cell>
          <cell r="F1219" t="str">
            <v>592OR</v>
          </cell>
          <cell r="G1219" t="str">
            <v>592</v>
          </cell>
          <cell r="I1219">
            <v>2822793.9658192783</v>
          </cell>
        </row>
        <row r="1220">
          <cell r="A1220" t="str">
            <v>592SNPD</v>
          </cell>
          <cell r="B1220" t="str">
            <v>592</v>
          </cell>
          <cell r="D1220">
            <v>1666847.7130593269</v>
          </cell>
          <cell r="F1220" t="str">
            <v>592SNPD</v>
          </cell>
          <cell r="G1220" t="str">
            <v>592</v>
          </cell>
          <cell r="I1220">
            <v>1666847.7130593269</v>
          </cell>
        </row>
        <row r="1221">
          <cell r="A1221" t="str">
            <v>592UT</v>
          </cell>
          <cell r="B1221" t="str">
            <v>592</v>
          </cell>
          <cell r="D1221">
            <v>3501778.6081637689</v>
          </cell>
          <cell r="F1221" t="str">
            <v>592UT</v>
          </cell>
          <cell r="G1221" t="str">
            <v>592</v>
          </cell>
          <cell r="I1221">
            <v>3501778.6081637689</v>
          </cell>
        </row>
        <row r="1222">
          <cell r="A1222" t="str">
            <v>592WA</v>
          </cell>
          <cell r="B1222" t="str">
            <v>592</v>
          </cell>
          <cell r="D1222">
            <v>410790.00540295459</v>
          </cell>
          <cell r="F1222" t="str">
            <v>592WA</v>
          </cell>
          <cell r="G1222" t="str">
            <v>592</v>
          </cell>
          <cell r="I1222">
            <v>410790.00540295459</v>
          </cell>
        </row>
        <row r="1223">
          <cell r="A1223" t="str">
            <v>592WYP</v>
          </cell>
          <cell r="B1223" t="str">
            <v>592</v>
          </cell>
          <cell r="D1223">
            <v>1442160.7573675329</v>
          </cell>
          <cell r="F1223" t="str">
            <v>592WYP</v>
          </cell>
          <cell r="G1223" t="str">
            <v>592</v>
          </cell>
          <cell r="I1223">
            <v>1442160.7573675329</v>
          </cell>
        </row>
        <row r="1224">
          <cell r="A1224" t="str">
            <v>592WYU</v>
          </cell>
          <cell r="B1224" t="str">
            <v>592</v>
          </cell>
          <cell r="D1224">
            <v>3.2928296094057892</v>
          </cell>
          <cell r="F1224" t="str">
            <v>592WYU</v>
          </cell>
          <cell r="G1224" t="str">
            <v>592</v>
          </cell>
          <cell r="I1224">
            <v>3.2928296094057892</v>
          </cell>
        </row>
        <row r="1225">
          <cell r="A1225" t="str">
            <v>593CA</v>
          </cell>
          <cell r="B1225" t="str">
            <v>593</v>
          </cell>
          <cell r="D1225">
            <v>8304284.2174993474</v>
          </cell>
          <cell r="F1225" t="str">
            <v>593CA</v>
          </cell>
          <cell r="G1225" t="str">
            <v>593</v>
          </cell>
          <cell r="I1225">
            <v>8304284.2174993474</v>
          </cell>
        </row>
        <row r="1226">
          <cell r="A1226" t="str">
            <v>593ID</v>
          </cell>
          <cell r="B1226" t="str">
            <v>593</v>
          </cell>
          <cell r="D1226">
            <v>4452533.7913059276</v>
          </cell>
          <cell r="F1226" t="str">
            <v>593ID</v>
          </cell>
          <cell r="G1226" t="str">
            <v>593</v>
          </cell>
          <cell r="I1226">
            <v>4452533.7913059276</v>
          </cell>
        </row>
        <row r="1227">
          <cell r="A1227" t="str">
            <v>593OR</v>
          </cell>
          <cell r="B1227" t="str">
            <v>593</v>
          </cell>
          <cell r="D1227">
            <v>32352526.230148885</v>
          </cell>
          <cell r="F1227" t="str">
            <v>593OR</v>
          </cell>
          <cell r="G1227" t="str">
            <v>593</v>
          </cell>
          <cell r="I1227">
            <v>32352526.230148885</v>
          </cell>
        </row>
        <row r="1228">
          <cell r="A1228" t="str">
            <v>593SNPD</v>
          </cell>
          <cell r="B1228" t="str">
            <v>593</v>
          </cell>
          <cell r="D1228">
            <v>1415276.9329018309</v>
          </cell>
          <cell r="F1228" t="str">
            <v>593SNPD</v>
          </cell>
          <cell r="G1228" t="str">
            <v>593</v>
          </cell>
          <cell r="I1228">
            <v>1415276.9329018309</v>
          </cell>
        </row>
        <row r="1229">
          <cell r="A1229" t="str">
            <v>593UT</v>
          </cell>
          <cell r="B1229" t="str">
            <v>593</v>
          </cell>
          <cell r="D1229">
            <v>32214769.548290864</v>
          </cell>
          <cell r="F1229" t="str">
            <v>593UT</v>
          </cell>
          <cell r="G1229" t="str">
            <v>593</v>
          </cell>
          <cell r="I1229">
            <v>32214769.548290864</v>
          </cell>
        </row>
        <row r="1230">
          <cell r="A1230" t="str">
            <v>593WA</v>
          </cell>
          <cell r="B1230" t="str">
            <v>593</v>
          </cell>
          <cell r="D1230">
            <v>4777025.4913101736</v>
          </cell>
          <cell r="F1230" t="str">
            <v>593WA</v>
          </cell>
          <cell r="G1230" t="str">
            <v>593</v>
          </cell>
          <cell r="I1230">
            <v>4777025.4913101736</v>
          </cell>
        </row>
        <row r="1231">
          <cell r="A1231" t="str">
            <v>593WYP</v>
          </cell>
          <cell r="B1231" t="str">
            <v>593</v>
          </cell>
          <cell r="D1231">
            <v>6678033.1533753816</v>
          </cell>
          <cell r="F1231" t="str">
            <v>593WYP</v>
          </cell>
          <cell r="G1231" t="str">
            <v>593</v>
          </cell>
          <cell r="I1231">
            <v>6678033.1533753816</v>
          </cell>
        </row>
        <row r="1232">
          <cell r="A1232" t="str">
            <v>593WYU</v>
          </cell>
          <cell r="B1232" t="str">
            <v>593</v>
          </cell>
          <cell r="D1232">
            <v>1106607.2818905155</v>
          </cell>
          <cell r="F1232" t="str">
            <v>593WYU</v>
          </cell>
          <cell r="G1232" t="str">
            <v>593</v>
          </cell>
          <cell r="I1232">
            <v>1106607.2818905155</v>
          </cell>
        </row>
        <row r="1233">
          <cell r="A1233" t="str">
            <v>594CA</v>
          </cell>
          <cell r="B1233" t="str">
            <v>594</v>
          </cell>
          <cell r="D1233">
            <v>400230.04969365796</v>
          </cell>
          <cell r="F1233" t="str">
            <v>594CA</v>
          </cell>
          <cell r="G1233" t="str">
            <v>594</v>
          </cell>
          <cell r="I1233">
            <v>400230.04969365796</v>
          </cell>
        </row>
        <row r="1234">
          <cell r="A1234" t="str">
            <v>594ID</v>
          </cell>
          <cell r="B1234" t="str">
            <v>594</v>
          </cell>
          <cell r="D1234">
            <v>658713.91743226082</v>
          </cell>
          <cell r="F1234" t="str">
            <v>594ID</v>
          </cell>
          <cell r="G1234" t="str">
            <v>594</v>
          </cell>
          <cell r="I1234">
            <v>658713.91743226082</v>
          </cell>
        </row>
        <row r="1235">
          <cell r="A1235" t="str">
            <v>594OR</v>
          </cell>
          <cell r="B1235" t="str">
            <v>594</v>
          </cell>
          <cell r="D1235">
            <v>5699898.4557594704</v>
          </cell>
          <cell r="F1235" t="str">
            <v>594OR</v>
          </cell>
          <cell r="G1235" t="str">
            <v>594</v>
          </cell>
          <cell r="I1235">
            <v>5699898.4557594704</v>
          </cell>
        </row>
        <row r="1236">
          <cell r="A1236" t="str">
            <v>594SNPD</v>
          </cell>
          <cell r="B1236" t="str">
            <v>594</v>
          </cell>
          <cell r="D1236">
            <v>55497.243646619121</v>
          </cell>
          <cell r="F1236" t="str">
            <v>594SNPD</v>
          </cell>
          <cell r="G1236" t="str">
            <v>594</v>
          </cell>
          <cell r="I1236">
            <v>55497.243646619121</v>
          </cell>
        </row>
        <row r="1237">
          <cell r="A1237" t="str">
            <v>594UT</v>
          </cell>
          <cell r="B1237" t="str">
            <v>594</v>
          </cell>
          <cell r="D1237">
            <v>11067244.703752609</v>
          </cell>
          <cell r="F1237" t="str">
            <v>594UT</v>
          </cell>
          <cell r="G1237" t="str">
            <v>594</v>
          </cell>
          <cell r="I1237">
            <v>11067244.703752609</v>
          </cell>
        </row>
        <row r="1238">
          <cell r="A1238" t="str">
            <v>594WA</v>
          </cell>
          <cell r="B1238" t="str">
            <v>594</v>
          </cell>
          <cell r="D1238">
            <v>989807.49621620448</v>
          </cell>
          <cell r="F1238" t="str">
            <v>594WA</v>
          </cell>
          <cell r="G1238" t="str">
            <v>594</v>
          </cell>
          <cell r="I1238">
            <v>989807.49621620448</v>
          </cell>
        </row>
        <row r="1239">
          <cell r="A1239" t="str">
            <v>594WYP</v>
          </cell>
          <cell r="B1239" t="str">
            <v>594</v>
          </cell>
          <cell r="D1239">
            <v>1783965.6903654316</v>
          </cell>
          <cell r="F1239" t="str">
            <v>594WYP</v>
          </cell>
          <cell r="G1239" t="str">
            <v>594</v>
          </cell>
          <cell r="I1239">
            <v>1783965.6903654316</v>
          </cell>
        </row>
        <row r="1240">
          <cell r="A1240" t="str">
            <v>594WYU</v>
          </cell>
          <cell r="B1240" t="str">
            <v>594</v>
          </cell>
          <cell r="D1240">
            <v>209091.90079019216</v>
          </cell>
          <cell r="F1240" t="str">
            <v>594WYU</v>
          </cell>
          <cell r="G1240" t="str">
            <v>594</v>
          </cell>
          <cell r="I1240">
            <v>209091.90079019216</v>
          </cell>
        </row>
        <row r="1241">
          <cell r="A1241" t="str">
            <v>595CA</v>
          </cell>
          <cell r="B1241" t="str">
            <v>595</v>
          </cell>
          <cell r="D1241">
            <v>0</v>
          </cell>
          <cell r="F1241" t="str">
            <v>595CA</v>
          </cell>
          <cell r="G1241" t="str">
            <v>595</v>
          </cell>
          <cell r="I1241">
            <v>0</v>
          </cell>
        </row>
        <row r="1242">
          <cell r="A1242" t="str">
            <v>595ID</v>
          </cell>
          <cell r="B1242" t="str">
            <v>595</v>
          </cell>
          <cell r="D1242">
            <v>0</v>
          </cell>
          <cell r="F1242" t="str">
            <v>595ID</v>
          </cell>
          <cell r="G1242" t="str">
            <v>595</v>
          </cell>
          <cell r="I1242">
            <v>0</v>
          </cell>
        </row>
        <row r="1243">
          <cell r="A1243" t="str">
            <v>595SNPD</v>
          </cell>
          <cell r="B1243" t="str">
            <v>595</v>
          </cell>
          <cell r="D1243">
            <v>989541.59161792428</v>
          </cell>
          <cell r="F1243" t="str">
            <v>595SNPD</v>
          </cell>
          <cell r="G1243" t="str">
            <v>595</v>
          </cell>
          <cell r="I1243">
            <v>989541.59161792428</v>
          </cell>
        </row>
        <row r="1244">
          <cell r="A1244" t="str">
            <v>595UT</v>
          </cell>
          <cell r="B1244" t="str">
            <v>595</v>
          </cell>
          <cell r="D1244">
            <v>0</v>
          </cell>
          <cell r="F1244" t="str">
            <v>595UT</v>
          </cell>
          <cell r="G1244" t="str">
            <v>595</v>
          </cell>
          <cell r="I1244">
            <v>0</v>
          </cell>
        </row>
        <row r="1245">
          <cell r="A1245" t="str">
            <v>595WA</v>
          </cell>
          <cell r="B1245" t="str">
            <v>595</v>
          </cell>
          <cell r="D1245">
            <v>0</v>
          </cell>
          <cell r="F1245" t="str">
            <v>595WA</v>
          </cell>
          <cell r="G1245" t="str">
            <v>595</v>
          </cell>
          <cell r="I1245">
            <v>0</v>
          </cell>
        </row>
        <row r="1246">
          <cell r="A1246" t="str">
            <v>595WYP</v>
          </cell>
          <cell r="B1246" t="str">
            <v>595</v>
          </cell>
          <cell r="D1246">
            <v>48622.102108292493</v>
          </cell>
          <cell r="F1246" t="str">
            <v>595WYP</v>
          </cell>
          <cell r="G1246" t="str">
            <v>595</v>
          </cell>
          <cell r="I1246">
            <v>48622.102108292493</v>
          </cell>
        </row>
        <row r="1247">
          <cell r="A1247" t="str">
            <v>595WYU</v>
          </cell>
          <cell r="B1247" t="str">
            <v>595</v>
          </cell>
          <cell r="D1247">
            <v>0</v>
          </cell>
          <cell r="F1247" t="str">
            <v>595WYU</v>
          </cell>
          <cell r="G1247" t="str">
            <v>595</v>
          </cell>
          <cell r="I1247">
            <v>0</v>
          </cell>
        </row>
        <row r="1248">
          <cell r="A1248" t="str">
            <v>596CA</v>
          </cell>
          <cell r="B1248" t="str">
            <v>596</v>
          </cell>
          <cell r="D1248">
            <v>100047.17860440587</v>
          </cell>
          <cell r="F1248" t="str">
            <v>596CA</v>
          </cell>
          <cell r="G1248" t="str">
            <v>596</v>
          </cell>
          <cell r="I1248">
            <v>100047.17860440587</v>
          </cell>
        </row>
        <row r="1249">
          <cell r="A1249" t="str">
            <v>596ID</v>
          </cell>
          <cell r="B1249" t="str">
            <v>596</v>
          </cell>
          <cell r="D1249">
            <v>169852.63826386267</v>
          </cell>
          <cell r="F1249" t="str">
            <v>596ID</v>
          </cell>
          <cell r="G1249" t="str">
            <v>596</v>
          </cell>
          <cell r="I1249">
            <v>169852.63826386267</v>
          </cell>
        </row>
        <row r="1250">
          <cell r="A1250" t="str">
            <v>596OR</v>
          </cell>
          <cell r="B1250" t="str">
            <v>596</v>
          </cell>
          <cell r="D1250">
            <v>1066158.6263896707</v>
          </cell>
          <cell r="F1250" t="str">
            <v>596OR</v>
          </cell>
          <cell r="G1250" t="str">
            <v>596</v>
          </cell>
          <cell r="I1250">
            <v>1066158.6263896707</v>
          </cell>
        </row>
        <row r="1251">
          <cell r="A1251" t="str">
            <v>596UT</v>
          </cell>
          <cell r="B1251" t="str">
            <v>596</v>
          </cell>
          <cell r="D1251">
            <v>1723289.564210675</v>
          </cell>
          <cell r="F1251" t="str">
            <v>596UT</v>
          </cell>
          <cell r="G1251" t="str">
            <v>596</v>
          </cell>
          <cell r="I1251">
            <v>1723289.564210675</v>
          </cell>
        </row>
        <row r="1252">
          <cell r="A1252" t="str">
            <v>596WA</v>
          </cell>
          <cell r="B1252" t="str">
            <v>596</v>
          </cell>
          <cell r="D1252">
            <v>193303.80220194356</v>
          </cell>
          <cell r="F1252" t="str">
            <v>596WA</v>
          </cell>
          <cell r="G1252" t="str">
            <v>596</v>
          </cell>
          <cell r="I1252">
            <v>193303.80220194356</v>
          </cell>
        </row>
        <row r="1253">
          <cell r="A1253" t="str">
            <v>596WYP</v>
          </cell>
          <cell r="B1253" t="str">
            <v>596</v>
          </cell>
          <cell r="D1253">
            <v>346054.03181651555</v>
          </cell>
          <cell r="F1253" t="str">
            <v>596WYP</v>
          </cell>
          <cell r="G1253" t="str">
            <v>596</v>
          </cell>
          <cell r="I1253">
            <v>346054.03181651555</v>
          </cell>
        </row>
        <row r="1254">
          <cell r="A1254" t="str">
            <v>596WYU</v>
          </cell>
          <cell r="B1254" t="str">
            <v>596</v>
          </cell>
          <cell r="D1254">
            <v>97665.334788836975</v>
          </cell>
          <cell r="F1254" t="str">
            <v>596WYU</v>
          </cell>
          <cell r="G1254" t="str">
            <v>596</v>
          </cell>
          <cell r="I1254">
            <v>97665.334788836975</v>
          </cell>
        </row>
        <row r="1255">
          <cell r="A1255" t="str">
            <v>597CA</v>
          </cell>
          <cell r="B1255" t="str">
            <v>597</v>
          </cell>
          <cell r="D1255">
            <v>48510.818596626479</v>
          </cell>
          <cell r="F1255" t="str">
            <v>597CA</v>
          </cell>
          <cell r="G1255" t="str">
            <v>597</v>
          </cell>
          <cell r="I1255">
            <v>48510.818596626479</v>
          </cell>
        </row>
        <row r="1256">
          <cell r="A1256" t="str">
            <v>597ID</v>
          </cell>
          <cell r="B1256" t="str">
            <v>597</v>
          </cell>
          <cell r="D1256">
            <v>370281.024584939</v>
          </cell>
          <cell r="F1256" t="str">
            <v>597ID</v>
          </cell>
          <cell r="G1256" t="str">
            <v>597</v>
          </cell>
          <cell r="I1256">
            <v>370281.024584939</v>
          </cell>
        </row>
        <row r="1257">
          <cell r="A1257" t="str">
            <v>597OR</v>
          </cell>
          <cell r="B1257" t="str">
            <v>597</v>
          </cell>
          <cell r="D1257">
            <v>1100792.7456889097</v>
          </cell>
          <cell r="F1257" t="str">
            <v>597OR</v>
          </cell>
          <cell r="G1257" t="str">
            <v>597</v>
          </cell>
          <cell r="I1257">
            <v>1100792.7456889097</v>
          </cell>
        </row>
        <row r="1258">
          <cell r="A1258" t="str">
            <v>597SNPD</v>
          </cell>
          <cell r="B1258" t="str">
            <v>597</v>
          </cell>
          <cell r="D1258">
            <v>1796765.0861200737</v>
          </cell>
          <cell r="F1258" t="str">
            <v>597SNPD</v>
          </cell>
          <cell r="G1258" t="str">
            <v>597</v>
          </cell>
          <cell r="I1258">
            <v>1796765.0861200737</v>
          </cell>
        </row>
        <row r="1259">
          <cell r="A1259" t="str">
            <v>597UT</v>
          </cell>
          <cell r="B1259" t="str">
            <v>597</v>
          </cell>
          <cell r="D1259">
            <v>2718973.2010218133</v>
          </cell>
          <cell r="F1259" t="str">
            <v>597UT</v>
          </cell>
          <cell r="G1259" t="str">
            <v>597</v>
          </cell>
          <cell r="I1259">
            <v>2718973.2010218133</v>
          </cell>
        </row>
        <row r="1260">
          <cell r="A1260" t="str">
            <v>597WA</v>
          </cell>
          <cell r="B1260" t="str">
            <v>597</v>
          </cell>
          <cell r="D1260">
            <v>354757.85951834329</v>
          </cell>
          <cell r="F1260" t="str">
            <v>597WA</v>
          </cell>
          <cell r="G1260" t="str">
            <v>597</v>
          </cell>
          <cell r="I1260">
            <v>354757.85951834329</v>
          </cell>
        </row>
        <row r="1261">
          <cell r="A1261" t="str">
            <v>597WYP</v>
          </cell>
          <cell r="B1261" t="str">
            <v>597</v>
          </cell>
          <cell r="D1261">
            <v>373261.64375616377</v>
          </cell>
          <cell r="F1261" t="str">
            <v>597WYP</v>
          </cell>
          <cell r="G1261" t="str">
            <v>597</v>
          </cell>
          <cell r="I1261">
            <v>373261.64375616377</v>
          </cell>
        </row>
        <row r="1262">
          <cell r="A1262" t="str">
            <v>597WYU</v>
          </cell>
          <cell r="B1262" t="str">
            <v>597</v>
          </cell>
          <cell r="D1262">
            <v>111657.54554787718</v>
          </cell>
          <cell r="F1262" t="str">
            <v>597WYU</v>
          </cell>
          <cell r="G1262" t="str">
            <v>597</v>
          </cell>
          <cell r="I1262">
            <v>111657.54554787718</v>
          </cell>
        </row>
        <row r="1263">
          <cell r="A1263" t="str">
            <v>598CA</v>
          </cell>
          <cell r="B1263" t="str">
            <v>598</v>
          </cell>
          <cell r="D1263">
            <v>154458.95829181577</v>
          </cell>
          <cell r="F1263" t="str">
            <v>598CA</v>
          </cell>
          <cell r="G1263" t="str">
            <v>598</v>
          </cell>
          <cell r="I1263">
            <v>154458.95829181577</v>
          </cell>
        </row>
        <row r="1264">
          <cell r="A1264" t="str">
            <v>598ID</v>
          </cell>
          <cell r="B1264" t="str">
            <v>598</v>
          </cell>
          <cell r="D1264">
            <v>52598.01678636959</v>
          </cell>
          <cell r="F1264" t="str">
            <v>598ID</v>
          </cell>
          <cell r="G1264" t="str">
            <v>598</v>
          </cell>
          <cell r="I1264">
            <v>52598.01678636959</v>
          </cell>
        </row>
        <row r="1265">
          <cell r="A1265" t="str">
            <v>598OR</v>
          </cell>
          <cell r="B1265" t="str">
            <v>598</v>
          </cell>
          <cell r="D1265">
            <v>203679.29597636603</v>
          </cell>
          <cell r="F1265" t="str">
            <v>598OR</v>
          </cell>
          <cell r="G1265" t="str">
            <v>598</v>
          </cell>
          <cell r="I1265">
            <v>203679.29597636603</v>
          </cell>
        </row>
        <row r="1266">
          <cell r="A1266" t="str">
            <v>598SNPD</v>
          </cell>
          <cell r="B1266" t="str">
            <v>598</v>
          </cell>
          <cell r="D1266">
            <v>1005636.7483015698</v>
          </cell>
          <cell r="F1266" t="str">
            <v>598SNPD</v>
          </cell>
          <cell r="G1266" t="str">
            <v>598</v>
          </cell>
          <cell r="I1266">
            <v>1005636.7483015698</v>
          </cell>
        </row>
        <row r="1267">
          <cell r="A1267" t="str">
            <v>598UT</v>
          </cell>
          <cell r="B1267" t="str">
            <v>598</v>
          </cell>
          <cell r="D1267">
            <v>1099280.2646797611</v>
          </cell>
          <cell r="F1267" t="str">
            <v>598UT</v>
          </cell>
          <cell r="G1267" t="str">
            <v>598</v>
          </cell>
          <cell r="I1267">
            <v>1099280.2646797611</v>
          </cell>
        </row>
        <row r="1268">
          <cell r="A1268" t="str">
            <v>598WA</v>
          </cell>
          <cell r="B1268" t="str">
            <v>598</v>
          </cell>
          <cell r="D1268">
            <v>43463.405941983954</v>
          </cell>
          <cell r="F1268" t="str">
            <v>598WA</v>
          </cell>
          <cell r="G1268" t="str">
            <v>598</v>
          </cell>
          <cell r="I1268">
            <v>43463.405941983954</v>
          </cell>
        </row>
        <row r="1269">
          <cell r="A1269" t="str">
            <v>598WYP</v>
          </cell>
          <cell r="B1269" t="str">
            <v>598</v>
          </cell>
          <cell r="D1269">
            <v>441503.97095150716</v>
          </cell>
          <cell r="F1269" t="str">
            <v>598WYP</v>
          </cell>
          <cell r="G1269" t="str">
            <v>598</v>
          </cell>
          <cell r="I1269">
            <v>441503.97095150716</v>
          </cell>
        </row>
        <row r="1270">
          <cell r="A1270" t="str">
            <v>598WYU</v>
          </cell>
          <cell r="B1270" t="str">
            <v>598</v>
          </cell>
          <cell r="D1270">
            <v>1673.5134102228046</v>
          </cell>
          <cell r="F1270" t="str">
            <v>598WYU</v>
          </cell>
          <cell r="G1270" t="str">
            <v>598</v>
          </cell>
          <cell r="I1270">
            <v>1673.5134102228046</v>
          </cell>
        </row>
        <row r="1271">
          <cell r="A1271" t="str">
            <v>901CN</v>
          </cell>
          <cell r="B1271" t="str">
            <v>901</v>
          </cell>
          <cell r="D1271">
            <v>2455922.5992075759</v>
          </cell>
          <cell r="F1271" t="str">
            <v>901CN</v>
          </cell>
          <cell r="G1271" t="str">
            <v>901</v>
          </cell>
          <cell r="I1271">
            <v>2455922.5992075759</v>
          </cell>
        </row>
        <row r="1272">
          <cell r="A1272" t="str">
            <v>901ID</v>
          </cell>
          <cell r="B1272" t="str">
            <v>901</v>
          </cell>
          <cell r="D1272">
            <v>502.66536154089039</v>
          </cell>
          <cell r="F1272" t="str">
            <v>901ID</v>
          </cell>
          <cell r="G1272" t="str">
            <v>901</v>
          </cell>
          <cell r="I1272">
            <v>502.66536154089039</v>
          </cell>
        </row>
        <row r="1273">
          <cell r="A1273" t="str">
            <v>901OR</v>
          </cell>
          <cell r="B1273" t="str">
            <v>901</v>
          </cell>
          <cell r="D1273">
            <v>1920.6426907358857</v>
          </cell>
          <cell r="F1273" t="str">
            <v>901OR</v>
          </cell>
          <cell r="G1273" t="str">
            <v>901</v>
          </cell>
          <cell r="I1273">
            <v>1920.6426907358857</v>
          </cell>
        </row>
        <row r="1274">
          <cell r="A1274" t="str">
            <v>901WYP</v>
          </cell>
          <cell r="B1274" t="str">
            <v>901</v>
          </cell>
          <cell r="D1274">
            <v>1718.6659141143036</v>
          </cell>
          <cell r="F1274" t="str">
            <v>901WYP</v>
          </cell>
          <cell r="G1274" t="str">
            <v>901</v>
          </cell>
          <cell r="I1274">
            <v>1718.6659141143036</v>
          </cell>
        </row>
        <row r="1275">
          <cell r="A1275" t="str">
            <v>902CA</v>
          </cell>
          <cell r="B1275" t="str">
            <v>902</v>
          </cell>
          <cell r="D1275">
            <v>878981.39963976073</v>
          </cell>
          <cell r="F1275" t="str">
            <v>902CA</v>
          </cell>
          <cell r="G1275" t="str">
            <v>902</v>
          </cell>
          <cell r="I1275">
            <v>878981.39963976073</v>
          </cell>
        </row>
        <row r="1276">
          <cell r="A1276" t="str">
            <v>902CN</v>
          </cell>
          <cell r="B1276" t="str">
            <v>902</v>
          </cell>
          <cell r="D1276">
            <v>2169816.8323677154</v>
          </cell>
          <cell r="F1276" t="str">
            <v>902CN</v>
          </cell>
          <cell r="G1276" t="str">
            <v>902</v>
          </cell>
          <cell r="I1276">
            <v>2169816.8323677154</v>
          </cell>
        </row>
        <row r="1277">
          <cell r="A1277" t="str">
            <v>902ID</v>
          </cell>
          <cell r="B1277" t="str">
            <v>902</v>
          </cell>
          <cell r="D1277">
            <v>1671463.261681611</v>
          </cell>
          <cell r="F1277" t="str">
            <v>902ID</v>
          </cell>
          <cell r="G1277" t="str">
            <v>902</v>
          </cell>
          <cell r="I1277">
            <v>1671463.261681611</v>
          </cell>
        </row>
        <row r="1278">
          <cell r="A1278" t="str">
            <v>902OR</v>
          </cell>
          <cell r="B1278" t="str">
            <v>902</v>
          </cell>
          <cell r="D1278">
            <v>9466307.4724197909</v>
          </cell>
          <cell r="F1278" t="str">
            <v>902OR</v>
          </cell>
          <cell r="G1278" t="str">
            <v>902</v>
          </cell>
          <cell r="I1278">
            <v>9466307.4724197909</v>
          </cell>
        </row>
        <row r="1279">
          <cell r="A1279" t="str">
            <v>902UT</v>
          </cell>
          <cell r="B1279" t="str">
            <v>902</v>
          </cell>
          <cell r="D1279">
            <v>4024891.260059217</v>
          </cell>
          <cell r="F1279" t="str">
            <v>902UT</v>
          </cell>
          <cell r="G1279" t="str">
            <v>902</v>
          </cell>
          <cell r="I1279">
            <v>4024891.260059217</v>
          </cell>
        </row>
        <row r="1280">
          <cell r="A1280" t="str">
            <v>902WA</v>
          </cell>
          <cell r="B1280" t="str">
            <v>902</v>
          </cell>
          <cell r="D1280">
            <v>799783.8703899316</v>
          </cell>
          <cell r="F1280" t="str">
            <v>902WA</v>
          </cell>
          <cell r="G1280" t="str">
            <v>902</v>
          </cell>
          <cell r="I1280">
            <v>799783.8703899316</v>
          </cell>
        </row>
        <row r="1281">
          <cell r="A1281" t="str">
            <v>902WYP</v>
          </cell>
          <cell r="B1281" t="str">
            <v>902</v>
          </cell>
          <cell r="D1281">
            <v>1545265.1290392573</v>
          </cell>
          <cell r="F1281" t="str">
            <v>902WYP</v>
          </cell>
          <cell r="G1281" t="str">
            <v>902</v>
          </cell>
          <cell r="I1281">
            <v>1545265.1290392573</v>
          </cell>
        </row>
        <row r="1282">
          <cell r="A1282" t="str">
            <v>902WYU</v>
          </cell>
          <cell r="B1282" t="str">
            <v>902</v>
          </cell>
          <cell r="D1282">
            <v>177460.43596665389</v>
          </cell>
          <cell r="F1282" t="str">
            <v>902WYU</v>
          </cell>
          <cell r="G1282" t="str">
            <v>902</v>
          </cell>
          <cell r="I1282">
            <v>177460.43596665389</v>
          </cell>
        </row>
        <row r="1283">
          <cell r="A1283" t="str">
            <v>903CA</v>
          </cell>
          <cell r="B1283" t="str">
            <v>903</v>
          </cell>
          <cell r="D1283">
            <v>266979.46131237078</v>
          </cell>
          <cell r="F1283" t="str">
            <v>903CA</v>
          </cell>
          <cell r="G1283" t="str">
            <v>903</v>
          </cell>
          <cell r="I1283">
            <v>266979.46131237078</v>
          </cell>
        </row>
        <row r="1284">
          <cell r="A1284" t="str">
            <v>903CN</v>
          </cell>
          <cell r="B1284" t="str">
            <v>903</v>
          </cell>
          <cell r="D1284">
            <v>45431526.242064819</v>
          </cell>
          <cell r="F1284" t="str">
            <v>903CN</v>
          </cell>
          <cell r="G1284" t="str">
            <v>903</v>
          </cell>
          <cell r="I1284">
            <v>45431526.242064819</v>
          </cell>
        </row>
        <row r="1285">
          <cell r="A1285" t="str">
            <v>903ID</v>
          </cell>
          <cell r="B1285" t="str">
            <v>903</v>
          </cell>
          <cell r="D1285">
            <v>408230.92079123075</v>
          </cell>
          <cell r="F1285" t="str">
            <v>903ID</v>
          </cell>
          <cell r="G1285" t="str">
            <v>903</v>
          </cell>
          <cell r="I1285">
            <v>408230.92079123075</v>
          </cell>
        </row>
        <row r="1286">
          <cell r="A1286" t="str">
            <v>903OR</v>
          </cell>
          <cell r="B1286" t="str">
            <v>903</v>
          </cell>
          <cell r="D1286">
            <v>2286909.0453431164</v>
          </cell>
          <cell r="F1286" t="str">
            <v>903OR</v>
          </cell>
          <cell r="G1286" t="str">
            <v>903</v>
          </cell>
          <cell r="I1286">
            <v>2286909.0453431164</v>
          </cell>
        </row>
        <row r="1287">
          <cell r="A1287" t="str">
            <v>903UT</v>
          </cell>
          <cell r="B1287" t="str">
            <v>903</v>
          </cell>
          <cell r="D1287">
            <v>3813275.966815467</v>
          </cell>
          <cell r="F1287" t="str">
            <v>903UT</v>
          </cell>
          <cell r="G1287" t="str">
            <v>903</v>
          </cell>
          <cell r="I1287">
            <v>3813275.966815467</v>
          </cell>
        </row>
        <row r="1288">
          <cell r="A1288" t="str">
            <v>903WA</v>
          </cell>
          <cell r="B1288" t="str">
            <v>903</v>
          </cell>
          <cell r="D1288">
            <v>622369.86600680638</v>
          </cell>
          <cell r="F1288" t="str">
            <v>903WA</v>
          </cell>
          <cell r="G1288" t="str">
            <v>903</v>
          </cell>
          <cell r="I1288">
            <v>622369.86600680638</v>
          </cell>
        </row>
        <row r="1289">
          <cell r="A1289" t="str">
            <v>903WYP</v>
          </cell>
          <cell r="B1289" t="str">
            <v>903</v>
          </cell>
          <cell r="D1289">
            <v>478433.18120841333</v>
          </cell>
          <cell r="F1289" t="str">
            <v>903WYP</v>
          </cell>
          <cell r="G1289" t="str">
            <v>903</v>
          </cell>
          <cell r="I1289">
            <v>478433.18120841333</v>
          </cell>
        </row>
        <row r="1290">
          <cell r="A1290" t="str">
            <v>903WYU</v>
          </cell>
          <cell r="B1290" t="str">
            <v>903</v>
          </cell>
          <cell r="D1290">
            <v>104788.74515279372</v>
          </cell>
          <cell r="F1290" t="str">
            <v>903WYU</v>
          </cell>
          <cell r="G1290" t="str">
            <v>903</v>
          </cell>
          <cell r="I1290">
            <v>104788.74515279372</v>
          </cell>
        </row>
        <row r="1291">
          <cell r="A1291" t="str">
            <v>904CA</v>
          </cell>
          <cell r="B1291" t="str">
            <v>904</v>
          </cell>
          <cell r="D1291">
            <v>567097.77836438268</v>
          </cell>
          <cell r="F1291" t="str">
            <v>904CA</v>
          </cell>
          <cell r="G1291" t="str">
            <v>904</v>
          </cell>
          <cell r="I1291">
            <v>567097.77836438268</v>
          </cell>
        </row>
        <row r="1292">
          <cell r="A1292" t="str">
            <v>904CN</v>
          </cell>
          <cell r="B1292" t="str">
            <v>904</v>
          </cell>
          <cell r="D1292">
            <v>14094.065412061889</v>
          </cell>
          <cell r="F1292" t="str">
            <v>904CN</v>
          </cell>
          <cell r="G1292" t="str">
            <v>904</v>
          </cell>
          <cell r="I1292">
            <v>14094.065412061889</v>
          </cell>
        </row>
        <row r="1293">
          <cell r="A1293" t="str">
            <v>904ID</v>
          </cell>
          <cell r="B1293" t="str">
            <v>904</v>
          </cell>
          <cell r="D1293">
            <v>430784.95039785281</v>
          </cell>
          <cell r="F1293" t="str">
            <v>904ID</v>
          </cell>
          <cell r="G1293" t="str">
            <v>904</v>
          </cell>
          <cell r="I1293">
            <v>430784.95039785281</v>
          </cell>
        </row>
        <row r="1294">
          <cell r="A1294" t="str">
            <v>904OR</v>
          </cell>
          <cell r="B1294" t="str">
            <v>904</v>
          </cell>
          <cell r="D1294">
            <v>5418664.0248215972</v>
          </cell>
          <cell r="F1294" t="str">
            <v>904OR</v>
          </cell>
          <cell r="G1294" t="str">
            <v>904</v>
          </cell>
          <cell r="I1294">
            <v>5418664.0248215972</v>
          </cell>
        </row>
        <row r="1295">
          <cell r="A1295" t="str">
            <v>904UT</v>
          </cell>
          <cell r="B1295" t="str">
            <v>904</v>
          </cell>
          <cell r="D1295">
            <v>3664418.1774614253</v>
          </cell>
          <cell r="F1295" t="str">
            <v>904UT</v>
          </cell>
          <cell r="G1295" t="str">
            <v>904</v>
          </cell>
          <cell r="I1295">
            <v>3664418.1774614253</v>
          </cell>
        </row>
        <row r="1296">
          <cell r="A1296" t="str">
            <v>904WA</v>
          </cell>
          <cell r="B1296" t="str">
            <v>904</v>
          </cell>
          <cell r="D1296">
            <v>1679873.3260751499</v>
          </cell>
          <cell r="F1296" t="str">
            <v>904WA</v>
          </cell>
          <cell r="G1296" t="str">
            <v>904</v>
          </cell>
          <cell r="I1296">
            <v>1679873.3260751499</v>
          </cell>
        </row>
        <row r="1297">
          <cell r="A1297" t="str">
            <v>904WYP</v>
          </cell>
          <cell r="B1297" t="str">
            <v>904</v>
          </cell>
          <cell r="D1297">
            <v>582465.311038838</v>
          </cell>
          <cell r="F1297" t="str">
            <v>904WYP</v>
          </cell>
          <cell r="G1297" t="str">
            <v>904</v>
          </cell>
          <cell r="I1297">
            <v>582465.311038838</v>
          </cell>
        </row>
        <row r="1298">
          <cell r="A1298" t="str">
            <v>904WYU</v>
          </cell>
          <cell r="B1298" t="str">
            <v>904</v>
          </cell>
          <cell r="D1298">
            <v>0</v>
          </cell>
          <cell r="F1298" t="str">
            <v>904WYU</v>
          </cell>
          <cell r="G1298" t="str">
            <v>904</v>
          </cell>
          <cell r="I1298">
            <v>0</v>
          </cell>
        </row>
        <row r="1299">
          <cell r="A1299" t="str">
            <v>905CN</v>
          </cell>
          <cell r="B1299" t="str">
            <v>905</v>
          </cell>
          <cell r="D1299">
            <v>110562.77701924833</v>
          </cell>
          <cell r="F1299" t="str">
            <v>905CN</v>
          </cell>
          <cell r="G1299" t="str">
            <v>905</v>
          </cell>
          <cell r="I1299">
            <v>110562.77701924833</v>
          </cell>
        </row>
        <row r="1300">
          <cell r="A1300" t="str">
            <v>905OR</v>
          </cell>
          <cell r="B1300" t="str">
            <v>905</v>
          </cell>
          <cell r="D1300">
            <v>1659.6276121960896</v>
          </cell>
          <cell r="F1300" t="str">
            <v>905OR</v>
          </cell>
          <cell r="G1300" t="str">
            <v>905</v>
          </cell>
          <cell r="I1300">
            <v>1659.6276121960896</v>
          </cell>
        </row>
        <row r="1301">
          <cell r="A1301" t="str">
            <v>907CN</v>
          </cell>
          <cell r="B1301" t="str">
            <v>907</v>
          </cell>
          <cell r="D1301">
            <v>315860.85386087594</v>
          </cell>
          <cell r="F1301" t="str">
            <v>907CN</v>
          </cell>
          <cell r="G1301" t="str">
            <v>907</v>
          </cell>
          <cell r="I1301">
            <v>315860.85386087594</v>
          </cell>
        </row>
        <row r="1302">
          <cell r="A1302" t="str">
            <v>907OR</v>
          </cell>
          <cell r="B1302" t="str">
            <v>907</v>
          </cell>
          <cell r="D1302">
            <v>0</v>
          </cell>
          <cell r="F1302" t="str">
            <v>907OR</v>
          </cell>
          <cell r="G1302" t="str">
            <v>907</v>
          </cell>
          <cell r="I1302">
            <v>0</v>
          </cell>
        </row>
        <row r="1303">
          <cell r="A1303" t="str">
            <v>908CA</v>
          </cell>
          <cell r="B1303" t="str">
            <v>908</v>
          </cell>
          <cell r="D1303">
            <v>-80681.734390354482</v>
          </cell>
          <cell r="F1303" t="str">
            <v>908CA</v>
          </cell>
          <cell r="G1303" t="str">
            <v>908</v>
          </cell>
          <cell r="I1303">
            <v>-80681.734390354482</v>
          </cell>
        </row>
        <row r="1304">
          <cell r="A1304" t="str">
            <v>908CN</v>
          </cell>
          <cell r="B1304" t="str">
            <v>908</v>
          </cell>
          <cell r="D1304">
            <v>1285241.8059084066</v>
          </cell>
          <cell r="F1304" t="str">
            <v>908CN</v>
          </cell>
          <cell r="G1304" t="str">
            <v>908</v>
          </cell>
          <cell r="I1304">
            <v>1285241.8059084066</v>
          </cell>
        </row>
        <row r="1305">
          <cell r="A1305" t="str">
            <v>908ID</v>
          </cell>
          <cell r="B1305" t="str">
            <v>908</v>
          </cell>
          <cell r="D1305">
            <v>835742.59662820073</v>
          </cell>
          <cell r="F1305" t="str">
            <v>908ID</v>
          </cell>
          <cell r="G1305" t="str">
            <v>908</v>
          </cell>
          <cell r="I1305">
            <v>835742.59662820073</v>
          </cell>
        </row>
        <row r="1306">
          <cell r="A1306" t="str">
            <v>908OR</v>
          </cell>
          <cell r="B1306" t="str">
            <v>908</v>
          </cell>
          <cell r="D1306">
            <v>2014887.5456060246</v>
          </cell>
          <cell r="F1306" t="str">
            <v>908OR</v>
          </cell>
          <cell r="G1306" t="str">
            <v>908</v>
          </cell>
          <cell r="I1306">
            <v>2014887.5456060246</v>
          </cell>
        </row>
        <row r="1307">
          <cell r="A1307" t="str">
            <v>908OTHER</v>
          </cell>
          <cell r="B1307" t="str">
            <v>908</v>
          </cell>
          <cell r="D1307">
            <v>6457299.0139375804</v>
          </cell>
          <cell r="F1307" t="str">
            <v>908OTHER</v>
          </cell>
          <cell r="G1307" t="str">
            <v>908</v>
          </cell>
          <cell r="I1307">
            <v>6457299.0139375804</v>
          </cell>
        </row>
        <row r="1308">
          <cell r="A1308" t="str">
            <v>908UT</v>
          </cell>
          <cell r="B1308" t="str">
            <v>908</v>
          </cell>
          <cell r="D1308">
            <v>2774239.5679253191</v>
          </cell>
          <cell r="F1308" t="str">
            <v>908UT</v>
          </cell>
          <cell r="G1308" t="str">
            <v>908</v>
          </cell>
          <cell r="I1308">
            <v>2774239.5679253191</v>
          </cell>
        </row>
        <row r="1309">
          <cell r="A1309" t="str">
            <v>908WA</v>
          </cell>
          <cell r="B1309" t="str">
            <v>908</v>
          </cell>
          <cell r="D1309">
            <v>581679.5427914802</v>
          </cell>
          <cell r="F1309" t="str">
            <v>908WA</v>
          </cell>
          <cell r="G1309" t="str">
            <v>908</v>
          </cell>
          <cell r="I1309">
            <v>581679.5427914802</v>
          </cell>
        </row>
        <row r="1310">
          <cell r="A1310" t="str">
            <v>908WYP</v>
          </cell>
          <cell r="B1310" t="str">
            <v>908</v>
          </cell>
          <cell r="D1310">
            <v>1245025.0185765261</v>
          </cell>
          <cell r="F1310" t="str">
            <v>908WYP</v>
          </cell>
          <cell r="G1310" t="str">
            <v>908</v>
          </cell>
          <cell r="I1310">
            <v>1245025.0185765261</v>
          </cell>
        </row>
        <row r="1311">
          <cell r="A1311" t="str">
            <v>909CA</v>
          </cell>
          <cell r="B1311" t="str">
            <v>909</v>
          </cell>
          <cell r="D1311">
            <v>81266.373085748783</v>
          </cell>
          <cell r="F1311" t="str">
            <v>909CA</v>
          </cell>
          <cell r="G1311" t="str">
            <v>909</v>
          </cell>
          <cell r="I1311">
            <v>81266.373085748783</v>
          </cell>
        </row>
        <row r="1312">
          <cell r="A1312" t="str">
            <v>909CN</v>
          </cell>
          <cell r="B1312" t="str">
            <v>909</v>
          </cell>
          <cell r="D1312">
            <v>1656080.6655051257</v>
          </cell>
          <cell r="F1312" t="str">
            <v>909CN</v>
          </cell>
          <cell r="G1312" t="str">
            <v>909</v>
          </cell>
          <cell r="I1312">
            <v>1656080.6655051257</v>
          </cell>
        </row>
        <row r="1313">
          <cell r="A1313" t="str">
            <v>909ID</v>
          </cell>
          <cell r="B1313" t="str">
            <v>909</v>
          </cell>
          <cell r="D1313">
            <v>46281.755552536226</v>
          </cell>
          <cell r="F1313" t="str">
            <v>909ID</v>
          </cell>
          <cell r="G1313" t="str">
            <v>909</v>
          </cell>
          <cell r="I1313">
            <v>46281.755552536226</v>
          </cell>
        </row>
        <row r="1314">
          <cell r="A1314" t="str">
            <v>909OR</v>
          </cell>
          <cell r="B1314" t="str">
            <v>909</v>
          </cell>
          <cell r="D1314">
            <v>428140.42041364731</v>
          </cell>
          <cell r="F1314" t="str">
            <v>909OR</v>
          </cell>
          <cell r="G1314" t="str">
            <v>909</v>
          </cell>
          <cell r="I1314">
            <v>428140.42041364731</v>
          </cell>
        </row>
        <row r="1315">
          <cell r="A1315" t="str">
            <v>909UT</v>
          </cell>
          <cell r="B1315" t="str">
            <v>909</v>
          </cell>
          <cell r="D1315">
            <v>400910.28040288907</v>
          </cell>
          <cell r="F1315" t="str">
            <v>909UT</v>
          </cell>
          <cell r="G1315" t="str">
            <v>909</v>
          </cell>
          <cell r="I1315">
            <v>400910.28040288907</v>
          </cell>
        </row>
        <row r="1316">
          <cell r="A1316" t="str">
            <v>909WA</v>
          </cell>
          <cell r="B1316" t="str">
            <v>909</v>
          </cell>
          <cell r="D1316">
            <v>73123.082448671499</v>
          </cell>
          <cell r="F1316" t="str">
            <v>909WA</v>
          </cell>
          <cell r="G1316" t="str">
            <v>909</v>
          </cell>
          <cell r="I1316">
            <v>73123.082448671499</v>
          </cell>
        </row>
        <row r="1317">
          <cell r="A1317" t="str">
            <v>909WYP</v>
          </cell>
          <cell r="B1317" t="str">
            <v>909</v>
          </cell>
          <cell r="D1317">
            <v>195743.14923913043</v>
          </cell>
          <cell r="F1317" t="str">
            <v>909WYP</v>
          </cell>
          <cell r="G1317" t="str">
            <v>909</v>
          </cell>
          <cell r="I1317">
            <v>195743.14923913043</v>
          </cell>
        </row>
        <row r="1318">
          <cell r="A1318" t="str">
            <v>909WYU</v>
          </cell>
          <cell r="B1318" t="str">
            <v>909</v>
          </cell>
          <cell r="D1318">
            <v>0</v>
          </cell>
          <cell r="F1318" t="str">
            <v>909WYU</v>
          </cell>
          <cell r="G1318" t="str">
            <v>909</v>
          </cell>
          <cell r="I1318">
            <v>0</v>
          </cell>
        </row>
        <row r="1319">
          <cell r="A1319" t="str">
            <v>910CN</v>
          </cell>
          <cell r="B1319" t="str">
            <v>910</v>
          </cell>
          <cell r="D1319">
            <v>200649.44406043028</v>
          </cell>
          <cell r="F1319" t="str">
            <v>910CN</v>
          </cell>
          <cell r="G1319" t="str">
            <v>910</v>
          </cell>
          <cell r="I1319">
            <v>200649.44406043028</v>
          </cell>
        </row>
        <row r="1320">
          <cell r="A1320" t="str">
            <v>920CA</v>
          </cell>
          <cell r="B1320" t="str">
            <v>920</v>
          </cell>
          <cell r="D1320">
            <v>-78633.584021524759</v>
          </cell>
          <cell r="F1320" t="str">
            <v>920CA</v>
          </cell>
          <cell r="G1320" t="str">
            <v>920</v>
          </cell>
          <cell r="I1320">
            <v>-78633.584021524759</v>
          </cell>
        </row>
        <row r="1321">
          <cell r="A1321" t="str">
            <v>920ID</v>
          </cell>
          <cell r="B1321" t="str">
            <v>920</v>
          </cell>
          <cell r="D1321">
            <v>-500.41919577435425</v>
          </cell>
          <cell r="F1321" t="str">
            <v>920ID</v>
          </cell>
          <cell r="G1321" t="str">
            <v>920</v>
          </cell>
          <cell r="I1321">
            <v>-500.41919577435425</v>
          </cell>
        </row>
        <row r="1322">
          <cell r="A1322" t="str">
            <v>920OR</v>
          </cell>
          <cell r="B1322" t="str">
            <v>920</v>
          </cell>
          <cell r="D1322">
            <v>-894897.314367151</v>
          </cell>
          <cell r="F1322" t="str">
            <v>920OR</v>
          </cell>
          <cell r="G1322" t="str">
            <v>920</v>
          </cell>
          <cell r="I1322">
            <v>-894897.314367151</v>
          </cell>
        </row>
        <row r="1323">
          <cell r="A1323" t="str">
            <v>920SO</v>
          </cell>
          <cell r="B1323" t="str">
            <v>920</v>
          </cell>
          <cell r="D1323">
            <v>76202080.32738325</v>
          </cell>
          <cell r="F1323" t="str">
            <v>920SO</v>
          </cell>
          <cell r="G1323" t="str">
            <v>920</v>
          </cell>
          <cell r="I1323">
            <v>76202080.32738325</v>
          </cell>
        </row>
        <row r="1324">
          <cell r="A1324" t="str">
            <v>920UT</v>
          </cell>
          <cell r="B1324" t="str">
            <v>920</v>
          </cell>
          <cell r="D1324">
            <v>559595.64666006318</v>
          </cell>
          <cell r="F1324" t="str">
            <v>920UT</v>
          </cell>
          <cell r="G1324" t="str">
            <v>920</v>
          </cell>
          <cell r="I1324">
            <v>559595.64666006318</v>
          </cell>
        </row>
        <row r="1325">
          <cell r="A1325" t="str">
            <v>920WA</v>
          </cell>
          <cell r="B1325" t="str">
            <v>920</v>
          </cell>
          <cell r="D1325">
            <v>-538384.87403337623</v>
          </cell>
          <cell r="F1325" t="str">
            <v>920WA</v>
          </cell>
          <cell r="G1325" t="str">
            <v>920</v>
          </cell>
          <cell r="I1325">
            <v>-538384.87403337623</v>
          </cell>
        </row>
        <row r="1326">
          <cell r="A1326" t="str">
            <v>920WYP</v>
          </cell>
          <cell r="B1326" t="str">
            <v>920</v>
          </cell>
          <cell r="D1326">
            <v>-435.72334173793848</v>
          </cell>
          <cell r="F1326" t="str">
            <v>920WYP</v>
          </cell>
          <cell r="G1326" t="str">
            <v>920</v>
          </cell>
          <cell r="I1326">
            <v>-435.72334173793848</v>
          </cell>
        </row>
        <row r="1327">
          <cell r="A1327" t="str">
            <v>921CA</v>
          </cell>
          <cell r="B1327" t="str">
            <v>921</v>
          </cell>
          <cell r="D1327">
            <v>3836.7570681605976</v>
          </cell>
          <cell r="F1327" t="str">
            <v>921CA</v>
          </cell>
          <cell r="G1327" t="str">
            <v>921</v>
          </cell>
          <cell r="I1327">
            <v>3836.7570681605976</v>
          </cell>
        </row>
        <row r="1328">
          <cell r="A1328" t="str">
            <v>921CN</v>
          </cell>
          <cell r="B1328" t="str">
            <v>921</v>
          </cell>
          <cell r="D1328">
            <v>204730.40155929039</v>
          </cell>
          <cell r="F1328" t="str">
            <v>921CN</v>
          </cell>
          <cell r="G1328" t="str">
            <v>921</v>
          </cell>
          <cell r="I1328">
            <v>204730.40155929039</v>
          </cell>
        </row>
        <row r="1329">
          <cell r="A1329" t="str">
            <v>921ID</v>
          </cell>
          <cell r="B1329" t="str">
            <v>921</v>
          </cell>
          <cell r="D1329">
            <v>27709.190625583567</v>
          </cell>
          <cell r="F1329" t="str">
            <v>921ID</v>
          </cell>
          <cell r="G1329" t="str">
            <v>921</v>
          </cell>
          <cell r="I1329">
            <v>27709.190625583567</v>
          </cell>
        </row>
        <row r="1330">
          <cell r="A1330" t="str">
            <v>921OR</v>
          </cell>
          <cell r="B1330" t="str">
            <v>921</v>
          </cell>
          <cell r="D1330">
            <v>48345.512511671339</v>
          </cell>
          <cell r="F1330" t="str">
            <v>921OR</v>
          </cell>
          <cell r="G1330" t="str">
            <v>921</v>
          </cell>
          <cell r="I1330">
            <v>48345.512511671339</v>
          </cell>
        </row>
        <row r="1331">
          <cell r="A1331" t="str">
            <v>921SO</v>
          </cell>
          <cell r="B1331" t="str">
            <v>921</v>
          </cell>
          <cell r="D1331">
            <v>7983949.921968814</v>
          </cell>
          <cell r="F1331" t="str">
            <v>921SO</v>
          </cell>
          <cell r="G1331" t="str">
            <v>921</v>
          </cell>
          <cell r="I1331">
            <v>7983949.921968814</v>
          </cell>
        </row>
        <row r="1332">
          <cell r="A1332" t="str">
            <v>921UT</v>
          </cell>
          <cell r="B1332" t="str">
            <v>921</v>
          </cell>
          <cell r="D1332">
            <v>125589.71179271709</v>
          </cell>
          <cell r="F1332" t="str">
            <v>921UT</v>
          </cell>
          <cell r="G1332" t="str">
            <v>921</v>
          </cell>
          <cell r="I1332">
            <v>125589.71179271709</v>
          </cell>
        </row>
        <row r="1333">
          <cell r="A1333" t="str">
            <v>921WA</v>
          </cell>
          <cell r="B1333" t="str">
            <v>921</v>
          </cell>
          <cell r="D1333">
            <v>7209.705350140056</v>
          </cell>
          <cell r="F1333" t="str">
            <v>921WA</v>
          </cell>
          <cell r="G1333" t="str">
            <v>921</v>
          </cell>
          <cell r="I1333">
            <v>7209.705350140056</v>
          </cell>
        </row>
        <row r="1334">
          <cell r="A1334" t="str">
            <v>921WYP</v>
          </cell>
          <cell r="B1334" t="str">
            <v>921</v>
          </cell>
          <cell r="D1334">
            <v>45772.214519140995</v>
          </cell>
          <cell r="F1334" t="str">
            <v>921WYP</v>
          </cell>
          <cell r="G1334" t="str">
            <v>921</v>
          </cell>
          <cell r="I1334">
            <v>45772.214519140995</v>
          </cell>
        </row>
        <row r="1335">
          <cell r="A1335" t="str">
            <v>921WYU</v>
          </cell>
          <cell r="B1335" t="str">
            <v>921</v>
          </cell>
          <cell r="D1335">
            <v>9988.2738188608782</v>
          </cell>
          <cell r="F1335" t="str">
            <v>921WYU</v>
          </cell>
          <cell r="G1335" t="str">
            <v>921</v>
          </cell>
          <cell r="I1335">
            <v>9988.2738188608782</v>
          </cell>
        </row>
        <row r="1336">
          <cell r="A1336" t="str">
            <v>922SO</v>
          </cell>
          <cell r="B1336" t="str">
            <v>922</v>
          </cell>
          <cell r="D1336">
            <v>-30060383.159261905</v>
          </cell>
          <cell r="F1336" t="str">
            <v>922SO</v>
          </cell>
          <cell r="G1336" t="str">
            <v>922</v>
          </cell>
          <cell r="I1336">
            <v>-30060383.159261905</v>
          </cell>
        </row>
        <row r="1337">
          <cell r="A1337" t="str">
            <v>923CA</v>
          </cell>
          <cell r="B1337" t="str">
            <v>923</v>
          </cell>
          <cell r="D1337">
            <v>519979.45358645177</v>
          </cell>
          <cell r="F1337" t="str">
            <v>923CA</v>
          </cell>
          <cell r="G1337" t="str">
            <v>923</v>
          </cell>
          <cell r="I1337">
            <v>519979.45358645177</v>
          </cell>
        </row>
        <row r="1338">
          <cell r="A1338" t="str">
            <v>923ID</v>
          </cell>
          <cell r="B1338" t="str">
            <v>923</v>
          </cell>
          <cell r="D1338">
            <v>103.48279704998633</v>
          </cell>
          <cell r="F1338" t="str">
            <v>923ID</v>
          </cell>
          <cell r="G1338" t="str">
            <v>923</v>
          </cell>
          <cell r="I1338">
            <v>103.48279704998633</v>
          </cell>
        </row>
        <row r="1339">
          <cell r="A1339" t="str">
            <v>923OR</v>
          </cell>
          <cell r="B1339" t="str">
            <v>923</v>
          </cell>
          <cell r="D1339">
            <v>96419.714700901386</v>
          </cell>
          <cell r="F1339" t="str">
            <v>923OR</v>
          </cell>
          <cell r="G1339" t="str">
            <v>923</v>
          </cell>
          <cell r="I1339">
            <v>96419.714700901386</v>
          </cell>
        </row>
        <row r="1340">
          <cell r="A1340" t="str">
            <v>923SO</v>
          </cell>
          <cell r="B1340" t="str">
            <v>923</v>
          </cell>
          <cell r="D1340">
            <v>14153190.972750613</v>
          </cell>
          <cell r="F1340" t="str">
            <v>923SO</v>
          </cell>
          <cell r="G1340" t="str">
            <v>923</v>
          </cell>
          <cell r="I1340">
            <v>14153190.972750613</v>
          </cell>
        </row>
        <row r="1341">
          <cell r="A1341" t="str">
            <v>923UT</v>
          </cell>
          <cell r="B1341" t="str">
            <v>923</v>
          </cell>
          <cell r="D1341">
            <v>68841.967314941256</v>
          </cell>
          <cell r="F1341" t="str">
            <v>923UT</v>
          </cell>
          <cell r="G1341" t="str">
            <v>923</v>
          </cell>
          <cell r="I1341">
            <v>68841.967314941256</v>
          </cell>
        </row>
        <row r="1342">
          <cell r="A1342" t="str">
            <v>923WA</v>
          </cell>
          <cell r="B1342" t="str">
            <v>923</v>
          </cell>
          <cell r="D1342">
            <v>16342.579770554492</v>
          </cell>
          <cell r="F1342" t="str">
            <v>923WA</v>
          </cell>
          <cell r="G1342" t="str">
            <v>923</v>
          </cell>
          <cell r="I1342">
            <v>16342.579770554492</v>
          </cell>
        </row>
        <row r="1343">
          <cell r="A1343" t="str">
            <v>923WYP</v>
          </cell>
          <cell r="B1343" t="str">
            <v>923</v>
          </cell>
          <cell r="D1343">
            <v>1797.4152963671127</v>
          </cell>
          <cell r="F1343" t="str">
            <v>923WYP</v>
          </cell>
          <cell r="G1343" t="str">
            <v>923</v>
          </cell>
          <cell r="I1343">
            <v>1797.4152963671127</v>
          </cell>
        </row>
        <row r="1344">
          <cell r="A1344" t="str">
            <v>923WYU</v>
          </cell>
          <cell r="B1344" t="str">
            <v>923</v>
          </cell>
          <cell r="D1344">
            <v>514.2892269871619</v>
          </cell>
          <cell r="F1344" t="str">
            <v>923WYU</v>
          </cell>
          <cell r="G1344" t="str">
            <v>923</v>
          </cell>
          <cell r="I1344">
            <v>514.2892269871619</v>
          </cell>
        </row>
        <row r="1345">
          <cell r="A1345" t="str">
            <v>924CA</v>
          </cell>
          <cell r="B1345" t="str">
            <v>924</v>
          </cell>
          <cell r="D1345">
            <v>0</v>
          </cell>
          <cell r="F1345" t="str">
            <v>924CA</v>
          </cell>
          <cell r="G1345" t="str">
            <v>924</v>
          </cell>
          <cell r="I1345">
            <v>0</v>
          </cell>
        </row>
        <row r="1346">
          <cell r="A1346" t="str">
            <v>924ID</v>
          </cell>
          <cell r="B1346" t="str">
            <v>924</v>
          </cell>
          <cell r="D1346">
            <v>113544</v>
          </cell>
          <cell r="F1346" t="str">
            <v>924ID</v>
          </cell>
          <cell r="G1346" t="str">
            <v>924</v>
          </cell>
          <cell r="I1346">
            <v>113544</v>
          </cell>
        </row>
        <row r="1347">
          <cell r="A1347" t="str">
            <v>924OR</v>
          </cell>
          <cell r="B1347" t="str">
            <v>924</v>
          </cell>
          <cell r="D1347">
            <v>5138990.57</v>
          </cell>
          <cell r="F1347" t="str">
            <v>924OR</v>
          </cell>
          <cell r="G1347" t="str">
            <v>924</v>
          </cell>
          <cell r="I1347">
            <v>5138990.57</v>
          </cell>
        </row>
        <row r="1348">
          <cell r="A1348" t="str">
            <v>924SO</v>
          </cell>
          <cell r="B1348" t="str">
            <v>924</v>
          </cell>
          <cell r="D1348">
            <v>6883503.7299999967</v>
          </cell>
          <cell r="F1348" t="str">
            <v>924SO</v>
          </cell>
          <cell r="G1348" t="str">
            <v>924</v>
          </cell>
          <cell r="I1348">
            <v>6883503.7299999967</v>
          </cell>
        </row>
        <row r="1349">
          <cell r="A1349" t="str">
            <v>924UT</v>
          </cell>
          <cell r="B1349" t="str">
            <v>924</v>
          </cell>
          <cell r="D1349">
            <v>2152236</v>
          </cell>
          <cell r="F1349" t="str">
            <v>924UT</v>
          </cell>
          <cell r="G1349" t="str">
            <v>924</v>
          </cell>
          <cell r="I1349">
            <v>2152236</v>
          </cell>
        </row>
        <row r="1350">
          <cell r="A1350" t="str">
            <v>924WA</v>
          </cell>
          <cell r="B1350" t="str">
            <v>924</v>
          </cell>
          <cell r="D1350">
            <v>0</v>
          </cell>
          <cell r="F1350" t="str">
            <v>924WA</v>
          </cell>
          <cell r="G1350" t="str">
            <v>924</v>
          </cell>
          <cell r="I1350">
            <v>0</v>
          </cell>
        </row>
        <row r="1351">
          <cell r="A1351" t="str">
            <v>924WYP</v>
          </cell>
          <cell r="B1351" t="str">
            <v>924</v>
          </cell>
          <cell r="D1351">
            <v>349809.96</v>
          </cell>
          <cell r="F1351" t="str">
            <v>924WYP</v>
          </cell>
          <cell r="G1351" t="str">
            <v>924</v>
          </cell>
          <cell r="I1351">
            <v>349809.96</v>
          </cell>
        </row>
        <row r="1352">
          <cell r="A1352" t="str">
            <v>925OR</v>
          </cell>
          <cell r="B1352" t="str">
            <v>925</v>
          </cell>
          <cell r="D1352">
            <v>20031.340000000084</v>
          </cell>
          <cell r="F1352" t="str">
            <v>925OR</v>
          </cell>
          <cell r="G1352" t="str">
            <v>925</v>
          </cell>
          <cell r="I1352">
            <v>20031.340000000084</v>
          </cell>
        </row>
        <row r="1353">
          <cell r="A1353" t="str">
            <v>925SO</v>
          </cell>
          <cell r="B1353" t="str">
            <v>925</v>
          </cell>
          <cell r="D1353">
            <v>7784334.9800000042</v>
          </cell>
          <cell r="F1353" t="str">
            <v>925SO</v>
          </cell>
          <cell r="G1353" t="str">
            <v>925</v>
          </cell>
          <cell r="I1353">
            <v>7784334.9800000042</v>
          </cell>
        </row>
        <row r="1354">
          <cell r="A1354" t="str">
            <v>928CA</v>
          </cell>
          <cell r="B1354" t="str">
            <v>928</v>
          </cell>
          <cell r="D1354">
            <v>284918.34652882186</v>
          </cell>
          <cell r="F1354" t="str">
            <v>928CA</v>
          </cell>
          <cell r="G1354" t="str">
            <v>928</v>
          </cell>
          <cell r="I1354">
            <v>284918.34652882186</v>
          </cell>
        </row>
        <row r="1355">
          <cell r="A1355" t="str">
            <v>928ID</v>
          </cell>
          <cell r="B1355" t="str">
            <v>928</v>
          </cell>
          <cell r="D1355">
            <v>856553.68617841601</v>
          </cell>
          <cell r="F1355" t="str">
            <v>928ID</v>
          </cell>
          <cell r="G1355" t="str">
            <v>928</v>
          </cell>
          <cell r="I1355">
            <v>856553.68617841601</v>
          </cell>
        </row>
        <row r="1356">
          <cell r="A1356" t="str">
            <v>928OR</v>
          </cell>
          <cell r="B1356" t="str">
            <v>928</v>
          </cell>
          <cell r="D1356">
            <v>4882892.8865924077</v>
          </cell>
          <cell r="F1356" t="str">
            <v>928OR</v>
          </cell>
          <cell r="G1356" t="str">
            <v>928</v>
          </cell>
          <cell r="I1356">
            <v>4882892.8865924077</v>
          </cell>
        </row>
        <row r="1357">
          <cell r="A1357" t="str">
            <v>928SG</v>
          </cell>
          <cell r="B1357" t="str">
            <v>928</v>
          </cell>
          <cell r="D1357">
            <v>5364746.6847480964</v>
          </cell>
          <cell r="F1357" t="str">
            <v>928SG</v>
          </cell>
          <cell r="G1357" t="str">
            <v>928</v>
          </cell>
          <cell r="I1357">
            <v>5364746.6847480964</v>
          </cell>
        </row>
        <row r="1358">
          <cell r="A1358" t="str">
            <v>928SO</v>
          </cell>
          <cell r="B1358" t="str">
            <v>928</v>
          </cell>
          <cell r="D1358">
            <v>1532288.493470662</v>
          </cell>
          <cell r="F1358" t="str">
            <v>928SO</v>
          </cell>
          <cell r="G1358" t="str">
            <v>928</v>
          </cell>
          <cell r="I1358">
            <v>1532288.493470662</v>
          </cell>
        </row>
        <row r="1359">
          <cell r="A1359" t="str">
            <v>928UT</v>
          </cell>
          <cell r="B1359" t="str">
            <v>928</v>
          </cell>
          <cell r="D1359">
            <v>5904852.5743628126</v>
          </cell>
          <cell r="F1359" t="str">
            <v>928UT</v>
          </cell>
          <cell r="G1359" t="str">
            <v>928</v>
          </cell>
          <cell r="I1359">
            <v>5904852.5743628126</v>
          </cell>
        </row>
        <row r="1360">
          <cell r="A1360" t="str">
            <v>928WA</v>
          </cell>
          <cell r="B1360" t="str">
            <v>928</v>
          </cell>
          <cell r="D1360">
            <v>2172391.6372590442</v>
          </cell>
          <cell r="F1360" t="str">
            <v>928WA</v>
          </cell>
          <cell r="G1360" t="str">
            <v>928</v>
          </cell>
          <cell r="I1360">
            <v>2172391.6372590442</v>
          </cell>
        </row>
        <row r="1361">
          <cell r="A1361" t="str">
            <v>928WYP</v>
          </cell>
          <cell r="B1361" t="str">
            <v>928</v>
          </cell>
          <cell r="D1361">
            <v>1715258.1202676184</v>
          </cell>
          <cell r="F1361" t="str">
            <v>928WYP</v>
          </cell>
          <cell r="G1361" t="str">
            <v>928</v>
          </cell>
          <cell r="I1361">
            <v>1715258.1202676184</v>
          </cell>
        </row>
        <row r="1362">
          <cell r="A1362" t="str">
            <v>929SO</v>
          </cell>
          <cell r="B1362" t="str">
            <v>929</v>
          </cell>
          <cell r="D1362">
            <v>-3726966.4144786168</v>
          </cell>
          <cell r="F1362" t="str">
            <v>929SO</v>
          </cell>
          <cell r="G1362" t="str">
            <v>929</v>
          </cell>
          <cell r="I1362">
            <v>-3726966.4144786168</v>
          </cell>
        </row>
        <row r="1363">
          <cell r="A1363" t="str">
            <v>929UT</v>
          </cell>
          <cell r="B1363" t="str">
            <v>929</v>
          </cell>
          <cell r="D1363">
            <v>0</v>
          </cell>
          <cell r="F1363" t="str">
            <v>929UT</v>
          </cell>
          <cell r="G1363" t="str">
            <v>929</v>
          </cell>
          <cell r="I1363">
            <v>0</v>
          </cell>
        </row>
        <row r="1364">
          <cell r="A1364" t="str">
            <v>930CA</v>
          </cell>
          <cell r="B1364" t="str">
            <v>930</v>
          </cell>
          <cell r="D1364">
            <v>260.29818628957884</v>
          </cell>
          <cell r="F1364" t="str">
            <v>930CA</v>
          </cell>
          <cell r="G1364" t="str">
            <v>930</v>
          </cell>
          <cell r="I1364">
            <v>260.29818628957884</v>
          </cell>
        </row>
        <row r="1365">
          <cell r="A1365" t="str">
            <v>930ID</v>
          </cell>
          <cell r="B1365" t="str">
            <v>930</v>
          </cell>
          <cell r="D1365">
            <v>10516.046726098984</v>
          </cell>
          <cell r="F1365" t="str">
            <v>930ID</v>
          </cell>
          <cell r="G1365" t="str">
            <v>930</v>
          </cell>
          <cell r="I1365">
            <v>10516.046726098984</v>
          </cell>
        </row>
        <row r="1366">
          <cell r="A1366" t="str">
            <v>930OR</v>
          </cell>
          <cell r="B1366" t="str">
            <v>930</v>
          </cell>
          <cell r="D1366">
            <v>80435.263141715332</v>
          </cell>
          <cell r="F1366" t="str">
            <v>930OR</v>
          </cell>
          <cell r="G1366" t="str">
            <v>930</v>
          </cell>
          <cell r="I1366">
            <v>80435.263141715332</v>
          </cell>
        </row>
        <row r="1367">
          <cell r="A1367" t="str">
            <v>930SG</v>
          </cell>
          <cell r="B1367" t="str">
            <v>930</v>
          </cell>
          <cell r="D1367">
            <v>0</v>
          </cell>
          <cell r="F1367" t="str">
            <v>930SG</v>
          </cell>
          <cell r="G1367" t="str">
            <v>930</v>
          </cell>
          <cell r="I1367">
            <v>0</v>
          </cell>
        </row>
        <row r="1368">
          <cell r="A1368" t="str">
            <v>930SO</v>
          </cell>
          <cell r="B1368" t="str">
            <v>930</v>
          </cell>
          <cell r="D1368">
            <v>7664384.4929787889</v>
          </cell>
          <cell r="F1368" t="str">
            <v>930SO</v>
          </cell>
          <cell r="G1368" t="str">
            <v>930</v>
          </cell>
          <cell r="I1368">
            <v>7664384.4929787889</v>
          </cell>
        </row>
        <row r="1369">
          <cell r="A1369" t="str">
            <v>930UT</v>
          </cell>
          <cell r="B1369" t="str">
            <v>930</v>
          </cell>
          <cell r="D1369">
            <v>48103.104826314171</v>
          </cell>
          <cell r="F1369" t="str">
            <v>930UT</v>
          </cell>
          <cell r="G1369" t="str">
            <v>930</v>
          </cell>
          <cell r="I1369">
            <v>48103.104826314171</v>
          </cell>
        </row>
        <row r="1370">
          <cell r="A1370" t="str">
            <v>930WA</v>
          </cell>
          <cell r="B1370" t="str">
            <v>930</v>
          </cell>
          <cell r="D1370">
            <v>3644.1746080541038</v>
          </cell>
          <cell r="F1370" t="str">
            <v>930WA</v>
          </cell>
          <cell r="G1370" t="str">
            <v>930</v>
          </cell>
          <cell r="I1370">
            <v>3644.1746080541038</v>
          </cell>
        </row>
        <row r="1371">
          <cell r="A1371" t="str">
            <v>930WYP</v>
          </cell>
          <cell r="B1371" t="str">
            <v>930</v>
          </cell>
          <cell r="D1371">
            <v>74789.749486627727</v>
          </cell>
          <cell r="F1371" t="str">
            <v>930WYP</v>
          </cell>
          <cell r="G1371" t="str">
            <v>930</v>
          </cell>
          <cell r="I1371">
            <v>74789.749486627727</v>
          </cell>
        </row>
        <row r="1372">
          <cell r="A1372" t="str">
            <v>930WYU</v>
          </cell>
          <cell r="B1372" t="str">
            <v>930</v>
          </cell>
          <cell r="D1372">
            <v>0</v>
          </cell>
          <cell r="F1372" t="str">
            <v>930WYU</v>
          </cell>
          <cell r="G1372" t="str">
            <v>930</v>
          </cell>
          <cell r="I1372">
            <v>0</v>
          </cell>
        </row>
        <row r="1373">
          <cell r="A1373" t="str">
            <v>931CA</v>
          </cell>
          <cell r="B1373" t="str">
            <v>931</v>
          </cell>
          <cell r="D1373">
            <v>1017.0218729096989</v>
          </cell>
          <cell r="F1373" t="str">
            <v>931CA</v>
          </cell>
          <cell r="G1373" t="str">
            <v>931</v>
          </cell>
          <cell r="I1373">
            <v>1017.0218729096989</v>
          </cell>
        </row>
        <row r="1374">
          <cell r="A1374" t="str">
            <v>931ID</v>
          </cell>
          <cell r="B1374" t="str">
            <v>931</v>
          </cell>
          <cell r="D1374">
            <v>1191.7862207357857</v>
          </cell>
          <cell r="F1374" t="str">
            <v>931ID</v>
          </cell>
          <cell r="G1374" t="str">
            <v>931</v>
          </cell>
          <cell r="I1374">
            <v>1191.7862207357857</v>
          </cell>
        </row>
        <row r="1375">
          <cell r="A1375" t="str">
            <v>931OR</v>
          </cell>
          <cell r="B1375" t="str">
            <v>931</v>
          </cell>
          <cell r="D1375">
            <v>1234907.4400668896</v>
          </cell>
          <cell r="F1375" t="str">
            <v>931OR</v>
          </cell>
          <cell r="G1375" t="str">
            <v>931</v>
          </cell>
          <cell r="I1375">
            <v>1234907.4400668896</v>
          </cell>
        </row>
        <row r="1376">
          <cell r="A1376" t="str">
            <v>931SO</v>
          </cell>
          <cell r="B1376" t="str">
            <v>931</v>
          </cell>
          <cell r="D1376">
            <v>5980365.1130434778</v>
          </cell>
          <cell r="F1376" t="str">
            <v>931SO</v>
          </cell>
          <cell r="G1376" t="str">
            <v>931</v>
          </cell>
          <cell r="I1376">
            <v>5980365.1130434778</v>
          </cell>
        </row>
        <row r="1377">
          <cell r="A1377" t="str">
            <v>931UT</v>
          </cell>
          <cell r="B1377" t="str">
            <v>931</v>
          </cell>
          <cell r="D1377">
            <v>4262.3137123745819</v>
          </cell>
          <cell r="F1377" t="str">
            <v>931UT</v>
          </cell>
          <cell r="G1377" t="str">
            <v>931</v>
          </cell>
          <cell r="I1377">
            <v>4262.3137123745819</v>
          </cell>
        </row>
        <row r="1378">
          <cell r="A1378" t="str">
            <v>931WA</v>
          </cell>
          <cell r="B1378" t="str">
            <v>931</v>
          </cell>
          <cell r="D1378">
            <v>2722.5252173913041</v>
          </cell>
          <cell r="F1378" t="str">
            <v>931WA</v>
          </cell>
          <cell r="G1378" t="str">
            <v>931</v>
          </cell>
          <cell r="I1378">
            <v>2722.5252173913041</v>
          </cell>
        </row>
        <row r="1379">
          <cell r="A1379" t="str">
            <v>931WYP</v>
          </cell>
          <cell r="B1379" t="str">
            <v>931</v>
          </cell>
          <cell r="D1379">
            <v>33159.684214046822</v>
          </cell>
          <cell r="F1379" t="str">
            <v>931WYP</v>
          </cell>
          <cell r="G1379" t="str">
            <v>931</v>
          </cell>
          <cell r="I1379">
            <v>33159.684214046822</v>
          </cell>
        </row>
        <row r="1380">
          <cell r="A1380" t="str">
            <v>935CA</v>
          </cell>
          <cell r="B1380" t="str">
            <v>935</v>
          </cell>
          <cell r="D1380">
            <v>-674.83347348953782</v>
          </cell>
          <cell r="F1380" t="str">
            <v>935CA</v>
          </cell>
          <cell r="G1380" t="str">
            <v>935</v>
          </cell>
          <cell r="I1380">
            <v>-674.83347348953782</v>
          </cell>
        </row>
        <row r="1381">
          <cell r="A1381" t="str">
            <v>935CN</v>
          </cell>
          <cell r="B1381" t="str">
            <v>935</v>
          </cell>
          <cell r="D1381">
            <v>111392.95629957644</v>
          </cell>
          <cell r="F1381" t="str">
            <v>935CN</v>
          </cell>
          <cell r="G1381" t="str">
            <v>935</v>
          </cell>
          <cell r="I1381">
            <v>111392.95629957644</v>
          </cell>
        </row>
        <row r="1382">
          <cell r="A1382" t="str">
            <v>935ID</v>
          </cell>
          <cell r="B1382" t="str">
            <v>935</v>
          </cell>
          <cell r="D1382">
            <v>7746.3166480946138</v>
          </cell>
          <cell r="F1382" t="str">
            <v>935ID</v>
          </cell>
          <cell r="G1382" t="str">
            <v>935</v>
          </cell>
          <cell r="I1382">
            <v>7746.3166480946138</v>
          </cell>
        </row>
        <row r="1383">
          <cell r="A1383" t="str">
            <v>935OR</v>
          </cell>
          <cell r="B1383" t="str">
            <v>935</v>
          </cell>
          <cell r="D1383">
            <v>36318.071571568435</v>
          </cell>
          <cell r="F1383" t="str">
            <v>935OR</v>
          </cell>
          <cell r="G1383" t="str">
            <v>935</v>
          </cell>
          <cell r="I1383">
            <v>36318.071571568435</v>
          </cell>
        </row>
        <row r="1384">
          <cell r="A1384" t="str">
            <v>935SO</v>
          </cell>
          <cell r="B1384" t="str">
            <v>935</v>
          </cell>
          <cell r="D1384">
            <v>21811379.220247295</v>
          </cell>
          <cell r="F1384" t="str">
            <v>935SO</v>
          </cell>
          <cell r="G1384" t="str">
            <v>935</v>
          </cell>
          <cell r="I1384">
            <v>21811379.220247295</v>
          </cell>
        </row>
        <row r="1385">
          <cell r="A1385" t="str">
            <v>935UT</v>
          </cell>
          <cell r="B1385" t="str">
            <v>935</v>
          </cell>
          <cell r="D1385">
            <v>60327.914528301888</v>
          </cell>
          <cell r="F1385" t="str">
            <v>935UT</v>
          </cell>
          <cell r="G1385" t="str">
            <v>935</v>
          </cell>
          <cell r="I1385">
            <v>60327.914528301888</v>
          </cell>
        </row>
        <row r="1386">
          <cell r="A1386" t="str">
            <v>935WA</v>
          </cell>
          <cell r="B1386" t="str">
            <v>935</v>
          </cell>
          <cell r="D1386">
            <v>3390.0965966178323</v>
          </cell>
          <cell r="F1386" t="str">
            <v>935WA</v>
          </cell>
          <cell r="G1386" t="str">
            <v>935</v>
          </cell>
          <cell r="I1386">
            <v>3390.0965966178323</v>
          </cell>
        </row>
        <row r="1387">
          <cell r="A1387" t="str">
            <v>935WYP</v>
          </cell>
          <cell r="B1387" t="str">
            <v>935</v>
          </cell>
          <cell r="D1387">
            <v>27998.19997689642</v>
          </cell>
          <cell r="F1387" t="str">
            <v>935WYP</v>
          </cell>
          <cell r="G1387" t="str">
            <v>935</v>
          </cell>
          <cell r="I1387">
            <v>27998.19997689642</v>
          </cell>
        </row>
        <row r="1388">
          <cell r="A1388" t="str">
            <v>935WYU</v>
          </cell>
          <cell r="B1388" t="str">
            <v>935</v>
          </cell>
          <cell r="D1388">
            <v>6937.7501546620606</v>
          </cell>
          <cell r="F1388" t="str">
            <v>935WYU</v>
          </cell>
          <cell r="G1388" t="str">
            <v>935</v>
          </cell>
          <cell r="I1388">
            <v>6937.7501546620606</v>
          </cell>
        </row>
        <row r="1389">
          <cell r="A1389" t="str">
            <v xml:space="preserve"> </v>
          </cell>
          <cell r="B1389" t="str">
            <v xml:space="preserve"> </v>
          </cell>
          <cell r="D1389">
            <v>0</v>
          </cell>
          <cell r="F1389" t="str">
            <v xml:space="preserve"> </v>
          </cell>
          <cell r="G1389" t="str">
            <v xml:space="preserve"> </v>
          </cell>
          <cell r="I1389">
            <v>0</v>
          </cell>
        </row>
        <row r="1390">
          <cell r="A1390" t="str">
            <v xml:space="preserve"> </v>
          </cell>
          <cell r="B1390" t="str">
            <v xml:space="preserve"> </v>
          </cell>
          <cell r="D1390">
            <v>0</v>
          </cell>
          <cell r="F1390" t="str">
            <v xml:space="preserve"> </v>
          </cell>
          <cell r="G1390" t="str">
            <v xml:space="preserve"> </v>
          </cell>
          <cell r="I1390">
            <v>0</v>
          </cell>
        </row>
        <row r="1391">
          <cell r="A1391" t="str">
            <v xml:space="preserve"> </v>
          </cell>
          <cell r="B1391" t="str">
            <v xml:space="preserve"> </v>
          </cell>
          <cell r="D1391">
            <v>0</v>
          </cell>
          <cell r="F1391" t="str">
            <v xml:space="preserve"> </v>
          </cell>
          <cell r="G1391" t="str">
            <v xml:space="preserve"> </v>
          </cell>
          <cell r="I1391">
            <v>0</v>
          </cell>
        </row>
        <row r="1392">
          <cell r="B1392" t="str">
            <v xml:space="preserve"> </v>
          </cell>
          <cell r="D1392">
            <v>0</v>
          </cell>
          <cell r="F1392" t="str">
            <v xml:space="preserve"> </v>
          </cell>
          <cell r="G1392" t="str">
            <v xml:space="preserve"> </v>
          </cell>
          <cell r="I1392">
            <v>0</v>
          </cell>
        </row>
        <row r="1393">
          <cell r="D1393">
            <v>0</v>
          </cell>
          <cell r="G1393" t="str">
            <v xml:space="preserve"> </v>
          </cell>
          <cell r="I1393">
            <v>0</v>
          </cell>
        </row>
        <row r="1394">
          <cell r="D1394">
            <v>0</v>
          </cell>
          <cell r="I1394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Actuals (2)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mum"/>
      <sheetName val="Exhibit RMP(JRS-5)"/>
      <sheetName val="Exhibit RMP(JRS-4)"/>
      <sheetName val="Exhibit RMP(JRS-6)Sch1"/>
      <sheetName val="Exhibit RMP(JRS-6)Sch6"/>
      <sheetName val="Exhibit RMP(JRS-6)Sch8"/>
      <sheetName val="Exhibit RMP(JRS-6)Sch9"/>
      <sheetName val="Exhibit RMP(JRS-6)Sch10"/>
      <sheetName val="Exhibit RMP(JRS-6)Sch23"/>
      <sheetName val="Exhibit RMP(JRS-8)"/>
      <sheetName val="Sch31"/>
      <sheetName val="UnitCOS"/>
      <sheetName val="Table A"/>
    </sheetNames>
    <sheetDataSet>
      <sheetData sheetId="0" refreshError="1"/>
      <sheetData sheetId="1">
        <row r="11">
          <cell r="E11">
            <v>8511800.0101599023</v>
          </cell>
        </row>
        <row r="28">
          <cell r="E28">
            <v>5992207268.7140274</v>
          </cell>
          <cell r="K28">
            <v>638957394</v>
          </cell>
        </row>
        <row r="31">
          <cell r="E31">
            <v>370465</v>
          </cell>
        </row>
        <row r="48">
          <cell r="E48">
            <v>208458910.71085531</v>
          </cell>
          <cell r="K48">
            <v>22299471</v>
          </cell>
        </row>
        <row r="51">
          <cell r="E51">
            <v>5364</v>
          </cell>
        </row>
        <row r="70">
          <cell r="E70">
            <v>3185670.6103628851</v>
          </cell>
          <cell r="K70">
            <v>338473</v>
          </cell>
        </row>
        <row r="73">
          <cell r="E73">
            <v>156864.35241617297</v>
          </cell>
        </row>
        <row r="82">
          <cell r="E82">
            <v>5783806261.2344303</v>
          </cell>
          <cell r="K82">
            <v>486920877</v>
          </cell>
        </row>
        <row r="121">
          <cell r="E121">
            <v>438</v>
          </cell>
        </row>
        <row r="130">
          <cell r="E130">
            <v>3907497</v>
          </cell>
          <cell r="K130">
            <v>340609</v>
          </cell>
        </row>
        <row r="157">
          <cell r="E157">
            <v>27307</v>
          </cell>
        </row>
        <row r="166">
          <cell r="E166">
            <v>292031099.85016567</v>
          </cell>
          <cell r="K166">
            <v>33689551</v>
          </cell>
        </row>
        <row r="241">
          <cell r="E241">
            <v>8046</v>
          </cell>
        </row>
        <row r="242">
          <cell r="E242">
            <v>12440930.563737754</v>
          </cell>
          <cell r="K242">
            <v>2999060</v>
          </cell>
        </row>
        <row r="405">
          <cell r="E405">
            <v>3282</v>
          </cell>
        </row>
        <row r="414">
          <cell r="E414">
            <v>2187047325.5884075</v>
          </cell>
          <cell r="K414">
            <v>162435073</v>
          </cell>
        </row>
        <row r="441">
          <cell r="E441">
            <v>1791</v>
          </cell>
        </row>
        <row r="449">
          <cell r="E449">
            <v>5027435540.7653065</v>
          </cell>
          <cell r="K449">
            <v>271735008</v>
          </cell>
        </row>
        <row r="485">
          <cell r="E485">
            <v>108</v>
          </cell>
        </row>
        <row r="490">
          <cell r="E490">
            <v>42590781.425473027</v>
          </cell>
          <cell r="K490">
            <v>3139413</v>
          </cell>
        </row>
        <row r="509">
          <cell r="E509">
            <v>6</v>
          </cell>
        </row>
        <row r="510">
          <cell r="E510">
            <v>2778.3333333333335</v>
          </cell>
        </row>
        <row r="522">
          <cell r="E522">
            <v>173133392</v>
          </cell>
          <cell r="K522">
            <v>12709311</v>
          </cell>
        </row>
        <row r="525">
          <cell r="E525">
            <v>5</v>
          </cell>
        </row>
        <row r="526">
          <cell r="E526">
            <v>256</v>
          </cell>
        </row>
        <row r="538">
          <cell r="E538">
            <v>16756608</v>
          </cell>
          <cell r="K538">
            <v>1239485</v>
          </cell>
        </row>
        <row r="588">
          <cell r="E588">
            <v>809.41666666666663</v>
          </cell>
        </row>
        <row r="590">
          <cell r="E590">
            <v>16496197.391013095</v>
          </cell>
          <cell r="K590">
            <v>4979390</v>
          </cell>
        </row>
        <row r="671">
          <cell r="E671">
            <v>839</v>
          </cell>
        </row>
        <row r="673">
          <cell r="E673">
            <v>56516774.129293256</v>
          </cell>
          <cell r="K673">
            <v>4144867</v>
          </cell>
        </row>
        <row r="679">
          <cell r="E679">
            <v>6182</v>
          </cell>
        </row>
        <row r="682">
          <cell r="E682">
            <v>17536444.611929484</v>
          </cell>
          <cell r="K682">
            <v>1234602</v>
          </cell>
        </row>
        <row r="712">
          <cell r="E712">
            <v>29596</v>
          </cell>
        </row>
        <row r="715">
          <cell r="E715">
            <v>6177947.158763391</v>
          </cell>
          <cell r="K715">
            <v>682028</v>
          </cell>
        </row>
        <row r="737">
          <cell r="E737">
            <v>36</v>
          </cell>
        </row>
        <row r="744">
          <cell r="E744">
            <v>24</v>
          </cell>
        </row>
        <row r="750">
          <cell r="E750">
            <v>4048700.3377015879</v>
          </cell>
          <cell r="K750">
            <v>453785</v>
          </cell>
        </row>
        <row r="753">
          <cell r="E753">
            <v>992017.98512850888</v>
          </cell>
        </row>
        <row r="763">
          <cell r="E763">
            <v>1390888210.7534347</v>
          </cell>
          <cell r="K763">
            <v>137738937</v>
          </cell>
        </row>
        <row r="806">
          <cell r="E806">
            <v>0</v>
          </cell>
        </row>
        <row r="819">
          <cell r="E819">
            <v>24</v>
          </cell>
        </row>
        <row r="832">
          <cell r="E832">
            <v>24</v>
          </cell>
        </row>
        <row r="863">
          <cell r="E863">
            <v>56282445.025115147</v>
          </cell>
          <cell r="K863">
            <v>4219468</v>
          </cell>
        </row>
        <row r="1049">
          <cell r="E1049">
            <v>12</v>
          </cell>
        </row>
        <row r="1053">
          <cell r="E1053">
            <v>535721170</v>
          </cell>
          <cell r="K1053">
            <v>27176952</v>
          </cell>
        </row>
        <row r="1056">
          <cell r="E1056">
            <v>12</v>
          </cell>
        </row>
        <row r="1058">
          <cell r="E1058">
            <v>795798675.78575754</v>
          </cell>
          <cell r="K1058">
            <v>35062890</v>
          </cell>
        </row>
        <row r="1061">
          <cell r="E1061">
            <v>12</v>
          </cell>
        </row>
        <row r="1080">
          <cell r="E1080">
            <v>621809333.25</v>
          </cell>
          <cell r="K1080">
            <v>28644835</v>
          </cell>
        </row>
        <row r="1087">
          <cell r="E1087">
            <v>5</v>
          </cell>
        </row>
        <row r="1089">
          <cell r="E1089">
            <v>7736.6128294616919</v>
          </cell>
          <cell r="K1089">
            <v>583</v>
          </cell>
        </row>
        <row r="1110">
          <cell r="K1110">
            <v>33040.269999999997</v>
          </cell>
        </row>
        <row r="1111">
          <cell r="K1111">
            <v>2726577.8500000006</v>
          </cell>
        </row>
        <row r="1112">
          <cell r="K1112">
            <v>-5447.4699999999866</v>
          </cell>
        </row>
        <row r="1113">
          <cell r="K1113">
            <v>206563.33000000002</v>
          </cell>
        </row>
        <row r="1114">
          <cell r="K1114">
            <v>4661.6400000000003</v>
          </cell>
        </row>
        <row r="1115">
          <cell r="K1115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6">
          <cell r="C6" t="str">
            <v>12 Months Ended Jun 2012</v>
          </cell>
        </row>
        <row r="10">
          <cell r="D10">
            <v>0.5</v>
          </cell>
        </row>
        <row r="11">
          <cell r="W11">
            <v>3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Mo Wgt Fac</v>
          </cell>
        </row>
      </sheetData>
      <sheetData sheetId="18" refreshError="1">
        <row r="4">
          <cell r="I4">
            <v>0.74155389074644962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64">
          <cell r="H264">
            <v>10911620.343994766</v>
          </cell>
        </row>
        <row r="273">
          <cell r="H273">
            <v>0</v>
          </cell>
          <cell r="AB273">
            <v>0</v>
          </cell>
        </row>
        <row r="274">
          <cell r="AB274">
            <v>0</v>
          </cell>
        </row>
        <row r="280">
          <cell r="AB280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9">
          <cell r="AB289">
            <v>0</v>
          </cell>
        </row>
        <row r="290">
          <cell r="AB290">
            <v>241043.67823844633</v>
          </cell>
        </row>
        <row r="291">
          <cell r="H291">
            <v>3577623.4299999997</v>
          </cell>
          <cell r="AB291">
            <v>114961.64623925314</v>
          </cell>
        </row>
        <row r="297">
          <cell r="H297">
            <v>2935273.83</v>
          </cell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2">
          <cell r="H302">
            <v>3890290.93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9">
          <cell r="AB309">
            <v>0</v>
          </cell>
        </row>
        <row r="312">
          <cell r="H312">
            <v>3182622.92</v>
          </cell>
          <cell r="AB312">
            <v>116597.57917836553</v>
          </cell>
        </row>
        <row r="313">
          <cell r="AB313">
            <v>0</v>
          </cell>
        </row>
        <row r="314">
          <cell r="AB314">
            <v>14809.566820082549</v>
          </cell>
        </row>
        <row r="315">
          <cell r="AB315">
            <v>131407.14599844808</v>
          </cell>
        </row>
        <row r="318">
          <cell r="H318">
            <v>-60653.539999999106</v>
          </cell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3">
          <cell r="AB323">
            <v>0</v>
          </cell>
        </row>
        <row r="355">
          <cell r="AB355">
            <v>0</v>
          </cell>
        </row>
        <row r="360">
          <cell r="AB360">
            <v>0</v>
          </cell>
        </row>
        <row r="364">
          <cell r="AB364">
            <v>0</v>
          </cell>
        </row>
        <row r="367">
          <cell r="AB367">
            <v>0</v>
          </cell>
        </row>
        <row r="371">
          <cell r="AB371">
            <v>0</v>
          </cell>
        </row>
        <row r="380">
          <cell r="AB380">
            <v>-43135.714868065479</v>
          </cell>
        </row>
        <row r="387">
          <cell r="AB387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405">
          <cell r="AB405">
            <v>0</v>
          </cell>
        </row>
        <row r="406">
          <cell r="AB406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1">
          <cell r="AB411">
            <v>0</v>
          </cell>
        </row>
        <row r="412">
          <cell r="AB412">
            <v>0</v>
          </cell>
        </row>
        <row r="413">
          <cell r="AB413">
            <v>0</v>
          </cell>
        </row>
        <row r="414">
          <cell r="AB414">
            <v>0</v>
          </cell>
        </row>
        <row r="417">
          <cell r="AB417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2">
          <cell r="AB422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7">
          <cell r="AB427">
            <v>0</v>
          </cell>
        </row>
        <row r="428">
          <cell r="AB428">
            <v>0</v>
          </cell>
        </row>
        <row r="429">
          <cell r="AB429">
            <v>0</v>
          </cell>
        </row>
        <row r="432">
          <cell r="AB432">
            <v>0</v>
          </cell>
        </row>
        <row r="433">
          <cell r="AB433">
            <v>0</v>
          </cell>
        </row>
        <row r="434">
          <cell r="AB434">
            <v>0</v>
          </cell>
        </row>
        <row r="435">
          <cell r="AB435">
            <v>0</v>
          </cell>
        </row>
        <row r="443">
          <cell r="AB443">
            <v>0</v>
          </cell>
        </row>
        <row r="444">
          <cell r="AB444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3">
          <cell r="AB453">
            <v>0</v>
          </cell>
        </row>
        <row r="454">
          <cell r="AB454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3">
          <cell r="AB463">
            <v>0</v>
          </cell>
        </row>
        <row r="464">
          <cell r="AB464">
            <v>0</v>
          </cell>
        </row>
        <row r="468">
          <cell r="AB468">
            <v>0</v>
          </cell>
        </row>
        <row r="469">
          <cell r="AB469">
            <v>0</v>
          </cell>
        </row>
        <row r="478">
          <cell r="AB478">
            <v>0</v>
          </cell>
        </row>
        <row r="482">
          <cell r="AB482">
            <v>0</v>
          </cell>
        </row>
        <row r="487">
          <cell r="AB487">
            <v>0</v>
          </cell>
        </row>
        <row r="491">
          <cell r="AB491">
            <v>0</v>
          </cell>
        </row>
        <row r="495">
          <cell r="AB495">
            <v>0</v>
          </cell>
        </row>
        <row r="499">
          <cell r="AB499">
            <v>0</v>
          </cell>
        </row>
        <row r="503">
          <cell r="AB503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43">
          <cell r="AB543">
            <v>0</v>
          </cell>
        </row>
        <row r="547">
          <cell r="AB547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7">
          <cell r="AB567">
            <v>0</v>
          </cell>
        </row>
        <row r="571">
          <cell r="AB571">
            <v>0</v>
          </cell>
        </row>
        <row r="584">
          <cell r="AB584">
            <v>0</v>
          </cell>
        </row>
        <row r="587">
          <cell r="AB587">
            <v>0</v>
          </cell>
        </row>
        <row r="588">
          <cell r="AB588">
            <v>0</v>
          </cell>
        </row>
        <row r="593">
          <cell r="AB593">
            <v>0</v>
          </cell>
        </row>
        <row r="594">
          <cell r="AB594">
            <v>0</v>
          </cell>
        </row>
        <row r="599">
          <cell r="AB599">
            <v>0</v>
          </cell>
        </row>
        <row r="609">
          <cell r="AB609">
            <v>0</v>
          </cell>
        </row>
        <row r="610">
          <cell r="AB610">
            <v>0</v>
          </cell>
        </row>
        <row r="614">
          <cell r="AB614">
            <v>0</v>
          </cell>
        </row>
        <row r="619">
          <cell r="AB619">
            <v>0</v>
          </cell>
        </row>
        <row r="624">
          <cell r="AB624">
            <v>0</v>
          </cell>
        </row>
        <row r="625">
          <cell r="AB625">
            <v>0</v>
          </cell>
        </row>
        <row r="629">
          <cell r="AB629">
            <v>0</v>
          </cell>
        </row>
        <row r="630">
          <cell r="AB630">
            <v>0</v>
          </cell>
        </row>
        <row r="641">
          <cell r="AB641">
            <v>0</v>
          </cell>
        </row>
        <row r="642">
          <cell r="AB642">
            <v>0</v>
          </cell>
        </row>
        <row r="643">
          <cell r="AB643">
            <v>0</v>
          </cell>
        </row>
        <row r="644">
          <cell r="AB644">
            <v>0</v>
          </cell>
        </row>
        <row r="645">
          <cell r="AB645">
            <v>0</v>
          </cell>
        </row>
        <row r="650">
          <cell r="AB650">
            <v>0</v>
          </cell>
        </row>
        <row r="657">
          <cell r="AB657">
            <v>0</v>
          </cell>
        </row>
        <row r="659">
          <cell r="AB659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682">
          <cell r="AB682">
            <v>0</v>
          </cell>
        </row>
        <row r="686">
          <cell r="AB686">
            <v>0</v>
          </cell>
        </row>
        <row r="690">
          <cell r="AB690">
            <v>0</v>
          </cell>
        </row>
        <row r="694">
          <cell r="AB694">
            <v>0</v>
          </cell>
        </row>
        <row r="698">
          <cell r="AB698">
            <v>0</v>
          </cell>
        </row>
        <row r="702">
          <cell r="AB702">
            <v>0</v>
          </cell>
        </row>
        <row r="703">
          <cell r="AB703">
            <v>0</v>
          </cell>
        </row>
        <row r="707">
          <cell r="AB707">
            <v>0</v>
          </cell>
        </row>
        <row r="711">
          <cell r="AB711">
            <v>0</v>
          </cell>
        </row>
        <row r="715">
          <cell r="AB715">
            <v>0</v>
          </cell>
        </row>
        <row r="719">
          <cell r="AB719">
            <v>0</v>
          </cell>
        </row>
        <row r="723">
          <cell r="AB723">
            <v>0</v>
          </cell>
        </row>
        <row r="727">
          <cell r="AB727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8">
          <cell r="H748">
            <v>9034335.1104840785</v>
          </cell>
          <cell r="AB748">
            <v>330979.07915794029</v>
          </cell>
        </row>
        <row r="753">
          <cell r="H753">
            <v>6827623.173287319</v>
          </cell>
          <cell r="AB753">
            <v>0</v>
          </cell>
        </row>
        <row r="758">
          <cell r="H758">
            <v>1911902.8294529617</v>
          </cell>
          <cell r="AB758">
            <v>0</v>
          </cell>
        </row>
        <row r="763">
          <cell r="H763">
            <v>1616348.0755915414</v>
          </cell>
          <cell r="AB763">
            <v>0</v>
          </cell>
        </row>
        <row r="768">
          <cell r="H768">
            <v>49.504394141145141</v>
          </cell>
          <cell r="AB768">
            <v>0</v>
          </cell>
        </row>
        <row r="773">
          <cell r="H773">
            <v>104250.16590039269</v>
          </cell>
          <cell r="AB773">
            <v>104250.16590039269</v>
          </cell>
        </row>
        <row r="778">
          <cell r="H778">
            <v>1968077.1591296275</v>
          </cell>
          <cell r="AB778">
            <v>1968077.1591296275</v>
          </cell>
        </row>
        <row r="783">
          <cell r="H783">
            <v>5506349.2060341947</v>
          </cell>
          <cell r="AB783">
            <v>0</v>
          </cell>
        </row>
        <row r="788">
          <cell r="H788">
            <v>3597851.0312700737</v>
          </cell>
          <cell r="AB788">
            <v>0</v>
          </cell>
        </row>
        <row r="793">
          <cell r="H793">
            <v>559226.23933255568</v>
          </cell>
          <cell r="AB793">
            <v>0</v>
          </cell>
        </row>
        <row r="798">
          <cell r="H798">
            <v>3241717.7722080662</v>
          </cell>
          <cell r="AB798">
            <v>118762.55972509139</v>
          </cell>
        </row>
        <row r="803">
          <cell r="H803">
            <v>760677.68611824024</v>
          </cell>
          <cell r="AB803">
            <v>0</v>
          </cell>
        </row>
        <row r="808">
          <cell r="H808">
            <v>4778049.5305086197</v>
          </cell>
          <cell r="AB808">
            <v>0</v>
          </cell>
        </row>
        <row r="813">
          <cell r="H813">
            <v>38917701.291922048</v>
          </cell>
          <cell r="AB813">
            <v>0</v>
          </cell>
        </row>
        <row r="818">
          <cell r="H818">
            <v>12708363.178767273</v>
          </cell>
          <cell r="AB818">
            <v>0</v>
          </cell>
        </row>
        <row r="823">
          <cell r="H823">
            <v>494541.03724424943</v>
          </cell>
          <cell r="AB823">
            <v>0</v>
          </cell>
        </row>
        <row r="833">
          <cell r="H833">
            <v>2281006.8170035193</v>
          </cell>
          <cell r="AB833">
            <v>0</v>
          </cell>
        </row>
        <row r="838">
          <cell r="H838">
            <v>2760377.9114741907</v>
          </cell>
          <cell r="AB838">
            <v>2760377.9114741907</v>
          </cell>
        </row>
        <row r="843">
          <cell r="H843">
            <v>1486844.1560219452</v>
          </cell>
          <cell r="AB843">
            <v>0</v>
          </cell>
        </row>
        <row r="855">
          <cell r="AB855">
            <v>0</v>
          </cell>
        </row>
        <row r="860">
          <cell r="AB860">
            <v>0</v>
          </cell>
        </row>
        <row r="865">
          <cell r="AB865">
            <v>0</v>
          </cell>
        </row>
        <row r="871">
          <cell r="AB871">
            <v>0</v>
          </cell>
        </row>
        <row r="876">
          <cell r="AB876">
            <v>0</v>
          </cell>
        </row>
        <row r="890">
          <cell r="AB890">
            <v>0</v>
          </cell>
        </row>
        <row r="895">
          <cell r="AB895">
            <v>0</v>
          </cell>
        </row>
        <row r="900">
          <cell r="AB900">
            <v>0</v>
          </cell>
        </row>
        <row r="905">
          <cell r="AB905">
            <v>0</v>
          </cell>
        </row>
        <row r="916">
          <cell r="AB916">
            <v>0</v>
          </cell>
        </row>
        <row r="921">
          <cell r="AB921">
            <v>0</v>
          </cell>
        </row>
        <row r="926">
          <cell r="AB926">
            <v>0</v>
          </cell>
        </row>
        <row r="931">
          <cell r="AB931">
            <v>0</v>
          </cell>
        </row>
        <row r="940">
          <cell r="AB940">
            <v>0</v>
          </cell>
        </row>
        <row r="942">
          <cell r="AB942">
            <v>320126.54926868004</v>
          </cell>
        </row>
        <row r="946">
          <cell r="AB946">
            <v>0</v>
          </cell>
        </row>
        <row r="948">
          <cell r="AB948">
            <v>-84964.595736086674</v>
          </cell>
        </row>
        <row r="952">
          <cell r="AB952">
            <v>0</v>
          </cell>
        </row>
        <row r="954">
          <cell r="AB954">
            <v>51119.30630128437</v>
          </cell>
        </row>
        <row r="958">
          <cell r="AB958">
            <v>0</v>
          </cell>
        </row>
        <row r="959">
          <cell r="AB959">
            <v>57336.339925998895</v>
          </cell>
        </row>
        <row r="963">
          <cell r="AB963">
            <v>40583.821637839552</v>
          </cell>
        </row>
        <row r="969">
          <cell r="AB969">
            <v>0</v>
          </cell>
        </row>
        <row r="974">
          <cell r="AB974">
            <v>0</v>
          </cell>
        </row>
        <row r="981">
          <cell r="AB981">
            <v>0</v>
          </cell>
        </row>
        <row r="983">
          <cell r="H983">
            <v>0</v>
          </cell>
          <cell r="AB983">
            <v>0</v>
          </cell>
        </row>
        <row r="988">
          <cell r="AB988">
            <v>-46760.715808708104</v>
          </cell>
        </row>
        <row r="991">
          <cell r="AB991">
            <v>15642.613310406578</v>
          </cell>
        </row>
        <row r="992">
          <cell r="AB992">
            <v>0</v>
          </cell>
        </row>
        <row r="993">
          <cell r="AB993">
            <v>149468.26384999367</v>
          </cell>
        </row>
        <row r="999">
          <cell r="AB999">
            <v>23753.677211923161</v>
          </cell>
        </row>
        <row r="1005">
          <cell r="AB1005">
            <v>157378.40036011403</v>
          </cell>
        </row>
        <row r="1016">
          <cell r="AB1016">
            <v>0</v>
          </cell>
        </row>
        <row r="1017">
          <cell r="AB1017">
            <v>0</v>
          </cell>
        </row>
        <row r="1018">
          <cell r="AB1018">
            <v>0</v>
          </cell>
        </row>
        <row r="1019">
          <cell r="AB1019">
            <v>0</v>
          </cell>
        </row>
        <row r="1024">
          <cell r="AB1024">
            <v>0</v>
          </cell>
        </row>
        <row r="1029">
          <cell r="AB1029">
            <v>0</v>
          </cell>
        </row>
        <row r="1034">
          <cell r="AB1034">
            <v>0</v>
          </cell>
        </row>
        <row r="1035">
          <cell r="AB1035">
            <v>0</v>
          </cell>
        </row>
        <row r="1036">
          <cell r="AB1036">
            <v>0</v>
          </cell>
        </row>
        <row r="1042">
          <cell r="AB1042">
            <v>0</v>
          </cell>
        </row>
        <row r="1045">
          <cell r="AB1045">
            <v>0</v>
          </cell>
        </row>
        <row r="1046">
          <cell r="AB1046">
            <v>0</v>
          </cell>
        </row>
        <row r="1047">
          <cell r="AB1047">
            <v>0</v>
          </cell>
        </row>
        <row r="1048">
          <cell r="AB1048">
            <v>0</v>
          </cell>
        </row>
        <row r="1049">
          <cell r="AB1049">
            <v>0</v>
          </cell>
        </row>
        <row r="1050">
          <cell r="AB1050">
            <v>0</v>
          </cell>
        </row>
        <row r="1051">
          <cell r="AB1051">
            <v>0</v>
          </cell>
        </row>
        <row r="1052">
          <cell r="AB1052">
            <v>0</v>
          </cell>
        </row>
        <row r="1053">
          <cell r="AB1053">
            <v>0</v>
          </cell>
        </row>
        <row r="1054">
          <cell r="AB1054">
            <v>2736928.3052617074</v>
          </cell>
        </row>
        <row r="1055">
          <cell r="AB1055">
            <v>0</v>
          </cell>
        </row>
        <row r="1056">
          <cell r="AB1056">
            <v>0</v>
          </cell>
        </row>
        <row r="1057">
          <cell r="AB1057">
            <v>0</v>
          </cell>
        </row>
        <row r="1061">
          <cell r="AB1061">
            <v>101840.53099260862</v>
          </cell>
        </row>
        <row r="1062">
          <cell r="AB1062">
            <v>0</v>
          </cell>
        </row>
        <row r="1063">
          <cell r="AB1063">
            <v>0</v>
          </cell>
        </row>
        <row r="1064">
          <cell r="AB1064">
            <v>0</v>
          </cell>
        </row>
        <row r="1065">
          <cell r="AB1065">
            <v>0</v>
          </cell>
        </row>
        <row r="1066">
          <cell r="AB1066">
            <v>0</v>
          </cell>
        </row>
        <row r="1067">
          <cell r="AB1067">
            <v>57914.307696588898</v>
          </cell>
        </row>
        <row r="1068">
          <cell r="AB1068">
            <v>0</v>
          </cell>
        </row>
        <row r="1069">
          <cell r="AB1069">
            <v>0</v>
          </cell>
        </row>
        <row r="1070">
          <cell r="AB1070">
            <v>0</v>
          </cell>
        </row>
        <row r="1075">
          <cell r="AB1075">
            <v>0</v>
          </cell>
        </row>
        <row r="1079">
          <cell r="AB1079">
            <v>0</v>
          </cell>
        </row>
        <row r="1084">
          <cell r="AB1084">
            <v>0</v>
          </cell>
        </row>
        <row r="1095">
          <cell r="AB1095">
            <v>4747.5458265600755</v>
          </cell>
        </row>
        <row r="1097">
          <cell r="AB1097">
            <v>0</v>
          </cell>
        </row>
        <row r="1099">
          <cell r="AB1099">
            <v>4761.8336166948075</v>
          </cell>
        </row>
        <row r="1104">
          <cell r="AB1104">
            <v>0</v>
          </cell>
        </row>
        <row r="1107">
          <cell r="AB1107">
            <v>259.16640272207434</v>
          </cell>
        </row>
        <row r="1108">
          <cell r="AB1108">
            <v>0</v>
          </cell>
        </row>
        <row r="1109">
          <cell r="AB1109">
            <v>0</v>
          </cell>
        </row>
        <row r="1110">
          <cell r="AB1110">
            <v>78838.316022503132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0</v>
          </cell>
        </row>
        <row r="1114">
          <cell r="AB1114">
            <v>0</v>
          </cell>
        </row>
        <row r="1115">
          <cell r="AB1115">
            <v>0</v>
          </cell>
        </row>
        <row r="1120">
          <cell r="AB1120">
            <v>0</v>
          </cell>
        </row>
        <row r="1126">
          <cell r="AB1126">
            <v>0</v>
          </cell>
        </row>
        <row r="1134">
          <cell r="AB1134">
            <v>0</v>
          </cell>
        </row>
        <row r="1142">
          <cell r="AB1142">
            <v>0</v>
          </cell>
        </row>
        <row r="1151">
          <cell r="AB1151">
            <v>0</v>
          </cell>
        </row>
        <row r="1162">
          <cell r="AB1162">
            <v>0</v>
          </cell>
        </row>
        <row r="1170">
          <cell r="AB1170">
            <v>546414.08506271814</v>
          </cell>
        </row>
        <row r="1181">
          <cell r="AB1181">
            <v>-15515.016818158245</v>
          </cell>
        </row>
        <row r="1186">
          <cell r="AB1186">
            <v>0</v>
          </cell>
        </row>
        <row r="1223">
          <cell r="AB1223">
            <v>-180055.71154094639</v>
          </cell>
        </row>
        <row r="1248">
          <cell r="AB1248">
            <v>2382976.3439226565</v>
          </cell>
        </row>
        <row r="1263">
          <cell r="AB1263">
            <v>0</v>
          </cell>
        </row>
        <row r="1282">
          <cell r="AB1282">
            <v>-1579965.9680125797</v>
          </cell>
        </row>
        <row r="1297">
          <cell r="AB1297">
            <v>0</v>
          </cell>
        </row>
        <row r="1302">
          <cell r="AB1302">
            <v>0</v>
          </cell>
        </row>
        <row r="1303">
          <cell r="AB1303">
            <v>0</v>
          </cell>
        </row>
        <row r="1304">
          <cell r="AB1304">
            <v>0</v>
          </cell>
        </row>
        <row r="1305">
          <cell r="AB1305">
            <v>0</v>
          </cell>
        </row>
        <row r="1306">
          <cell r="AB1306">
            <v>0</v>
          </cell>
        </row>
        <row r="1307">
          <cell r="AB1307">
            <v>0</v>
          </cell>
        </row>
        <row r="1311">
          <cell r="AB1311">
            <v>0</v>
          </cell>
        </row>
        <row r="1312">
          <cell r="AB1312">
            <v>0</v>
          </cell>
        </row>
        <row r="1313">
          <cell r="AB1313">
            <v>0</v>
          </cell>
        </row>
        <row r="1314">
          <cell r="AB1314">
            <v>92761.03722545864</v>
          </cell>
        </row>
        <row r="1315">
          <cell r="AB1315">
            <v>0</v>
          </cell>
        </row>
        <row r="1316">
          <cell r="AB1316">
            <v>-1239.72733780155</v>
          </cell>
        </row>
        <row r="1320">
          <cell r="AB1320">
            <v>2404.104417848755</v>
          </cell>
        </row>
        <row r="1321">
          <cell r="AB1321">
            <v>0</v>
          </cell>
        </row>
        <row r="1322">
          <cell r="AB1322">
            <v>1182928.2815038655</v>
          </cell>
        </row>
        <row r="1323">
          <cell r="AB1323">
            <v>489519.39390886907</v>
          </cell>
        </row>
        <row r="1324">
          <cell r="AB1324">
            <v>0</v>
          </cell>
        </row>
        <row r="1325">
          <cell r="AB1325">
            <v>0</v>
          </cell>
        </row>
        <row r="1326">
          <cell r="AB1326">
            <v>0</v>
          </cell>
        </row>
        <row r="1327">
          <cell r="AB1327">
            <v>0</v>
          </cell>
        </row>
        <row r="1328">
          <cell r="AB1328">
            <v>0</v>
          </cell>
        </row>
        <row r="1329">
          <cell r="AB1329">
            <v>96277.421264647564</v>
          </cell>
        </row>
        <row r="1330">
          <cell r="AB1330">
            <v>0</v>
          </cell>
        </row>
        <row r="1331">
          <cell r="AB1331">
            <v>0</v>
          </cell>
        </row>
        <row r="1332">
          <cell r="AB1332">
            <v>0</v>
          </cell>
        </row>
        <row r="1333">
          <cell r="AB1333">
            <v>3126038.4599523568</v>
          </cell>
        </row>
        <row r="1339">
          <cell r="AB1339">
            <v>0</v>
          </cell>
        </row>
        <row r="1340">
          <cell r="AB1340">
            <v>0</v>
          </cell>
        </row>
        <row r="1341">
          <cell r="AB1341">
            <v>0</v>
          </cell>
        </row>
        <row r="1344">
          <cell r="AB1344">
            <v>0</v>
          </cell>
        </row>
        <row r="1345">
          <cell r="AB1345">
            <v>0</v>
          </cell>
        </row>
        <row r="1346">
          <cell r="AB1346">
            <v>3205.8019896304322</v>
          </cell>
        </row>
        <row r="1347">
          <cell r="AB1347">
            <v>0</v>
          </cell>
        </row>
        <row r="1348">
          <cell r="AB1348">
            <v>0</v>
          </cell>
        </row>
        <row r="1349">
          <cell r="AB1349">
            <v>87892.998035928351</v>
          </cell>
        </row>
        <row r="1353">
          <cell r="AB1353">
            <v>48201.91943210701</v>
          </cell>
        </row>
        <row r="1354">
          <cell r="AB1354">
            <v>0</v>
          </cell>
        </row>
        <row r="1355">
          <cell r="AB1355">
            <v>574745.18040971807</v>
          </cell>
        </row>
        <row r="1356">
          <cell r="AB1356">
            <v>0</v>
          </cell>
        </row>
        <row r="1357">
          <cell r="AB1357">
            <v>0</v>
          </cell>
        </row>
        <row r="1358">
          <cell r="AB1358">
            <v>0</v>
          </cell>
        </row>
        <row r="1359">
          <cell r="AB1359">
            <v>0</v>
          </cell>
        </row>
        <row r="1360">
          <cell r="AB1360">
            <v>2310.6571155258148</v>
          </cell>
        </row>
        <row r="1361">
          <cell r="AB1361">
            <v>194966.73276667667</v>
          </cell>
        </row>
        <row r="1362">
          <cell r="AB1362">
            <v>15927.448036904676</v>
          </cell>
        </row>
        <row r="1363">
          <cell r="AB1363">
            <v>10890878.152360747</v>
          </cell>
        </row>
        <row r="1364">
          <cell r="AB1364">
            <v>0</v>
          </cell>
        </row>
        <row r="1376">
          <cell r="AB1376">
            <v>64234.509334369584</v>
          </cell>
        </row>
        <row r="1378">
          <cell r="AB1378">
            <v>0</v>
          </cell>
        </row>
        <row r="1401">
          <cell r="AB1401">
            <v>-6829439.919211993</v>
          </cell>
        </row>
        <row r="1405">
          <cell r="AB1405">
            <v>64234.509334369468</v>
          </cell>
        </row>
        <row r="1415">
          <cell r="AB1415">
            <v>0</v>
          </cell>
        </row>
        <row r="1422">
          <cell r="H1422">
            <v>-78653432.161962554</v>
          </cell>
          <cell r="AB1422">
            <v>472717.883561811</v>
          </cell>
        </row>
        <row r="1440">
          <cell r="AB1440">
            <v>0</v>
          </cell>
        </row>
        <row r="1441">
          <cell r="AB1441">
            <v>0</v>
          </cell>
        </row>
        <row r="1447">
          <cell r="AB1447">
            <v>0</v>
          </cell>
        </row>
        <row r="1448">
          <cell r="AB1448">
            <v>0</v>
          </cell>
        </row>
        <row r="1454">
          <cell r="AB1454">
            <v>0</v>
          </cell>
        </row>
        <row r="1455">
          <cell r="AB1455">
            <v>0</v>
          </cell>
        </row>
        <row r="1461">
          <cell r="AB1461">
            <v>0</v>
          </cell>
        </row>
        <row r="1462">
          <cell r="AB1462">
            <v>0</v>
          </cell>
        </row>
        <row r="1468">
          <cell r="AB1468">
            <v>0</v>
          </cell>
        </row>
        <row r="1469">
          <cell r="AB1469">
            <v>0</v>
          </cell>
        </row>
        <row r="1475">
          <cell r="AB1475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92">
          <cell r="AB1492">
            <v>0</v>
          </cell>
        </row>
        <row r="1497">
          <cell r="AB1497">
            <v>0</v>
          </cell>
        </row>
        <row r="1502">
          <cell r="AB1502">
            <v>0</v>
          </cell>
        </row>
        <row r="1507">
          <cell r="AB1507">
            <v>0</v>
          </cell>
        </row>
        <row r="1512">
          <cell r="AB1512">
            <v>0</v>
          </cell>
        </row>
        <row r="1517">
          <cell r="AB1517">
            <v>0</v>
          </cell>
        </row>
        <row r="1522">
          <cell r="AB1522">
            <v>0</v>
          </cell>
        </row>
        <row r="1535">
          <cell r="AB1535">
            <v>0</v>
          </cell>
        </row>
        <row r="1541">
          <cell r="AB1541">
            <v>0</v>
          </cell>
        </row>
        <row r="1547">
          <cell r="AB1547">
            <v>0</v>
          </cell>
        </row>
        <row r="1553">
          <cell r="AB1553">
            <v>0</v>
          </cell>
        </row>
        <row r="1559">
          <cell r="AB1559">
            <v>0</v>
          </cell>
        </row>
        <row r="1565">
          <cell r="AB1565">
            <v>0</v>
          </cell>
        </row>
        <row r="1571">
          <cell r="AB1571">
            <v>0</v>
          </cell>
        </row>
        <row r="1578">
          <cell r="AB1578">
            <v>0</v>
          </cell>
        </row>
        <row r="1600">
          <cell r="AB1600">
            <v>0</v>
          </cell>
        </row>
        <row r="1604">
          <cell r="AB1604">
            <v>0</v>
          </cell>
        </row>
        <row r="1605">
          <cell r="AB1605">
            <v>0</v>
          </cell>
        </row>
        <row r="1609">
          <cell r="AB1609">
            <v>0</v>
          </cell>
        </row>
        <row r="1610">
          <cell r="AB1610">
            <v>0</v>
          </cell>
        </row>
        <row r="1616">
          <cell r="AB1616">
            <v>0</v>
          </cell>
        </row>
        <row r="1617">
          <cell r="AB1617">
            <v>0</v>
          </cell>
        </row>
        <row r="1622">
          <cell r="AB1622">
            <v>0</v>
          </cell>
        </row>
        <row r="1623">
          <cell r="AB1623">
            <v>0</v>
          </cell>
        </row>
        <row r="1627">
          <cell r="AB1627">
            <v>0</v>
          </cell>
        </row>
        <row r="1628">
          <cell r="AB1628">
            <v>0</v>
          </cell>
        </row>
        <row r="1633">
          <cell r="AB1633">
            <v>0</v>
          </cell>
        </row>
        <row r="1638">
          <cell r="AB1638">
            <v>0</v>
          </cell>
        </row>
        <row r="1645">
          <cell r="AB1645">
            <v>0</v>
          </cell>
        </row>
        <row r="1660">
          <cell r="H1660">
            <v>46670213.579049021</v>
          </cell>
          <cell r="AB1660">
            <v>0</v>
          </cell>
        </row>
        <row r="1667">
          <cell r="H1667">
            <v>37071655.374845229</v>
          </cell>
          <cell r="AB1667">
            <v>0</v>
          </cell>
        </row>
        <row r="1673">
          <cell r="H1673">
            <v>561285590.76876986</v>
          </cell>
          <cell r="AB1673">
            <v>0</v>
          </cell>
        </row>
        <row r="1679">
          <cell r="H1679">
            <v>227151660.05616897</v>
          </cell>
          <cell r="AB1679">
            <v>0</v>
          </cell>
        </row>
        <row r="1685">
          <cell r="H1685">
            <v>751041020.61732423</v>
          </cell>
          <cell r="AB1685">
            <v>0</v>
          </cell>
        </row>
        <row r="1691">
          <cell r="H1691">
            <v>325115627.01884234</v>
          </cell>
          <cell r="AB1691">
            <v>0</v>
          </cell>
        </row>
        <row r="1697">
          <cell r="H1697">
            <v>1403362.2646082304</v>
          </cell>
          <cell r="AB1697">
            <v>0</v>
          </cell>
        </row>
        <row r="1703">
          <cell r="H1703">
            <v>3259173.98567193</v>
          </cell>
          <cell r="AB1703">
            <v>0</v>
          </cell>
        </row>
        <row r="1709">
          <cell r="H1709">
            <v>4980029.5959774898</v>
          </cell>
          <cell r="AB1709">
            <v>0</v>
          </cell>
        </row>
        <row r="1713">
          <cell r="AB1713">
            <v>0</v>
          </cell>
        </row>
        <row r="1717">
          <cell r="H1717">
            <v>0</v>
          </cell>
        </row>
        <row r="1729">
          <cell r="H1729">
            <v>32196842.689616952</v>
          </cell>
          <cell r="AB1729">
            <v>0</v>
          </cell>
        </row>
        <row r="1735">
          <cell r="H1735">
            <v>36516908.346329331</v>
          </cell>
          <cell r="AB1735">
            <v>0</v>
          </cell>
        </row>
        <row r="1741">
          <cell r="H1741">
            <v>415747890.56570876</v>
          </cell>
          <cell r="AB1741">
            <v>0</v>
          </cell>
        </row>
        <row r="1748">
          <cell r="H1748">
            <v>318413723.69013411</v>
          </cell>
        </row>
        <row r="1755">
          <cell r="H1755">
            <v>216610706.02967823</v>
          </cell>
        </row>
        <row r="1762">
          <cell r="H1762">
            <v>165085242.94686636</v>
          </cell>
        </row>
        <row r="1769">
          <cell r="H1769">
            <v>464330231.88776994</v>
          </cell>
        </row>
        <row r="1775">
          <cell r="H1775">
            <v>422443903.56040674</v>
          </cell>
          <cell r="AB1775">
            <v>0</v>
          </cell>
        </row>
        <row r="1782">
          <cell r="H1782">
            <v>222755706.53285047</v>
          </cell>
          <cell r="AB1782">
            <v>0</v>
          </cell>
        </row>
        <row r="1793">
          <cell r="H1793">
            <v>85840275.471519634</v>
          </cell>
          <cell r="AB1793">
            <v>85840275.471519634</v>
          </cell>
        </row>
        <row r="1800">
          <cell r="H1800">
            <v>4762733.7057517059</v>
          </cell>
        </row>
        <row r="1804">
          <cell r="H1804">
            <v>0</v>
          </cell>
          <cell r="AB1804">
            <v>0</v>
          </cell>
        </row>
        <row r="1805">
          <cell r="H1805">
            <v>0</v>
          </cell>
          <cell r="AB1805">
            <v>0</v>
          </cell>
        </row>
        <row r="1806">
          <cell r="H1806">
            <v>0</v>
          </cell>
          <cell r="AB1806">
            <v>0</v>
          </cell>
        </row>
        <row r="1807">
          <cell r="H1807">
            <v>0</v>
          </cell>
        </row>
        <row r="1813">
          <cell r="H1813">
            <v>27087633.197658978</v>
          </cell>
          <cell r="AB1813">
            <v>0</v>
          </cell>
        </row>
        <row r="1817">
          <cell r="AB1817">
            <v>0</v>
          </cell>
        </row>
        <row r="1821">
          <cell r="AB1821">
            <v>0</v>
          </cell>
        </row>
        <row r="1830">
          <cell r="AB1830">
            <v>110007.65473874166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23937.92290738723</v>
          </cell>
        </row>
        <row r="1838">
          <cell r="AB1838">
            <v>1005495.4006594135</v>
          </cell>
        </row>
        <row r="1839">
          <cell r="AB1839">
            <v>0</v>
          </cell>
        </row>
        <row r="1840">
          <cell r="AB1840">
            <v>0</v>
          </cell>
        </row>
        <row r="1841">
          <cell r="AB1841">
            <v>0</v>
          </cell>
        </row>
        <row r="1842">
          <cell r="AB1842">
            <v>0</v>
          </cell>
        </row>
        <row r="1843">
          <cell r="AB1843">
            <v>436761.44252446422</v>
          </cell>
        </row>
        <row r="1848">
          <cell r="AB1848">
            <v>78712.935968676902</v>
          </cell>
        </row>
        <row r="1849">
          <cell r="AB1849">
            <v>0</v>
          </cell>
        </row>
        <row r="1850">
          <cell r="AB1850">
            <v>0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0</v>
          </cell>
        </row>
        <row r="1854">
          <cell r="AB1854">
            <v>237752.99784401749</v>
          </cell>
        </row>
        <row r="1855">
          <cell r="AB1855">
            <v>0</v>
          </cell>
        </row>
        <row r="1856">
          <cell r="AB1856">
            <v>0</v>
          </cell>
        </row>
        <row r="1860">
          <cell r="AB1860">
            <v>869911.56289544143</v>
          </cell>
        </row>
        <row r="1861">
          <cell r="AB1861">
            <v>34362.239105945606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0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68">
          <cell r="AB1868">
            <v>0</v>
          </cell>
        </row>
        <row r="1872">
          <cell r="AB1872">
            <v>99960.228083131791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1551.8929269263908</v>
          </cell>
        </row>
        <row r="1876">
          <cell r="AB1876">
            <v>0</v>
          </cell>
        </row>
        <row r="1877">
          <cell r="AB1877">
            <v>0</v>
          </cell>
        </row>
        <row r="1881">
          <cell r="AB1881">
            <v>329938.54988456774</v>
          </cell>
        </row>
        <row r="1882">
          <cell r="AB1882">
            <v>0</v>
          </cell>
        </row>
        <row r="1883">
          <cell r="AB1883">
            <v>0</v>
          </cell>
        </row>
        <row r="1884">
          <cell r="AB1884">
            <v>16949.737560484129</v>
          </cell>
        </row>
        <row r="1885">
          <cell r="AB1885">
            <v>0</v>
          </cell>
        </row>
        <row r="1886">
          <cell r="AB1886">
            <v>0</v>
          </cell>
        </row>
        <row r="1887">
          <cell r="AB1887">
            <v>0</v>
          </cell>
        </row>
        <row r="1888">
          <cell r="AB1888">
            <v>0</v>
          </cell>
        </row>
        <row r="1892">
          <cell r="AB1892">
            <v>197730.81918243528</v>
          </cell>
        </row>
        <row r="1893">
          <cell r="AB1893">
            <v>0</v>
          </cell>
        </row>
        <row r="1894">
          <cell r="AB1894">
            <v>0</v>
          </cell>
        </row>
        <row r="1895">
          <cell r="AB1895">
            <v>21780.394343186828</v>
          </cell>
        </row>
        <row r="1896">
          <cell r="AB1896">
            <v>0</v>
          </cell>
        </row>
        <row r="1897">
          <cell r="AB1897">
            <v>0</v>
          </cell>
        </row>
        <row r="1898">
          <cell r="AB1898">
            <v>0</v>
          </cell>
        </row>
        <row r="1899">
          <cell r="AB1899">
            <v>0</v>
          </cell>
        </row>
        <row r="1903">
          <cell r="AB1903">
            <v>966638.32561087958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6042.8223424323396</v>
          </cell>
        </row>
        <row r="1907">
          <cell r="AB1907">
            <v>0</v>
          </cell>
        </row>
        <row r="1908">
          <cell r="AB1908">
            <v>0</v>
          </cell>
        </row>
        <row r="1909">
          <cell r="AB1909">
            <v>0</v>
          </cell>
        </row>
        <row r="1910">
          <cell r="AB1910">
            <v>0</v>
          </cell>
        </row>
        <row r="1917">
          <cell r="AB1917">
            <v>1032259.2429845872</v>
          </cell>
        </row>
        <row r="1918">
          <cell r="AB1918">
            <v>0</v>
          </cell>
        </row>
        <row r="1919">
          <cell r="AB1919">
            <v>0</v>
          </cell>
        </row>
        <row r="1920">
          <cell r="AB1920">
            <v>190498.71565412349</v>
          </cell>
        </row>
        <row r="1921">
          <cell r="AB1921">
            <v>0</v>
          </cell>
        </row>
        <row r="1922">
          <cell r="AB1922">
            <v>0</v>
          </cell>
        </row>
        <row r="1923">
          <cell r="AB1923">
            <v>0</v>
          </cell>
        </row>
        <row r="1924">
          <cell r="AB1924">
            <v>0</v>
          </cell>
        </row>
        <row r="1925">
          <cell r="AB1925">
            <v>0</v>
          </cell>
        </row>
        <row r="1929">
          <cell r="AB1929">
            <v>9819.2932679764181</v>
          </cell>
        </row>
        <row r="1930">
          <cell r="AB1930">
            <v>0</v>
          </cell>
        </row>
        <row r="1931">
          <cell r="AB1931">
            <v>0</v>
          </cell>
        </row>
        <row r="1932">
          <cell r="AB1932">
            <v>0</v>
          </cell>
        </row>
        <row r="1933">
          <cell r="AB1933">
            <v>14171.189909231061</v>
          </cell>
        </row>
        <row r="1934">
          <cell r="AB1934">
            <v>0</v>
          </cell>
        </row>
        <row r="1935">
          <cell r="AB1935">
            <v>0</v>
          </cell>
        </row>
        <row r="1936">
          <cell r="AB1936">
            <v>0</v>
          </cell>
        </row>
        <row r="1943">
          <cell r="AB1943">
            <v>0</v>
          </cell>
        </row>
        <row r="1947">
          <cell r="AB1947">
            <v>0</v>
          </cell>
        </row>
        <row r="1949">
          <cell r="AB1949">
            <v>0</v>
          </cell>
        </row>
        <row r="1954">
          <cell r="AB1954">
            <v>320682.72506926494</v>
          </cell>
        </row>
        <row r="1955">
          <cell r="AB1955">
            <v>0</v>
          </cell>
        </row>
        <row r="1956">
          <cell r="AB1956">
            <v>54662.648752090478</v>
          </cell>
        </row>
        <row r="1964">
          <cell r="AB1964">
            <v>0</v>
          </cell>
        </row>
        <row r="1967">
          <cell r="H1967">
            <v>0</v>
          </cell>
        </row>
        <row r="1976">
          <cell r="AB1976">
            <v>-4063.3676869692395</v>
          </cell>
        </row>
        <row r="1984">
          <cell r="AB1984">
            <v>0</v>
          </cell>
        </row>
        <row r="1993">
          <cell r="AB1993">
            <v>0</v>
          </cell>
        </row>
        <row r="1994">
          <cell r="AB1994">
            <v>0</v>
          </cell>
        </row>
        <row r="1995">
          <cell r="AB1995">
            <v>0</v>
          </cell>
        </row>
        <row r="1998">
          <cell r="AB1998">
            <v>0</v>
          </cell>
        </row>
        <row r="1999">
          <cell r="AB1999">
            <v>0</v>
          </cell>
        </row>
        <row r="2000">
          <cell r="AB2000">
            <v>0</v>
          </cell>
        </row>
        <row r="2001">
          <cell r="AB2001">
            <v>0</v>
          </cell>
        </row>
        <row r="2005">
          <cell r="AB2005">
            <v>55687.961381608504</v>
          </cell>
        </row>
        <row r="2006">
          <cell r="AB2006">
            <v>0</v>
          </cell>
        </row>
        <row r="2007">
          <cell r="AB2007">
            <v>1644160.3396729536</v>
          </cell>
        </row>
        <row r="2008">
          <cell r="AB2008">
            <v>0</v>
          </cell>
        </row>
        <row r="2009">
          <cell r="AB2009">
            <v>0</v>
          </cell>
        </row>
        <row r="2011">
          <cell r="AB2011">
            <v>0</v>
          </cell>
        </row>
        <row r="2021">
          <cell r="AB2021">
            <v>0</v>
          </cell>
        </row>
        <row r="2033">
          <cell r="AB2033">
            <v>89067.003498634149</v>
          </cell>
        </row>
        <row r="2034">
          <cell r="AB2034">
            <v>0</v>
          </cell>
        </row>
        <row r="2035">
          <cell r="AB2035">
            <v>0</v>
          </cell>
        </row>
        <row r="2036">
          <cell r="AB2036">
            <v>0</v>
          </cell>
        </row>
        <row r="2037">
          <cell r="AB2037">
            <v>0</v>
          </cell>
        </row>
        <row r="2038">
          <cell r="AB2038">
            <v>0</v>
          </cell>
        </row>
        <row r="2045">
          <cell r="AB2045">
            <v>0</v>
          </cell>
        </row>
        <row r="2049">
          <cell r="AB2049">
            <v>0</v>
          </cell>
        </row>
        <row r="2054">
          <cell r="AB2054">
            <v>0</v>
          </cell>
        </row>
        <row r="2061">
          <cell r="AB2061">
            <v>0</v>
          </cell>
        </row>
        <row r="2069">
          <cell r="AB2069">
            <v>0</v>
          </cell>
        </row>
        <row r="2075">
          <cell r="AB2075">
            <v>0</v>
          </cell>
        </row>
        <row r="2076">
          <cell r="AB2076">
            <v>0</v>
          </cell>
        </row>
        <row r="2084">
          <cell r="AB2084">
            <v>0</v>
          </cell>
        </row>
        <row r="2088">
          <cell r="AB2088">
            <v>0</v>
          </cell>
        </row>
        <row r="2092">
          <cell r="AB2092">
            <v>0</v>
          </cell>
        </row>
        <row r="2109">
          <cell r="AB2109">
            <v>0</v>
          </cell>
        </row>
        <row r="2110">
          <cell r="AB2110">
            <v>435181.55665316503</v>
          </cell>
        </row>
        <row r="2120">
          <cell r="AB2120">
            <v>0</v>
          </cell>
        </row>
        <row r="2125">
          <cell r="AB2125">
            <v>-667.83539182216964</v>
          </cell>
        </row>
        <row r="2133">
          <cell r="AB2133">
            <v>0</v>
          </cell>
        </row>
        <row r="2135">
          <cell r="AB2135">
            <v>107896.36835050247</v>
          </cell>
        </row>
        <row r="2142">
          <cell r="AB2142">
            <v>0</v>
          </cell>
        </row>
        <row r="2145">
          <cell r="AB2145">
            <v>11432.885191432661</v>
          </cell>
        </row>
        <row r="2153">
          <cell r="AB2153">
            <v>0</v>
          </cell>
        </row>
        <row r="2156">
          <cell r="AB2156">
            <v>195.56105843370804</v>
          </cell>
        </row>
        <row r="2163">
          <cell r="AB2163">
            <v>82968.914264662017</v>
          </cell>
        </row>
        <row r="2174">
          <cell r="AB2174">
            <v>0</v>
          </cell>
        </row>
        <row r="2175">
          <cell r="AB2175">
            <v>127983.25494826888</v>
          </cell>
        </row>
        <row r="2189">
          <cell r="AB2189">
            <v>0</v>
          </cell>
        </row>
        <row r="2194">
          <cell r="AB2194">
            <v>0</v>
          </cell>
        </row>
        <row r="2199">
          <cell r="AB2199">
            <v>0</v>
          </cell>
        </row>
        <row r="2212">
          <cell r="AB2212">
            <v>0</v>
          </cell>
        </row>
        <row r="2216">
          <cell r="H2216">
            <v>0</v>
          </cell>
          <cell r="AB2216">
            <v>0</v>
          </cell>
        </row>
        <row r="2219">
          <cell r="H2219">
            <v>-3405682.2975901593</v>
          </cell>
        </row>
        <row r="2220">
          <cell r="H2220">
            <v>-3405682.2975901593</v>
          </cell>
          <cell r="AB2220">
            <v>-33910.733381820428</v>
          </cell>
        </row>
        <row r="2224">
          <cell r="H2224">
            <v>-9561269.1045228988</v>
          </cell>
          <cell r="AB2224">
            <v>-95202.552400362169</v>
          </cell>
        </row>
        <row r="2228">
          <cell r="H2228">
            <v>-649261.67011951737</v>
          </cell>
          <cell r="AB2228">
            <v>0</v>
          </cell>
        </row>
        <row r="2232">
          <cell r="AB2232">
            <v>-223.53114269284001</v>
          </cell>
        </row>
        <row r="2233">
          <cell r="H2233">
            <v>-22449.412905862595</v>
          </cell>
          <cell r="AB2233">
            <v>-223.53114269284001</v>
          </cell>
        </row>
        <row r="2237">
          <cell r="H2237">
            <v>-2291352.7786638215</v>
          </cell>
          <cell r="AB2237">
            <v>0</v>
          </cell>
        </row>
        <row r="2245">
          <cell r="AB2245">
            <v>-122766.44207350811</v>
          </cell>
        </row>
        <row r="2249">
          <cell r="H2249">
            <v>-2028144.5304859313</v>
          </cell>
          <cell r="AB2249">
            <v>0</v>
          </cell>
        </row>
        <row r="2256">
          <cell r="H2256">
            <v>-6190841.3351955898</v>
          </cell>
          <cell r="AB2256">
            <v>-5739.0863440579751</v>
          </cell>
        </row>
        <row r="2260">
          <cell r="AB2260">
            <v>0</v>
          </cell>
        </row>
        <row r="2261">
          <cell r="AB2261">
            <v>544691.37226351083</v>
          </cell>
        </row>
        <row r="2263">
          <cell r="AB2263">
            <v>0</v>
          </cell>
        </row>
        <row r="2270">
          <cell r="AB2270">
            <v>0</v>
          </cell>
        </row>
        <row r="2271">
          <cell r="AB2271">
            <v>557082.42554382095</v>
          </cell>
        </row>
        <row r="2277">
          <cell r="AB2277">
            <v>0</v>
          </cell>
        </row>
        <row r="2283">
          <cell r="AB2283">
            <v>59060.212995754206</v>
          </cell>
        </row>
        <row r="2295">
          <cell r="AB2295">
            <v>-14270946.764424136</v>
          </cell>
        </row>
        <row r="2301">
          <cell r="AB2301">
            <v>-61826.907768099067</v>
          </cell>
        </row>
        <row r="2307">
          <cell r="AB2307">
            <v>0</v>
          </cell>
        </row>
        <row r="2308">
          <cell r="AB2308">
            <v>-128091.25975252716</v>
          </cell>
        </row>
        <row r="2321">
          <cell r="AB2321">
            <v>-1207.3958785378845</v>
          </cell>
        </row>
        <row r="2335">
          <cell r="AB2335">
            <v>0</v>
          </cell>
        </row>
        <row r="2336">
          <cell r="AB2336">
            <v>0</v>
          </cell>
        </row>
        <row r="2342">
          <cell r="AB2342">
            <v>0</v>
          </cell>
        </row>
        <row r="2349">
          <cell r="AB2349">
            <v>0</v>
          </cell>
        </row>
        <row r="2356">
          <cell r="AB2356">
            <v>0</v>
          </cell>
        </row>
        <row r="2357">
          <cell r="AB2357">
            <v>0</v>
          </cell>
        </row>
        <row r="2362">
          <cell r="AB2362">
            <v>0</v>
          </cell>
        </row>
        <row r="2380">
          <cell r="AB2380">
            <v>0</v>
          </cell>
        </row>
        <row r="2389">
          <cell r="AB2389">
            <v>0</v>
          </cell>
        </row>
        <row r="2393">
          <cell r="AB2393">
            <v>0</v>
          </cell>
        </row>
        <row r="2397">
          <cell r="AB2397">
            <v>0</v>
          </cell>
        </row>
        <row r="2401">
          <cell r="AB2401">
            <v>0</v>
          </cell>
        </row>
        <row r="2405">
          <cell r="AB2405">
            <v>0</v>
          </cell>
        </row>
        <row r="2409">
          <cell r="AB2409">
            <v>0</v>
          </cell>
        </row>
        <row r="2413">
          <cell r="AB2413">
            <v>0</v>
          </cell>
        </row>
        <row r="2417">
          <cell r="AB2417">
            <v>0</v>
          </cell>
        </row>
        <row r="2421">
          <cell r="AB2421">
            <v>0</v>
          </cell>
        </row>
        <row r="2425">
          <cell r="AB2425">
            <v>-31273826.180826589</v>
          </cell>
        </row>
        <row r="2429">
          <cell r="AB2429">
            <v>0</v>
          </cell>
        </row>
        <row r="2433">
          <cell r="AB2433">
            <v>0</v>
          </cell>
        </row>
        <row r="2437">
          <cell r="AB2437">
            <v>0</v>
          </cell>
        </row>
        <row r="2440">
          <cell r="H2440">
            <v>0</v>
          </cell>
        </row>
        <row r="2441">
          <cell r="AB2441">
            <v>0</v>
          </cell>
        </row>
        <row r="2444">
          <cell r="H2444">
            <v>0</v>
          </cell>
        </row>
        <row r="2445">
          <cell r="AB2445">
            <v>0</v>
          </cell>
        </row>
        <row r="2448">
          <cell r="H2448">
            <v>138624</v>
          </cell>
        </row>
        <row r="2449">
          <cell r="AB2449">
            <v>5078.5855636399874</v>
          </cell>
        </row>
        <row r="2459">
          <cell r="AB2459">
            <v>-1483017.6011861232</v>
          </cell>
        </row>
        <row r="2460">
          <cell r="AB2460">
            <v>0</v>
          </cell>
        </row>
        <row r="2461">
          <cell r="AB2461">
            <v>0</v>
          </cell>
        </row>
        <row r="2462">
          <cell r="AB2462">
            <v>0</v>
          </cell>
        </row>
        <row r="2463">
          <cell r="AB2463">
            <v>0</v>
          </cell>
        </row>
        <row r="2464">
          <cell r="AB2464">
            <v>-271180.17836761073</v>
          </cell>
        </row>
        <row r="2465">
          <cell r="AB2465">
            <v>0</v>
          </cell>
        </row>
        <row r="2466">
          <cell r="AB2466">
            <v>0</v>
          </cell>
        </row>
        <row r="2467">
          <cell r="AB2467">
            <v>0</v>
          </cell>
        </row>
        <row r="2468">
          <cell r="AB2468">
            <v>0</v>
          </cell>
        </row>
        <row r="2480">
          <cell r="AB2480">
            <v>0</v>
          </cell>
        </row>
        <row r="2486">
          <cell r="AB2486">
            <v>0</v>
          </cell>
        </row>
        <row r="2487">
          <cell r="AB2487">
            <v>0</v>
          </cell>
        </row>
        <row r="2494">
          <cell r="AB2494">
            <v>0</v>
          </cell>
        </row>
        <row r="2495">
          <cell r="AB2495">
            <v>0</v>
          </cell>
        </row>
        <row r="2514">
          <cell r="AB2514">
            <v>0</v>
          </cell>
        </row>
        <row r="2519">
          <cell r="AB2519">
            <v>0</v>
          </cell>
        </row>
        <row r="2521">
          <cell r="AB2521">
            <v>-51777.708865938483</v>
          </cell>
        </row>
        <row r="2522">
          <cell r="AB2522">
            <v>0</v>
          </cell>
        </row>
        <row r="2523">
          <cell r="AB2523">
            <v>-52121.371276847553</v>
          </cell>
        </row>
        <row r="2529">
          <cell r="AB2529">
            <v>0</v>
          </cell>
        </row>
        <row r="2533">
          <cell r="AB2533">
            <v>-771.95975605543174</v>
          </cell>
        </row>
        <row r="2534">
          <cell r="AB2534">
            <v>0</v>
          </cell>
        </row>
        <row r="2535">
          <cell r="AB2535">
            <v>0</v>
          </cell>
        </row>
        <row r="2536">
          <cell r="AB2536">
            <v>0</v>
          </cell>
        </row>
        <row r="2537">
          <cell r="AB2537">
            <v>0</v>
          </cell>
        </row>
        <row r="2538">
          <cell r="AB2538">
            <v>0</v>
          </cell>
        </row>
        <row r="2539">
          <cell r="AB2539">
            <v>0</v>
          </cell>
        </row>
        <row r="2540">
          <cell r="AB2540">
            <v>0</v>
          </cell>
        </row>
        <row r="2541">
          <cell r="AB2541">
            <v>-1182821.0007189873</v>
          </cell>
        </row>
        <row r="2554">
          <cell r="AB2554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0.74155389074644962</v>
          </cell>
          <cell r="C11">
            <v>0.13067317353392571</v>
          </cell>
          <cell r="D11">
            <v>0.12777293571962478</v>
          </cell>
          <cell r="E11">
            <v>0.12502862731532027</v>
          </cell>
          <cell r="F11">
            <v>2.7443084043045018E-3</v>
          </cell>
          <cell r="G11">
            <v>0</v>
          </cell>
          <cell r="H11">
            <v>0.99999999999999989</v>
          </cell>
        </row>
        <row r="12">
          <cell r="A12" t="str">
            <v>BOOKDEPR</v>
          </cell>
          <cell r="B12">
            <v>0.51974496753337573</v>
          </cell>
          <cell r="C12">
            <v>0.15093978352398185</v>
          </cell>
          <cell r="D12">
            <v>0.32931524894264247</v>
          </cell>
          <cell r="E12">
            <v>0.32557157689672078</v>
          </cell>
          <cell r="F12">
            <v>3.7436720459216623E-3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0.7584657535476006</v>
          </cell>
          <cell r="C15">
            <v>8.5546029106398552E-2</v>
          </cell>
          <cell r="D15">
            <v>0.15598821734601578</v>
          </cell>
          <cell r="E15">
            <v>0.1160244572836885</v>
          </cell>
          <cell r="F15">
            <v>3.4431842676628258E-2</v>
          </cell>
          <cell r="G15">
            <v>5.5319173856990386E-3</v>
          </cell>
          <cell r="H15">
            <v>1.0000000000000151</v>
          </cell>
        </row>
        <row r="16">
          <cell r="A16" t="str">
            <v>DDS2</v>
          </cell>
          <cell r="B16">
            <v>0.89444384203010596</v>
          </cell>
          <cell r="C16">
            <v>6.6990964246720951E-3</v>
          </cell>
          <cell r="D16">
            <v>9.8857061545221753E-2</v>
          </cell>
          <cell r="E16">
            <v>-1.7192047072908941E-2</v>
          </cell>
          <cell r="F16">
            <v>0.14454293012717781</v>
          </cell>
          <cell r="G16">
            <v>-2.8493821509047106E-2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0.22328197830043112</v>
          </cell>
          <cell r="C18">
            <v>1.6019258296405981E-2</v>
          </cell>
          <cell r="D18">
            <v>0.76069876340316289</v>
          </cell>
          <cell r="E18">
            <v>9.611554977843588E-2</v>
          </cell>
          <cell r="F18">
            <v>0</v>
          </cell>
          <cell r="G18">
            <v>0.66458321362472705</v>
          </cell>
          <cell r="H18">
            <v>1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0.66574950014012413</v>
          </cell>
          <cell r="C20">
            <v>0.33425049985987582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0.90746873930668404</v>
          </cell>
          <cell r="C21">
            <v>2.403308927825348E-2</v>
          </cell>
          <cell r="D21">
            <v>6.8498171415062578E-2</v>
          </cell>
          <cell r="E21">
            <v>5.0813437740093295E-2</v>
          </cell>
          <cell r="F21">
            <v>1.7684733674969283E-2</v>
          </cell>
          <cell r="G21">
            <v>0</v>
          </cell>
          <cell r="H21">
            <v>1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0.53982674964608257</v>
          </cell>
          <cell r="C25">
            <v>0.46017325035391743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1.1700869514458072</v>
          </cell>
          <cell r="C26">
            <v>3.5747954668684328E-3</v>
          </cell>
          <cell r="D26">
            <v>-0.17366174691290373</v>
          </cell>
          <cell r="E26">
            <v>-0.18703634452376894</v>
          </cell>
          <cell r="F26">
            <v>1.344225489363475E-2</v>
          </cell>
          <cell r="G26">
            <v>-6.7657282769547652E-5</v>
          </cell>
          <cell r="H26">
            <v>0.99999999999977174</v>
          </cell>
        </row>
        <row r="27">
          <cell r="A27" t="str">
            <v>G</v>
          </cell>
          <cell r="B27">
            <v>0.2323600953390676</v>
          </cell>
          <cell r="C27">
            <v>0.29281154918881841</v>
          </cell>
          <cell r="D27">
            <v>0.47482835547211394</v>
          </cell>
          <cell r="E27">
            <v>0.44796038040972297</v>
          </cell>
          <cell r="F27">
            <v>2.6867975062390959E-2</v>
          </cell>
          <cell r="G27">
            <v>0</v>
          </cell>
          <cell r="H27">
            <v>1</v>
          </cell>
        </row>
        <row r="28">
          <cell r="A28" t="str">
            <v>G-DGP</v>
          </cell>
          <cell r="B28">
            <v>0.6855986064245424</v>
          </cell>
          <cell r="C28">
            <v>0.31440139357545754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0.6855986064245424</v>
          </cell>
          <cell r="C29">
            <v>0.31440139357545754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0.50504679293010346</v>
          </cell>
          <cell r="C30">
            <v>0.21499921941610298</v>
          </cell>
          <cell r="D30">
            <v>0.27995398765379342</v>
          </cell>
          <cell r="E30">
            <v>0.2734309686869702</v>
          </cell>
          <cell r="F30">
            <v>6.5230189668232076E-3</v>
          </cell>
          <cell r="G30">
            <v>0</v>
          </cell>
          <cell r="H30">
            <v>0.99999999999999989</v>
          </cell>
        </row>
        <row r="31">
          <cell r="A31" t="str">
            <v>G-SG</v>
          </cell>
          <cell r="B31">
            <v>0.4911770740450373</v>
          </cell>
          <cell r="C31">
            <v>0.50882292595496259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G-SITUS</v>
          </cell>
          <cell r="B32">
            <v>0</v>
          </cell>
          <cell r="C32">
            <v>0.2527647986427079</v>
          </cell>
          <cell r="D32">
            <v>0.74723520135729204</v>
          </cell>
          <cell r="E32">
            <v>0.74723520135729204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0.52032571068857525</v>
          </cell>
          <cell r="C33">
            <v>0.13232004862763808</v>
          </cell>
          <cell r="D33">
            <v>0.34735424068378651</v>
          </cell>
          <cell r="E33">
            <v>0.16634551665847275</v>
          </cell>
          <cell r="F33">
            <v>0.18100872402531373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1.2749724155978952</v>
          </cell>
          <cell r="C34">
            <v>5.7792213714078534E-3</v>
          </cell>
          <cell r="D34">
            <v>-0.28075163696967192</v>
          </cell>
          <cell r="E34">
            <v>-0.30237378600255177</v>
          </cell>
          <cell r="F34">
            <v>2.1731527714300109E-2</v>
          </cell>
          <cell r="G34">
            <v>-1.0937868142024943E-4</v>
          </cell>
          <cell r="H34">
            <v>0.99999999999963118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0.91139563576235938</v>
          </cell>
          <cell r="C37">
            <v>8.8604364237640482E-2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I-SITUS</v>
          </cell>
          <cell r="B38">
            <v>9.2126512447585948E-2</v>
          </cell>
          <cell r="C38">
            <v>0.40142398375215244</v>
          </cell>
          <cell r="D38">
            <v>0.50644950380026155</v>
          </cell>
          <cell r="E38">
            <v>0.50644950380026155</v>
          </cell>
          <cell r="F38">
            <v>0</v>
          </cell>
          <cell r="G38">
            <v>0</v>
          </cell>
          <cell r="H38">
            <v>0.99999999999999989</v>
          </cell>
        </row>
        <row r="39">
          <cell r="A39" t="str">
            <v>LABOR</v>
          </cell>
          <cell r="B39">
            <v>0.42911800628192154</v>
          </cell>
          <cell r="C39">
            <v>6.1091947728051668E-2</v>
          </cell>
          <cell r="D39">
            <v>0.50979004599002686</v>
          </cell>
          <cell r="E39">
            <v>0.3631518312497185</v>
          </cell>
          <cell r="F39">
            <v>0.1466382147403083</v>
          </cell>
          <cell r="G39">
            <v>0</v>
          </cell>
          <cell r="H39">
            <v>1</v>
          </cell>
        </row>
        <row r="40">
          <cell r="A40" t="str">
            <v>MSS</v>
          </cell>
          <cell r="B40">
            <v>0.83771466952498774</v>
          </cell>
          <cell r="C40">
            <v>8.0180119814196888E-3</v>
          </cell>
          <cell r="D40">
            <v>0.1542673184935926</v>
          </cell>
          <cell r="E40">
            <v>0.1542673184935926</v>
          </cell>
          <cell r="F40">
            <v>0</v>
          </cell>
          <cell r="G40">
            <v>0</v>
          </cell>
          <cell r="H40">
            <v>1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0.68340686553123631</v>
          </cell>
          <cell r="C43">
            <v>0.31659313446876369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0.68340686553123631</v>
          </cell>
          <cell r="C44">
            <v>0.31659313446876369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0.68340686553123631</v>
          </cell>
          <cell r="C46">
            <v>0.31659313446876369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0.68340686553123631</v>
          </cell>
          <cell r="C47">
            <v>0.31659313446876369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0.69456671189270403</v>
          </cell>
          <cell r="C51">
            <v>0.30543328810729597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PTD</v>
          </cell>
          <cell r="B52">
            <v>0.50579249900415113</v>
          </cell>
          <cell r="C52">
            <v>0.22242048665112085</v>
          </cell>
          <cell r="D52">
            <v>0.27178701434472802</v>
          </cell>
          <cell r="E52">
            <v>0.27178701434472802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0.68463075991965539</v>
          </cell>
          <cell r="C53">
            <v>0.12835032898844131</v>
          </cell>
          <cell r="D53">
            <v>0.18701891109192986</v>
          </cell>
          <cell r="E53">
            <v>0.15933465063824018</v>
          </cell>
          <cell r="F53">
            <v>2.3871265700870642E-2</v>
          </cell>
          <cell r="G53">
            <v>3.8129947528190481E-3</v>
          </cell>
          <cell r="H53">
            <v>1.0000000000000269</v>
          </cell>
        </row>
        <row r="54">
          <cell r="A54" t="str">
            <v>SCHMA</v>
          </cell>
          <cell r="B54">
            <v>0.50857871375018493</v>
          </cell>
          <cell r="C54">
            <v>0.16619636578252911</v>
          </cell>
          <cell r="D54">
            <v>0.32522492046728546</v>
          </cell>
          <cell r="E54">
            <v>0.31173645557641066</v>
          </cell>
          <cell r="F54">
            <v>1.1915414392442548E-2</v>
          </cell>
          <cell r="G54">
            <v>1.5730504984322585E-3</v>
          </cell>
          <cell r="H54">
            <v>0.99999999999999933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0.43898528203951998</v>
          </cell>
          <cell r="C56">
            <v>7.5001281348963889E-2</v>
          </cell>
          <cell r="D56">
            <v>0.48601343661151614</v>
          </cell>
          <cell r="E56">
            <v>0.35337945735409804</v>
          </cell>
          <cell r="F56">
            <v>0.1326339792574181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0.43604112976585901</v>
          </cell>
          <cell r="C57">
            <v>7.5756810224820489E-2</v>
          </cell>
          <cell r="D57">
            <v>0.48820206000932043</v>
          </cell>
          <cell r="E57">
            <v>0.35514942055276266</v>
          </cell>
          <cell r="F57">
            <v>0.13305263945655776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0.50960696576565756</v>
          </cell>
          <cell r="C58">
            <v>0.16754378502979178</v>
          </cell>
          <cell r="D58">
            <v>0.32284924920455016</v>
          </cell>
          <cell r="E58">
            <v>0.3111211748026983</v>
          </cell>
          <cell r="F58">
            <v>1.013178187747418E-2</v>
          </cell>
          <cell r="G58">
            <v>1.5962925243777227E-3</v>
          </cell>
          <cell r="H58">
            <v>0.99999999999999944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0.99857856914329268</v>
          </cell>
          <cell r="C60">
            <v>1.5211196105773643E-4</v>
          </cell>
          <cell r="D60">
            <v>1.2693188956496488E-3</v>
          </cell>
          <cell r="E60">
            <v>9.0420651603711013E-4</v>
          </cell>
          <cell r="F60">
            <v>3.6511237961253857E-4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0.81467201499388697</v>
          </cell>
          <cell r="C61">
            <v>1.549821589872505E-2</v>
          </cell>
          <cell r="D61">
            <v>0.1698297691073882</v>
          </cell>
          <cell r="E61">
            <v>0.11680157298516253</v>
          </cell>
          <cell r="F61">
            <v>2.3562641275558377E-2</v>
          </cell>
          <cell r="G61">
            <v>2.9465554846667304E-2</v>
          </cell>
          <cell r="H61">
            <v>1.0000000000000002</v>
          </cell>
        </row>
        <row r="62">
          <cell r="A62" t="str">
            <v>SCHMAT-SNP</v>
          </cell>
          <cell r="B62">
            <v>0.50387714340694745</v>
          </cell>
          <cell r="C62">
            <v>0.2192586299303253</v>
          </cell>
          <cell r="D62">
            <v>0.27686422666272725</v>
          </cell>
          <cell r="E62">
            <v>0.2766840379229753</v>
          </cell>
          <cell r="F62">
            <v>1.8018873975193917E-4</v>
          </cell>
          <cell r="G62">
            <v>0</v>
          </cell>
          <cell r="H62">
            <v>1</v>
          </cell>
        </row>
        <row r="63">
          <cell r="A63" t="str">
            <v>SCHMAT-SO</v>
          </cell>
          <cell r="B63">
            <v>0.42657506292493658</v>
          </cell>
          <cell r="C63">
            <v>6.1858231036687493E-2</v>
          </cell>
          <cell r="D63">
            <v>0.51156670603837584</v>
          </cell>
          <cell r="E63">
            <v>0.36781649030604324</v>
          </cell>
          <cell r="F63">
            <v>0.1437502157323326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0.61431004843945891</v>
          </cell>
          <cell r="C64">
            <v>0.15347066352476915</v>
          </cell>
          <cell r="D64">
            <v>0.23221928803577191</v>
          </cell>
          <cell r="E64">
            <v>0.21668183455320297</v>
          </cell>
          <cell r="F64">
            <v>6.2145099709114268E-3</v>
          </cell>
          <cell r="G64">
            <v>9.3229435116575238E-3</v>
          </cell>
          <cell r="H64">
            <v>1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0.45005320926638814</v>
          </cell>
          <cell r="C66">
            <v>6.1516549742485764E-2</v>
          </cell>
          <cell r="D66">
            <v>0.48843024099112625</v>
          </cell>
          <cell r="E66">
            <v>0.34921196895538881</v>
          </cell>
          <cell r="F66">
            <v>0.13921827203573744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0.42911800628192154</v>
          </cell>
          <cell r="C67">
            <v>6.1091947728051668E-2</v>
          </cell>
          <cell r="D67">
            <v>0.50979004599002686</v>
          </cell>
          <cell r="E67">
            <v>0.3631518312497185</v>
          </cell>
          <cell r="F67">
            <v>0.1466382147403083</v>
          </cell>
          <cell r="G67">
            <v>0</v>
          </cell>
          <cell r="H67">
            <v>1</v>
          </cell>
        </row>
        <row r="68">
          <cell r="A68" t="str">
            <v>SCHMDT</v>
          </cell>
          <cell r="B68">
            <v>0.61640317184370019</v>
          </cell>
          <cell r="C68">
            <v>0.15464243395845667</v>
          </cell>
          <cell r="D68">
            <v>0.22895439419784305</v>
          </cell>
          <cell r="E68">
            <v>0.21499300425864104</v>
          </cell>
          <cell r="F68">
            <v>4.5196442433620022E-3</v>
          </cell>
          <cell r="G68">
            <v>9.4417456958399999E-3</v>
          </cell>
          <cell r="H68">
            <v>0.99999999999999989</v>
          </cell>
        </row>
        <row r="69">
          <cell r="A69" t="str">
            <v>SCHMDT-GPS</v>
          </cell>
          <cell r="B69">
            <v>0.50390599523411239</v>
          </cell>
          <cell r="C69">
            <v>0.21915356275118467</v>
          </cell>
          <cell r="D69">
            <v>0.2769404420147028</v>
          </cell>
          <cell r="E69">
            <v>0.27660379423502013</v>
          </cell>
          <cell r="F69">
            <v>3.3664777968268558E-4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0.98979364666529157</v>
          </cell>
          <cell r="C70">
            <v>9.1616572373758049E-3</v>
          </cell>
          <cell r="D70">
            <v>1.0446960973326423E-3</v>
          </cell>
          <cell r="E70">
            <v>1.0203543384794185E-3</v>
          </cell>
          <cell r="F70">
            <v>2.4341758853223721E-5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0.85297625672056399</v>
          </cell>
          <cell r="C71">
            <v>1.2345606339431232E-2</v>
          </cell>
          <cell r="D71">
            <v>0.1346781369400048</v>
          </cell>
          <cell r="E71">
            <v>0.10859621428345666</v>
          </cell>
          <cell r="F71">
            <v>2.1494621633170063E-2</v>
          </cell>
          <cell r="G71">
            <v>4.5873010233780567E-3</v>
          </cell>
          <cell r="H71">
            <v>1</v>
          </cell>
        </row>
        <row r="72">
          <cell r="A72" t="str">
            <v>SCHMDT-SNP</v>
          </cell>
          <cell r="B72">
            <v>0.50384391570480436</v>
          </cell>
          <cell r="C72">
            <v>0.2193796323511954</v>
          </cell>
          <cell r="D72">
            <v>0.27677645194400013</v>
          </cell>
          <cell r="E72">
            <v>0.27677645194400013</v>
          </cell>
          <cell r="F72">
            <v>0</v>
          </cell>
          <cell r="G72">
            <v>0</v>
          </cell>
          <cell r="H72">
            <v>0.99999999999999978</v>
          </cell>
        </row>
        <row r="73">
          <cell r="A73" t="str">
            <v>SCHMDT-SO</v>
          </cell>
          <cell r="B73">
            <v>0.34567702938622691</v>
          </cell>
          <cell r="C73">
            <v>9.1920768701336378E-2</v>
          </cell>
          <cell r="D73">
            <v>0.56240220191243662</v>
          </cell>
          <cell r="E73">
            <v>0.13826338947674435</v>
          </cell>
          <cell r="F73">
            <v>1.2823156057375853E-2</v>
          </cell>
          <cell r="G73">
            <v>0.41131565637831641</v>
          </cell>
          <cell r="H73">
            <v>1</v>
          </cell>
        </row>
        <row r="74">
          <cell r="A74" t="str">
            <v>SIT</v>
          </cell>
          <cell r="B74">
            <v>1.2613421931550963</v>
          </cell>
          <cell r="C74">
            <v>5.492748734990208E-3</v>
          </cell>
          <cell r="D74">
            <v>-0.2668349418904386</v>
          </cell>
          <cell r="E74">
            <v>-0.28738529359278026</v>
          </cell>
          <cell r="F74">
            <v>2.06543085462477E-2</v>
          </cell>
          <cell r="G74">
            <v>-1.0395684390605305E-4</v>
          </cell>
          <cell r="H74">
            <v>0.99999999999964806</v>
          </cell>
        </row>
        <row r="75">
          <cell r="A75" t="str">
            <v>T</v>
          </cell>
          <cell r="B75">
            <v>0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</row>
        <row r="76">
          <cell r="A76" t="str">
            <v>TAXDEPR</v>
          </cell>
          <cell r="B76">
            <v>0.57257399437245315</v>
          </cell>
          <cell r="C76">
            <v>0.17545459019840789</v>
          </cell>
          <cell r="D76">
            <v>0.25197141542913898</v>
          </cell>
          <cell r="E76">
            <v>0.24741913806752291</v>
          </cell>
          <cell r="F76">
            <v>4.5522773616160596E-3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0.44215850474318114</v>
          </cell>
          <cell r="D77">
            <v>0.55784149525681881</v>
          </cell>
          <cell r="E77">
            <v>0.55784149525681881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0.17743663767138473</v>
          </cell>
          <cell r="C19">
            <v>0.51056356090620303</v>
          </cell>
          <cell r="D19">
            <v>0.18029442254184178</v>
          </cell>
          <cell r="E19">
            <v>3.663568764167812E-2</v>
          </cell>
          <cell r="F19">
            <v>9.5069691238892265E-2</v>
          </cell>
          <cell r="G19">
            <v>1</v>
          </cell>
        </row>
        <row r="20">
          <cell r="A20" t="str">
            <v>PLNT2</v>
          </cell>
          <cell r="B20">
            <v>0.25790201520032657</v>
          </cell>
          <cell r="C20">
            <v>0.74209798479967337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9.9050729100716148E-2</v>
          </cell>
          <cell r="C21">
            <v>0.82361814135809763</v>
          </cell>
          <cell r="D21">
            <v>7.3221224417730577E-3</v>
          </cell>
          <cell r="E21">
            <v>7.0009007099413184E-2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0.17743663767138471</v>
          </cell>
          <cell r="C22">
            <v>0.51056356090620292</v>
          </cell>
          <cell r="D22">
            <v>0.18029442254184175</v>
          </cell>
          <cell r="E22">
            <v>3.663568764167812E-2</v>
          </cell>
          <cell r="F22">
            <v>9.5069691238892279E-2</v>
          </cell>
          <cell r="G22">
            <v>0.99999999999999978</v>
          </cell>
        </row>
        <row r="23">
          <cell r="A23" t="str">
            <v>GENL</v>
          </cell>
          <cell r="B23">
            <v>0.17743663767138471</v>
          </cell>
          <cell r="C23">
            <v>0.51056356090620303</v>
          </cell>
          <cell r="D23">
            <v>0.18029442254184178</v>
          </cell>
          <cell r="E23">
            <v>3.663568764167812E-2</v>
          </cell>
          <cell r="F23">
            <v>9.5069691238892265E-2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0.20746859569083956</v>
          </cell>
          <cell r="C25">
            <v>0.46919738508124692</v>
          </cell>
          <cell r="D25">
            <v>0.19387409178224363</v>
          </cell>
          <cell r="E25">
            <v>3.2133523409771818E-2</v>
          </cell>
          <cell r="F25">
            <v>9.7326404035897901E-2</v>
          </cell>
          <cell r="G25">
            <v>0.99999999999999989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0.3461484003476229</v>
          </cell>
          <cell r="G15">
            <v>0.27714190730544991</v>
          </cell>
          <cell r="H15">
            <v>8.8893933934608704E-2</v>
          </cell>
          <cell r="I15">
            <v>1.8411158366343089E-3</v>
          </cell>
          <cell r="J15">
            <v>0.16676583628548822</v>
          </cell>
          <cell r="K15">
            <v>7.0860901420777278E-3</v>
          </cell>
          <cell r="L15">
            <v>1.9995583660614691E-4</v>
          </cell>
          <cell r="M15">
            <v>3.6884508456680096E-4</v>
          </cell>
          <cell r="N15">
            <v>6.5486496063917571E-2</v>
          </cell>
          <cell r="O15">
            <v>6.1474885781010022E-4</v>
          </cell>
          <cell r="P15">
            <v>8.3923541517602687E-3</v>
          </cell>
          <cell r="Q15">
            <v>2.0243320875040226E-2</v>
          </cell>
          <cell r="R15">
            <v>1.6816995278417228E-2</v>
          </cell>
          <cell r="S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0.33014415729742819</v>
          </cell>
          <cell r="G16">
            <v>0.27509551193609805</v>
          </cell>
          <cell r="H16">
            <v>9.1217445251843041E-2</v>
          </cell>
          <cell r="I16">
            <v>2.4751773382575433E-3</v>
          </cell>
          <cell r="J16">
            <v>0.17406554349443759</v>
          </cell>
          <cell r="K16">
            <v>7.447028376383032E-3</v>
          </cell>
          <cell r="L16">
            <v>2.1383734116064355E-4</v>
          </cell>
          <cell r="M16">
            <v>4.9215859862509581E-4</v>
          </cell>
          <cell r="N16">
            <v>6.4163857169393046E-2</v>
          </cell>
          <cell r="O16">
            <v>5.8791063841491823E-4</v>
          </cell>
          <cell r="P16">
            <v>9.0089371401904841E-3</v>
          </cell>
          <cell r="Q16">
            <v>2.6044643362540199E-2</v>
          </cell>
          <cell r="R16">
            <v>1.9043792055228253E-2</v>
          </cell>
          <cell r="S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0.36215264339781766</v>
          </cell>
          <cell r="G17">
            <v>0.27918830267480171</v>
          </cell>
          <cell r="H17">
            <v>8.6570422617374354E-2</v>
          </cell>
          <cell r="I17">
            <v>1.2070543350110744E-3</v>
          </cell>
          <cell r="J17">
            <v>0.15946612907653884</v>
          </cell>
          <cell r="K17">
            <v>6.7251519077724245E-3</v>
          </cell>
          <cell r="L17">
            <v>1.8607433205165025E-4</v>
          </cell>
          <cell r="M17">
            <v>2.4553157050850616E-4</v>
          </cell>
          <cell r="N17">
            <v>6.6809134958442096E-2</v>
          </cell>
          <cell r="O17">
            <v>6.415870772052822E-4</v>
          </cell>
          <cell r="P17">
            <v>7.7757711633300534E-3</v>
          </cell>
          <cell r="Q17">
            <v>1.4441998387540251E-2</v>
          </cell>
          <cell r="R17">
            <v>1.4590198501606205E-2</v>
          </cell>
          <cell r="S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D18">
            <v>0</v>
          </cell>
          <cell r="E18">
            <v>0</v>
          </cell>
          <cell r="F18">
            <v>0.35685248193826696</v>
          </cell>
          <cell r="G18">
            <v>0.28098891726056074</v>
          </cell>
          <cell r="H18">
            <v>8.7206283909940618E-2</v>
          </cell>
          <cell r="I18">
            <v>1.2132473460716795E-3</v>
          </cell>
          <cell r="J18">
            <v>0.16104033096385387</v>
          </cell>
          <cell r="K18">
            <v>6.5489686159910278E-3</v>
          </cell>
          <cell r="L18">
            <v>1.8859896668711358E-4</v>
          </cell>
          <cell r="M18">
            <v>2.4676561242571049E-4</v>
          </cell>
          <cell r="N18">
            <v>6.7052440030463054E-2</v>
          </cell>
          <cell r="O18">
            <v>6.337711094853973E-4</v>
          </cell>
          <cell r="P18">
            <v>7.8722180382793695E-3</v>
          </cell>
          <cell r="Q18">
            <v>1.5428205017251857E-2</v>
          </cell>
          <cell r="R18">
            <v>1.4727771190722523E-2</v>
          </cell>
          <cell r="S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>SSGCT</v>
          </cell>
          <cell r="D19">
            <v>0</v>
          </cell>
          <cell r="E19">
            <v>0</v>
          </cell>
          <cell r="F19">
            <v>0.34026820996116136</v>
          </cell>
          <cell r="G19">
            <v>0.27925253883748807</v>
          </cell>
          <cell r="H19">
            <v>8.9634475420693749E-2</v>
          </cell>
          <cell r="I19">
            <v>1.8552394296533451E-3</v>
          </cell>
          <cell r="J19">
            <v>0.1684281746267208</v>
          </cell>
          <cell r="K19">
            <v>6.9877923284921966E-3</v>
          </cell>
          <cell r="L19">
            <v>2.0254968993540476E-4</v>
          </cell>
          <cell r="M19">
            <v>3.7179940410827085E-4</v>
          </cell>
          <cell r="N19">
            <v>6.5838559456222676E-2</v>
          </cell>
          <cell r="O19">
            <v>6.1040227386528669E-4</v>
          </cell>
          <cell r="P19">
            <v>8.4949634528499358E-3</v>
          </cell>
          <cell r="Q19">
            <v>2.1072058720750513E-2</v>
          </cell>
          <cell r="R19">
            <v>1.6983236398058273E-2</v>
          </cell>
          <cell r="S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D20">
            <v>0</v>
          </cell>
          <cell r="E20">
            <v>0</v>
          </cell>
          <cell r="F20">
            <v>0.35007684755743257</v>
          </cell>
          <cell r="G20">
            <v>0.27667587754118128</v>
          </cell>
          <cell r="H20">
            <v>8.9837869142854507E-2</v>
          </cell>
          <cell r="I20">
            <v>2.1169705009157365E-3</v>
          </cell>
          <cell r="J20">
            <v>0.16830351151621933</v>
          </cell>
          <cell r="K20">
            <v>3.8468420821479265E-3</v>
          </cell>
          <cell r="L20">
            <v>1.9940517129058802E-4</v>
          </cell>
          <cell r="M20">
            <v>4.3055638122537984E-4</v>
          </cell>
          <cell r="N20">
            <v>6.5669762940050072E-2</v>
          </cell>
          <cell r="O20">
            <v>6.3849438634543793E-4</v>
          </cell>
          <cell r="P20">
            <v>8.2461106097112061E-3</v>
          </cell>
          <cell r="Q20">
            <v>1.7460906650906046E-2</v>
          </cell>
          <cell r="R20">
            <v>1.6496845519719888E-2</v>
          </cell>
          <cell r="S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D21">
            <v>0</v>
          </cell>
          <cell r="E21">
            <v>0</v>
          </cell>
          <cell r="F21">
            <v>0.33506076766448412</v>
          </cell>
          <cell r="G21">
            <v>0.27578824548960756</v>
          </cell>
          <cell r="H21">
            <v>9.1788282097134605E-2</v>
          </cell>
          <cell r="I21">
            <v>2.5590540142830533E-3</v>
          </cell>
          <cell r="J21">
            <v>0.17446336466919565</v>
          </cell>
          <cell r="K21">
            <v>4.0455924207152168E-3</v>
          </cell>
          <cell r="L21">
            <v>2.1202759055625591E-4</v>
          </cell>
          <cell r="M21">
            <v>5.1152597418173764E-4</v>
          </cell>
          <cell r="N21">
            <v>6.4852692406826479E-2</v>
          </cell>
          <cell r="O21">
            <v>6.1668327314505055E-4</v>
          </cell>
          <cell r="P21">
            <v>8.8040520550055311E-3</v>
          </cell>
          <cell r="Q21">
            <v>2.2826866487845373E-2</v>
          </cell>
          <cell r="R21">
            <v>1.8470845857019358E-2</v>
          </cell>
          <cell r="S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</row>
        <row r="24">
          <cell r="A24" t="str">
            <v>F20</v>
          </cell>
          <cell r="B24" t="str">
            <v>12 Weighted Distribution Peaks</v>
          </cell>
          <cell r="C24">
            <v>0</v>
          </cell>
          <cell r="D24">
            <v>0</v>
          </cell>
          <cell r="E24">
            <v>0</v>
          </cell>
          <cell r="F24">
            <v>0.4707810800032789</v>
          </cell>
          <cell r="G24">
            <v>0.33195406095819258</v>
          </cell>
          <cell r="H24">
            <v>9.6141941246542115E-2</v>
          </cell>
          <cell r="I24">
            <v>7.492994782912029E-4</v>
          </cell>
          <cell r="J24">
            <v>0</v>
          </cell>
          <cell r="K24">
            <v>1.3031919730716126E-2</v>
          </cell>
          <cell r="L24">
            <v>1.7660135383184555E-4</v>
          </cell>
          <cell r="M24">
            <v>1.6273362534603863E-4</v>
          </cell>
          <cell r="N24">
            <v>8.619861671738005E-2</v>
          </cell>
          <cell r="O24">
            <v>8.0374688642115581E-4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</row>
        <row r="25">
          <cell r="A25" t="str">
            <v>F21</v>
          </cell>
          <cell r="B25" t="str">
            <v>Transformers      - NCP</v>
          </cell>
          <cell r="C25">
            <v>0</v>
          </cell>
          <cell r="D25">
            <v>0</v>
          </cell>
          <cell r="E25">
            <v>0</v>
          </cell>
          <cell r="F25">
            <v>0.59055368391181151</v>
          </cell>
          <cell r="G25">
            <v>0.23978681675195562</v>
          </cell>
          <cell r="H25">
            <v>6.3362723263065746E-2</v>
          </cell>
          <cell r="I25">
            <v>3.6483710767670928E-3</v>
          </cell>
          <cell r="J25">
            <v>0</v>
          </cell>
          <cell r="K25">
            <v>2.5710409495489625E-2</v>
          </cell>
          <cell r="L25">
            <v>1.1517789034312014E-4</v>
          </cell>
          <cell r="M25">
            <v>8.5950976985743111E-4</v>
          </cell>
          <cell r="N25">
            <v>7.4564681784161146E-2</v>
          </cell>
          <cell r="O25">
            <v>1.3986260565486363E-3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</row>
        <row r="26">
          <cell r="A26" t="str">
            <v>F22</v>
          </cell>
          <cell r="B26" t="str">
            <v>Secondary Lines - NCP</v>
          </cell>
          <cell r="C26">
            <v>0</v>
          </cell>
          <cell r="D26">
            <v>0</v>
          </cell>
          <cell r="E26">
            <v>0</v>
          </cell>
          <cell r="F26">
            <v>0.88789261336042413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0.11210738663957574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</row>
        <row r="27">
          <cell r="A27" t="str">
            <v>F30</v>
          </cell>
          <cell r="B27" t="str">
            <v>MWH @ Input</v>
          </cell>
          <cell r="C27">
            <v>0</v>
          </cell>
          <cell r="D27">
            <v>0</v>
          </cell>
          <cell r="E27">
            <v>0</v>
          </cell>
          <cell r="F27">
            <v>0.2981356711970386</v>
          </cell>
          <cell r="G27">
            <v>0.27100272119739433</v>
          </cell>
          <cell r="H27">
            <v>9.5864467886311699E-2</v>
          </cell>
          <cell r="I27">
            <v>3.743300341504011E-3</v>
          </cell>
          <cell r="J27">
            <v>0.18866495791233626</v>
          </cell>
          <cell r="K27">
            <v>8.168904844993637E-3</v>
          </cell>
          <cell r="L27">
            <v>2.4160035026963683E-4</v>
          </cell>
          <cell r="M27">
            <v>7.3878562674168518E-4</v>
          </cell>
          <cell r="N27">
            <v>6.1518579380343982E-2</v>
          </cell>
          <cell r="O27">
            <v>5.3423419962455416E-4</v>
          </cell>
          <cell r="P27">
            <v>1.0242103117050911E-2</v>
          </cell>
          <cell r="Q27">
            <v>3.7647288337540143E-2</v>
          </cell>
          <cell r="R27">
            <v>2.3497385608850296E-2</v>
          </cell>
          <cell r="S27">
            <v>1</v>
          </cell>
        </row>
        <row r="28">
          <cell r="A28" t="str">
            <v>F32</v>
          </cell>
          <cell r="B28" t="str">
            <v>Seasonal System Energy Combustion Turbine</v>
          </cell>
          <cell r="C28" t="str">
            <v>SSECT</v>
          </cell>
          <cell r="D28">
            <v>0</v>
          </cell>
          <cell r="E28">
            <v>0</v>
          </cell>
          <cell r="F28">
            <v>0.29051539402984472</v>
          </cell>
          <cell r="G28">
            <v>0.27404340356827012</v>
          </cell>
          <cell r="H28">
            <v>9.6919049952953126E-2</v>
          </cell>
          <cell r="I28">
            <v>3.7812156803983419E-3</v>
          </cell>
          <cell r="J28">
            <v>0.19059170561532157</v>
          </cell>
          <cell r="K28">
            <v>8.3042634659957031E-3</v>
          </cell>
          <cell r="L28">
            <v>2.4440185968027835E-4</v>
          </cell>
          <cell r="M28">
            <v>7.469007791559521E-4</v>
          </cell>
          <cell r="N28">
            <v>6.2196917733501562E-2</v>
          </cell>
          <cell r="O28">
            <v>5.4029576700495498E-4</v>
          </cell>
          <cell r="P28">
            <v>1.0363199696561638E-2</v>
          </cell>
          <cell r="Q28">
            <v>3.800361983124647E-2</v>
          </cell>
          <cell r="R28">
            <v>2.3749632020065511E-2</v>
          </cell>
          <cell r="S28">
            <v>1</v>
          </cell>
        </row>
        <row r="29">
          <cell r="A29" t="str">
            <v>F33</v>
          </cell>
          <cell r="B29" t="str">
            <v>Seasonal System Energy Cholla</v>
          </cell>
          <cell r="C29" t="str">
            <v>SSECH</v>
          </cell>
          <cell r="D29">
            <v>0</v>
          </cell>
          <cell r="E29">
            <v>0</v>
          </cell>
          <cell r="F29">
            <v>0.29001252798563881</v>
          </cell>
          <cell r="G29">
            <v>0.2731253493348863</v>
          </cell>
          <cell r="H29">
            <v>9.7639520959974885E-2</v>
          </cell>
          <cell r="I29">
            <v>3.8853045543850036E-3</v>
          </cell>
          <cell r="J29">
            <v>0.19294292412812464</v>
          </cell>
          <cell r="K29">
            <v>4.6418434364170888E-3</v>
          </cell>
          <cell r="L29">
            <v>2.4989484835325951E-4</v>
          </cell>
          <cell r="M29">
            <v>7.5443475305081106E-4</v>
          </cell>
          <cell r="N29">
            <v>6.2401480807155671E-2</v>
          </cell>
          <cell r="O29">
            <v>5.5124993354388843E-4</v>
          </cell>
          <cell r="P29">
            <v>1.0477876390888503E-2</v>
          </cell>
          <cell r="Q29">
            <v>3.8924745998663357E-2</v>
          </cell>
          <cell r="R29">
            <v>2.4392846868917774E-2</v>
          </cell>
          <cell r="S29">
            <v>1</v>
          </cell>
        </row>
        <row r="30">
          <cell r="A30" t="str">
            <v>F34</v>
          </cell>
          <cell r="B30" t="str">
            <v>Seasonal System Energy Contracts</v>
          </cell>
          <cell r="C30" t="str">
            <v>SSEC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</row>
        <row r="31">
          <cell r="A31" t="str">
            <v>F40</v>
          </cell>
          <cell r="B31" t="str">
            <v>Average Customers</v>
          </cell>
          <cell r="C31">
            <v>0</v>
          </cell>
          <cell r="D31">
            <v>0</v>
          </cell>
          <cell r="E31">
            <v>0</v>
          </cell>
          <cell r="F31">
            <v>0.86644901411377973</v>
          </cell>
          <cell r="G31">
            <v>1.8399491404001402E-2</v>
          </cell>
          <cell r="H31">
            <v>3.550863511828087E-4</v>
          </cell>
          <cell r="I31">
            <v>1.1688961207919509E-2</v>
          </cell>
          <cell r="J31">
            <v>1.9258920742118438E-4</v>
          </cell>
          <cell r="K31">
            <v>3.4485504953855831E-3</v>
          </cell>
          <cell r="L31">
            <v>2.7010636340821111E-3</v>
          </cell>
          <cell r="M31">
            <v>5.6813816189249392E-4</v>
          </cell>
          <cell r="N31">
            <v>9.6180253868685867E-2</v>
          </cell>
          <cell r="O31">
            <v>1.3240508010206427E-5</v>
          </cell>
          <cell r="P31">
            <v>1.2036825463824024E-6</v>
          </cell>
          <cell r="Q31">
            <v>1.2036825463824024E-6</v>
          </cell>
          <cell r="R31">
            <v>1.2036825463824024E-6</v>
          </cell>
          <cell r="S31">
            <v>1</v>
          </cell>
        </row>
        <row r="32">
          <cell r="A32" t="str">
            <v>F41</v>
          </cell>
          <cell r="B32" t="str">
            <v>Weighted Customers Acct 902</v>
          </cell>
          <cell r="C32">
            <v>0</v>
          </cell>
          <cell r="D32">
            <v>0</v>
          </cell>
          <cell r="E32">
            <v>0</v>
          </cell>
          <cell r="F32">
            <v>0.79450159308294821</v>
          </cell>
          <cell r="G32">
            <v>3.4924317228300562E-2</v>
          </cell>
          <cell r="H32">
            <v>1.0673201016540325E-2</v>
          </cell>
          <cell r="I32">
            <v>0</v>
          </cell>
          <cell r="J32">
            <v>7.4365062583677611E-3</v>
          </cell>
          <cell r="K32">
            <v>1.476744052914159E-2</v>
          </cell>
          <cell r="L32">
            <v>2.7492203824199652E-3</v>
          </cell>
          <cell r="M32">
            <v>5.7826738881560768E-4</v>
          </cell>
          <cell r="N32">
            <v>0.13405445997295945</v>
          </cell>
          <cell r="O32">
            <v>8.9843803347057673E-6</v>
          </cell>
          <cell r="P32">
            <v>3.4866901077807761E-5</v>
          </cell>
          <cell r="Q32">
            <v>1.3557142954691761E-4</v>
          </cell>
          <cell r="R32">
            <v>1.3557142954691761E-4</v>
          </cell>
          <cell r="S32">
            <v>1</v>
          </cell>
        </row>
        <row r="33">
          <cell r="A33" t="str">
            <v>F42</v>
          </cell>
          <cell r="B33" t="str">
            <v>Weighted Customers Acct 903</v>
          </cell>
          <cell r="C33">
            <v>0</v>
          </cell>
          <cell r="D33">
            <v>0</v>
          </cell>
          <cell r="E33">
            <v>0</v>
          </cell>
          <cell r="F33">
            <v>0.87121091198399014</v>
          </cell>
          <cell r="G33">
            <v>1.8685618887272257E-2</v>
          </cell>
          <cell r="H33">
            <v>3.6060824098817972E-4</v>
          </cell>
          <cell r="I33">
            <v>1.0806265281044006E-2</v>
          </cell>
          <cell r="J33">
            <v>1.4291196877289566E-3</v>
          </cell>
          <cell r="K33">
            <v>3.5368533735182337E-3</v>
          </cell>
          <cell r="L33">
            <v>2.4986356816757084E-3</v>
          </cell>
          <cell r="M33">
            <v>5.2555973340059469E-4</v>
          </cell>
          <cell r="N33">
            <v>9.0906317860013006E-2</v>
          </cell>
          <cell r="O33">
            <v>1.3313276223762299E-5</v>
          </cell>
          <cell r="P33">
            <v>8.9319980483059787E-6</v>
          </cell>
          <cell r="Q33">
            <v>8.9319980483059787E-6</v>
          </cell>
          <cell r="R33">
            <v>8.9319980483059787E-6</v>
          </cell>
          <cell r="S33">
            <v>1</v>
          </cell>
        </row>
        <row r="34">
          <cell r="A34" t="str">
            <v>F43</v>
          </cell>
          <cell r="B34" t="str">
            <v>Residential Split</v>
          </cell>
          <cell r="C34">
            <v>0</v>
          </cell>
          <cell r="D34">
            <v>0</v>
          </cell>
          <cell r="E34">
            <v>0</v>
          </cell>
          <cell r="F34">
            <v>0.99998471888655327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1.5281113446754698E-5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</row>
        <row r="35">
          <cell r="A35" t="str">
            <v>F44</v>
          </cell>
          <cell r="B35" t="str">
            <v>Commercial Split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0.15333495510637357</v>
          </cell>
          <cell r="H35">
            <v>1.9129550179132204E-3</v>
          </cell>
          <cell r="I35">
            <v>0</v>
          </cell>
          <cell r="J35">
            <v>2.9855367331593611E-4</v>
          </cell>
          <cell r="K35">
            <v>0</v>
          </cell>
          <cell r="L35">
            <v>0</v>
          </cell>
          <cell r="M35">
            <v>0</v>
          </cell>
          <cell r="N35">
            <v>0.84445353620239727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</row>
        <row r="36">
          <cell r="A36" t="str">
            <v>F45</v>
          </cell>
          <cell r="B36" t="str">
            <v>Industrial / Irrigation Split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0.17540597495971241</v>
          </cell>
          <cell r="H36">
            <v>1.5123342010660717E-2</v>
          </cell>
          <cell r="I36">
            <v>0</v>
          </cell>
          <cell r="J36">
            <v>1.5991074748977315E-2</v>
          </cell>
          <cell r="K36">
            <v>0.3551506136110078</v>
          </cell>
          <cell r="L36">
            <v>0</v>
          </cell>
          <cell r="M36">
            <v>0</v>
          </cell>
          <cell r="N36">
            <v>0.43795710921036318</v>
          </cell>
          <cell r="O36">
            <v>0</v>
          </cell>
          <cell r="P36">
            <v>1.2396181975951408E-4</v>
          </cell>
          <cell r="Q36">
            <v>1.2396181975951408E-4</v>
          </cell>
          <cell r="R36">
            <v>1.2396181975951408E-4</v>
          </cell>
          <cell r="S36">
            <v>1</v>
          </cell>
        </row>
        <row r="37">
          <cell r="A37" t="str">
            <v>F46</v>
          </cell>
          <cell r="B37" t="str">
            <v>Lighting / OSPA  Split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0.78144363080389478</v>
          </cell>
          <cell r="J37">
            <v>0</v>
          </cell>
          <cell r="K37">
            <v>0</v>
          </cell>
          <cell r="L37">
            <v>0.18057455540355677</v>
          </cell>
          <cell r="M37">
            <v>3.7981813792548481E-2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</row>
        <row r="38">
          <cell r="A38" t="str">
            <v>F47</v>
          </cell>
          <cell r="B38" t="str">
            <v>Wtd Customers Acct 902 - irrigation</v>
          </cell>
          <cell r="C38">
            <v>0</v>
          </cell>
          <cell r="D38">
            <v>0</v>
          </cell>
          <cell r="E38">
            <v>0</v>
          </cell>
          <cell r="F38">
            <v>0.80012907615042528</v>
          </cell>
          <cell r="G38">
            <v>3.5171687410508537E-2</v>
          </cell>
          <cell r="H38">
            <v>1.0748799679298562E-2</v>
          </cell>
          <cell r="I38">
            <v>0</v>
          </cell>
          <cell r="J38">
            <v>7.4891792969299159E-3</v>
          </cell>
          <cell r="K38">
            <v>7.7890032368576924E-3</v>
          </cell>
          <cell r="L38">
            <v>2.7686932082588629E-3</v>
          </cell>
          <cell r="M38">
            <v>5.82363277316481E-4</v>
          </cell>
          <cell r="N38">
            <v>0.13500397248518778</v>
          </cell>
          <cell r="O38">
            <v>9.0480170204537995E-6</v>
          </cell>
          <cell r="P38">
            <v>3.5113864579377825E-5</v>
          </cell>
          <cell r="Q38">
            <v>1.365316868086413E-4</v>
          </cell>
          <cell r="R38">
            <v>1.365316868086413E-4</v>
          </cell>
          <cell r="S38">
            <v>1</v>
          </cell>
        </row>
        <row r="39">
          <cell r="A39" t="str">
            <v>F48</v>
          </cell>
          <cell r="B39" t="str">
            <v>Wtd Customers Acct 903 - irrigation</v>
          </cell>
          <cell r="C39">
            <v>0</v>
          </cell>
          <cell r="D39">
            <v>0</v>
          </cell>
          <cell r="E39">
            <v>0</v>
          </cell>
          <cell r="F39">
            <v>0.87268092592419133</v>
          </cell>
          <cell r="G39">
            <v>1.8717147556011064E-2</v>
          </cell>
          <cell r="H39">
            <v>3.6121670345566289E-4</v>
          </cell>
          <cell r="I39">
            <v>1.0824498937654747E-2</v>
          </cell>
          <cell r="J39">
            <v>1.4315310738058291E-3</v>
          </cell>
          <cell r="K39">
            <v>1.85549849574065E-3</v>
          </cell>
          <cell r="L39">
            <v>2.5028516863572644E-3</v>
          </cell>
          <cell r="M39">
            <v>5.2644652226409489E-4</v>
          </cell>
          <cell r="N39">
            <v>9.1059706152868819E-2</v>
          </cell>
          <cell r="O39">
            <v>1.3335740016822594E-5</v>
          </cell>
          <cell r="P39">
            <v>8.9470692112864306E-6</v>
          </cell>
          <cell r="Q39">
            <v>8.9470692112864306E-6</v>
          </cell>
          <cell r="R39">
            <v>8.9470692112864306E-6</v>
          </cell>
          <cell r="S39">
            <v>1</v>
          </cell>
        </row>
        <row r="40">
          <cell r="A40" t="str">
            <v>F50</v>
          </cell>
          <cell r="B40" t="str">
            <v>Contribution in Aid of Construction</v>
          </cell>
          <cell r="C40">
            <v>0</v>
          </cell>
          <cell r="D40">
            <v>0</v>
          </cell>
          <cell r="E40">
            <v>0</v>
          </cell>
          <cell r="F40">
            <v>0.15736072656272435</v>
          </cell>
          <cell r="G40">
            <v>2.7706430725220388E-2</v>
          </cell>
          <cell r="H40">
            <v>1.4655706087708829E-2</v>
          </cell>
          <cell r="I40">
            <v>7.2275376376838868E-2</v>
          </cell>
          <cell r="J40">
            <v>0.55846599187674095</v>
          </cell>
          <cell r="K40">
            <v>2.2113049525370673E-3</v>
          </cell>
          <cell r="L40">
            <v>2.7262602191836858E-3</v>
          </cell>
          <cell r="M40">
            <v>6.3707547574648289E-3</v>
          </cell>
          <cell r="N40">
            <v>0.15822744844158118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</row>
        <row r="41">
          <cell r="A41" t="str">
            <v>F51</v>
          </cell>
          <cell r="B41" t="str">
            <v>Security Deposits</v>
          </cell>
          <cell r="C41">
            <v>0</v>
          </cell>
          <cell r="D41">
            <v>0</v>
          </cell>
          <cell r="E41">
            <v>0</v>
          </cell>
          <cell r="F41">
            <v>0.26075906169504837</v>
          </cell>
          <cell r="G41">
            <v>2.9968509951039449E-2</v>
          </cell>
          <cell r="H41">
            <v>8.2251306973778818E-2</v>
          </cell>
          <cell r="I41">
            <v>1.0695391797479142E-3</v>
          </cell>
          <cell r="J41">
            <v>0.28583611654786145</v>
          </cell>
          <cell r="K41">
            <v>7.1929387323423216E-3</v>
          </cell>
          <cell r="L41">
            <v>0</v>
          </cell>
          <cell r="M41">
            <v>4.0838157835987204E-5</v>
          </cell>
          <cell r="N41">
            <v>0.26577596298169065</v>
          </cell>
          <cell r="O41">
            <v>0</v>
          </cell>
          <cell r="P41">
            <v>0</v>
          </cell>
          <cell r="Q41">
            <v>6.7105725780654907E-2</v>
          </cell>
          <cell r="R41">
            <v>0</v>
          </cell>
          <cell r="S41">
            <v>1</v>
          </cell>
        </row>
        <row r="42">
          <cell r="A42" t="str">
            <v>F60</v>
          </cell>
          <cell r="B42" t="str">
            <v>Meters</v>
          </cell>
          <cell r="C42">
            <v>0</v>
          </cell>
          <cell r="D42">
            <v>0</v>
          </cell>
          <cell r="E42">
            <v>0</v>
          </cell>
          <cell r="F42">
            <v>0.68497890837007003</v>
          </cell>
          <cell r="G42">
            <v>0.10902835722412574</v>
          </cell>
          <cell r="H42">
            <v>1.3486620889471447E-2</v>
          </cell>
          <cell r="I42">
            <v>0</v>
          </cell>
          <cell r="J42">
            <v>3.8957800440214296E-2</v>
          </cell>
          <cell r="K42">
            <v>1.1135492495671355E-2</v>
          </cell>
          <cell r="L42">
            <v>2.0350891354208589E-3</v>
          </cell>
          <cell r="M42">
            <v>4.2805796431312178E-4</v>
          </cell>
          <cell r="N42">
            <v>0.1306353806924791</v>
          </cell>
          <cell r="O42">
            <v>1.9981764371414636E-4</v>
          </cell>
          <cell r="P42">
            <v>3.03815838150666E-3</v>
          </cell>
          <cell r="Q42">
            <v>3.03815838150666E-3</v>
          </cell>
          <cell r="R42">
            <v>3.03815838150666E-3</v>
          </cell>
          <cell r="S42">
            <v>1</v>
          </cell>
        </row>
        <row r="43">
          <cell r="A43" t="str">
            <v>F70</v>
          </cell>
          <cell r="B43" t="str">
            <v>Services</v>
          </cell>
          <cell r="C43">
            <v>0</v>
          </cell>
          <cell r="D43">
            <v>0</v>
          </cell>
          <cell r="E43">
            <v>0</v>
          </cell>
          <cell r="F43">
            <v>0.78247152659940289</v>
          </cell>
          <cell r="G43">
            <v>7.9505021864011857E-2</v>
          </cell>
          <cell r="H43">
            <v>3.0064817283884603E-3</v>
          </cell>
          <cell r="I43">
            <v>0</v>
          </cell>
          <cell r="J43">
            <v>0</v>
          </cell>
          <cell r="K43">
            <v>0</v>
          </cell>
          <cell r="L43">
            <v>3.1363648863416945E-3</v>
          </cell>
          <cell r="M43">
            <v>6.5969885309860956E-4</v>
          </cell>
          <cell r="N43">
            <v>0.13122090606875636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</row>
        <row r="44">
          <cell r="A44" t="str">
            <v>F80</v>
          </cell>
          <cell r="B44" t="str">
            <v>Uncollectables</v>
          </cell>
          <cell r="C44">
            <v>0</v>
          </cell>
          <cell r="D44">
            <v>0</v>
          </cell>
          <cell r="E44">
            <v>0</v>
          </cell>
          <cell r="F44">
            <v>0.81065129837697247</v>
          </cell>
          <cell r="G44">
            <v>8.9623473350243746E-2</v>
          </cell>
          <cell r="H44">
            <v>2.7060566570668406E-2</v>
          </cell>
          <cell r="I44">
            <v>0</v>
          </cell>
          <cell r="J44">
            <v>4.2008370112631192E-2</v>
          </cell>
          <cell r="K44">
            <v>6.9250332500972005E-3</v>
          </cell>
          <cell r="L44">
            <v>0</v>
          </cell>
          <cell r="M44">
            <v>0</v>
          </cell>
          <cell r="N44">
            <v>2.3731258339386784E-2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</row>
        <row r="45">
          <cell r="A45" t="str">
            <v>F85</v>
          </cell>
          <cell r="B45" t="str">
            <v>Firm Sales - Utah Share</v>
          </cell>
          <cell r="C45">
            <v>0</v>
          </cell>
          <cell r="D45">
            <v>0</v>
          </cell>
          <cell r="E45">
            <v>0</v>
          </cell>
          <cell r="F45">
            <v>0.33643911685941369</v>
          </cell>
          <cell r="G45">
            <v>0.27844030436176387</v>
          </cell>
          <cell r="H45">
            <v>9.0747831870374704E-2</v>
          </cell>
          <cell r="I45">
            <v>2.1032880770656031E-3</v>
          </cell>
          <cell r="J45">
            <v>0.17158763334158497</v>
          </cell>
          <cell r="K45">
            <v>5.5538087700705971E-3</v>
          </cell>
          <cell r="L45">
            <v>2.0805063036667589E-4</v>
          </cell>
          <cell r="M45">
            <v>4.2118250800580954E-4</v>
          </cell>
          <cell r="N45">
            <v>6.5281456317390962E-2</v>
          </cell>
          <cell r="O45">
            <v>6.0592213968437589E-4</v>
          </cell>
          <cell r="P45">
            <v>8.6653162059154958E-3</v>
          </cell>
          <cell r="Q45">
            <v>2.2195812505219254E-2</v>
          </cell>
          <cell r="R45">
            <v>1.7750276413143921E-2</v>
          </cell>
          <cell r="S45">
            <v>1</v>
          </cell>
        </row>
        <row r="46">
          <cell r="A46" t="str">
            <v>F86</v>
          </cell>
          <cell r="B46" t="str">
            <v>Non Firm Sales - Utah Share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</row>
        <row r="47">
          <cell r="A47" t="str">
            <v>F87</v>
          </cell>
          <cell r="B47" t="str">
            <v>Firm Purchases (Non-Seasonal) - Utah Share</v>
          </cell>
          <cell r="C47">
            <v>0</v>
          </cell>
          <cell r="D47">
            <v>0</v>
          </cell>
          <cell r="E47">
            <v>0</v>
          </cell>
          <cell r="F47">
            <v>0.33498974344285004</v>
          </cell>
          <cell r="G47">
            <v>0.28084078818422581</v>
          </cell>
          <cell r="H47">
            <v>9.0054501965800449E-2</v>
          </cell>
          <cell r="I47">
            <v>1.7613441456342423E-3</v>
          </cell>
          <cell r="J47">
            <v>0.17018925634585255</v>
          </cell>
          <cell r="K47">
            <v>6.8123959913749038E-3</v>
          </cell>
          <cell r="L47">
            <v>2.0644925068073665E-4</v>
          </cell>
          <cell r="M47">
            <v>3.5087871195536835E-4</v>
          </cell>
          <cell r="N47">
            <v>6.5938301165770777E-2</v>
          </cell>
          <cell r="O47">
            <v>5.9761458220806822E-4</v>
          </cell>
          <cell r="P47">
            <v>8.5905776801710881E-3</v>
          </cell>
          <cell r="Q47">
            <v>2.2559342487497944E-2</v>
          </cell>
          <cell r="R47">
            <v>1.7108806045978326E-2</v>
          </cell>
          <cell r="S47">
            <v>1</v>
          </cell>
        </row>
        <row r="48">
          <cell r="A48" t="str">
            <v>F88</v>
          </cell>
          <cell r="B48" t="str">
            <v>Seasonal Purchases - Utah Share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</row>
        <row r="49">
          <cell r="A49" t="str">
            <v>F89</v>
          </cell>
          <cell r="B49" t="str">
            <v>Non firm Purchases - Utah Share</v>
          </cell>
          <cell r="C49">
            <v>0</v>
          </cell>
          <cell r="D49">
            <v>0</v>
          </cell>
          <cell r="E49">
            <v>0</v>
          </cell>
          <cell r="F49">
            <v>0.29979815750086991</v>
          </cell>
          <cell r="G49">
            <v>0.27153082767593717</v>
          </cell>
          <cell r="H49">
            <v>9.5725995590261306E-2</v>
          </cell>
          <cell r="I49">
            <v>3.7181488555205976E-3</v>
          </cell>
          <cell r="J49">
            <v>0.18749351497293129</v>
          </cell>
          <cell r="K49">
            <v>8.0535911679366912E-3</v>
          </cell>
          <cell r="L49">
            <v>2.3886121799682582E-4</v>
          </cell>
          <cell r="M49">
            <v>7.3423736915794228E-4</v>
          </cell>
          <cell r="N49">
            <v>6.1501767050476976E-2</v>
          </cell>
          <cell r="O49">
            <v>5.3622013078342295E-4</v>
          </cell>
          <cell r="P49">
            <v>1.0234264766295255E-2</v>
          </cell>
          <cell r="Q49">
            <v>3.7128983369368061E-2</v>
          </cell>
          <cell r="R49">
            <v>2.330543033246444E-2</v>
          </cell>
          <cell r="S49">
            <v>1</v>
          </cell>
        </row>
        <row r="50">
          <cell r="A50" t="str">
            <v>F90</v>
          </cell>
          <cell r="B50" t="str">
            <v>Coal (Non-Seasonal) - Utah Share</v>
          </cell>
          <cell r="C50">
            <v>0</v>
          </cell>
          <cell r="D50">
            <v>0</v>
          </cell>
          <cell r="E50">
            <v>0</v>
          </cell>
          <cell r="F50">
            <v>0.29747059687518912</v>
          </cell>
          <cell r="G50">
            <v>0.27117620780948143</v>
          </cell>
          <cell r="H50">
            <v>9.6063618438134102E-2</v>
          </cell>
          <cell r="I50">
            <v>3.7582113100422783E-3</v>
          </cell>
          <cell r="J50">
            <v>0.18905544445537212</v>
          </cell>
          <cell r="K50">
            <v>7.8104509563704924E-3</v>
          </cell>
          <cell r="L50">
            <v>2.4225345556404138E-4</v>
          </cell>
          <cell r="M50">
            <v>7.4034957202814291E-4</v>
          </cell>
          <cell r="N50">
            <v>6.1545309447119501E-2</v>
          </cell>
          <cell r="O50">
            <v>5.3424686961272292E-4</v>
          </cell>
          <cell r="P50">
            <v>1.0270609729365249E-2</v>
          </cell>
          <cell r="Q50">
            <v>3.778039999454734E-2</v>
          </cell>
          <cell r="R50">
            <v>2.3552301087173429E-2</v>
          </cell>
          <cell r="S50">
            <v>1</v>
          </cell>
        </row>
        <row r="51">
          <cell r="A51" t="str">
            <v>F91</v>
          </cell>
          <cell r="B51" t="str">
            <v>Seasonal Cholla Coal - Utah Share</v>
          </cell>
          <cell r="C51">
            <v>0</v>
          </cell>
          <cell r="D51">
            <v>0</v>
          </cell>
          <cell r="E51">
            <v>0</v>
          </cell>
          <cell r="F51">
            <v>0.29803711209295691</v>
          </cell>
          <cell r="G51">
            <v>0.27107811080878857</v>
          </cell>
          <cell r="H51">
            <v>9.603368022917208E-2</v>
          </cell>
          <cell r="I51">
            <v>3.7646542273027501E-3</v>
          </cell>
          <cell r="J51">
            <v>0.18891679191924748</v>
          </cell>
          <cell r="K51">
            <v>7.5128668404289226E-3</v>
          </cell>
          <cell r="L51">
            <v>2.4223451999822064E-4</v>
          </cell>
          <cell r="M51">
            <v>7.384535772482102E-4</v>
          </cell>
          <cell r="N51">
            <v>6.1573998749886297E-2</v>
          </cell>
          <cell r="O51">
            <v>5.3511731405607704E-4</v>
          </cell>
          <cell r="P51">
            <v>1.0278414652935297E-2</v>
          </cell>
          <cell r="Q51">
            <v>3.7776055628917352E-2</v>
          </cell>
          <cell r="R51">
            <v>2.3512509439061569E-2</v>
          </cell>
          <cell r="S51">
            <v>1</v>
          </cell>
        </row>
        <row r="52">
          <cell r="A52" t="str">
            <v>F92</v>
          </cell>
          <cell r="B52" t="str">
            <v>Gas (Non-Seasonal) - Utah Share</v>
          </cell>
          <cell r="C52">
            <v>0</v>
          </cell>
          <cell r="D52">
            <v>0</v>
          </cell>
          <cell r="E52">
            <v>0</v>
          </cell>
          <cell r="F52">
            <v>0.29980675988418126</v>
          </cell>
          <cell r="G52">
            <v>0.27119337098099933</v>
          </cell>
          <cell r="H52">
            <v>9.5792608050297309E-2</v>
          </cell>
          <cell r="I52">
            <v>3.7388727917208654E-3</v>
          </cell>
          <cell r="J52">
            <v>0.18799420859614349</v>
          </cell>
          <cell r="K52">
            <v>7.3373034389534785E-3</v>
          </cell>
          <cell r="L52">
            <v>2.4122954559097236E-4</v>
          </cell>
          <cell r="M52">
            <v>7.35771206711764E-4</v>
          </cell>
          <cell r="N52">
            <v>6.1607347581396285E-2</v>
          </cell>
          <cell r="O52">
            <v>5.3909962349364573E-4</v>
          </cell>
          <cell r="P52">
            <v>1.0220696319511637E-2</v>
          </cell>
          <cell r="Q52">
            <v>3.7361039545440587E-2</v>
          </cell>
          <cell r="R52">
            <v>2.3431692435559603E-2</v>
          </cell>
          <cell r="S52">
            <v>1</v>
          </cell>
        </row>
        <row r="53">
          <cell r="A53" t="str">
            <v>F93</v>
          </cell>
          <cell r="B53" t="str">
            <v>Seasonal CT Gas - Utah Share</v>
          </cell>
          <cell r="C53">
            <v>0</v>
          </cell>
          <cell r="D53">
            <v>0</v>
          </cell>
          <cell r="E53">
            <v>0</v>
          </cell>
          <cell r="F53">
            <v>0.29601091350693043</v>
          </cell>
          <cell r="G53">
            <v>0.27107096281757431</v>
          </cell>
          <cell r="H53">
            <v>9.6180378447097273E-2</v>
          </cell>
          <cell r="I53">
            <v>3.7663464777364679E-3</v>
          </cell>
          <cell r="J53">
            <v>0.18990214303332312</v>
          </cell>
          <cell r="K53">
            <v>8.0618697126322528E-3</v>
          </cell>
          <cell r="L53">
            <v>2.4265412429505927E-4</v>
          </cell>
          <cell r="M53">
            <v>7.4442531661012782E-4</v>
          </cell>
          <cell r="N53">
            <v>6.1507878969924837E-2</v>
          </cell>
          <cell r="O53">
            <v>5.3193896728645376E-4</v>
          </cell>
          <cell r="P53">
            <v>1.0282127393483897E-2</v>
          </cell>
          <cell r="Q53">
            <v>3.8048258075726683E-2</v>
          </cell>
          <cell r="R53">
            <v>2.3650103157378997E-2</v>
          </cell>
          <cell r="S53">
            <v>1</v>
          </cell>
        </row>
        <row r="54">
          <cell r="A54" t="str">
            <v>F94</v>
          </cell>
          <cell r="B54" t="str">
            <v>Other Generation - Utah Share</v>
          </cell>
          <cell r="C54">
            <v>0</v>
          </cell>
          <cell r="D54">
            <v>0</v>
          </cell>
          <cell r="E54">
            <v>0</v>
          </cell>
          <cell r="F54">
            <v>0.29768750074992412</v>
          </cell>
          <cell r="G54">
            <v>0.27111580007800595</v>
          </cell>
          <cell r="H54">
            <v>9.6115817842318443E-2</v>
          </cell>
          <cell r="I54">
            <v>3.7611351026905068E-3</v>
          </cell>
          <cell r="J54">
            <v>0.18907265802723822</v>
          </cell>
          <cell r="K54">
            <v>7.5683482108941458E-3</v>
          </cell>
          <cell r="L54">
            <v>2.4302144661041399E-4</v>
          </cell>
          <cell r="M54">
            <v>7.4285179942495212E-4</v>
          </cell>
          <cell r="N54">
            <v>6.157518635005256E-2</v>
          </cell>
          <cell r="O54">
            <v>5.3611760493784875E-4</v>
          </cell>
          <cell r="P54">
            <v>1.0258304197060053E-2</v>
          </cell>
          <cell r="Q54">
            <v>3.7800308510901597E-2</v>
          </cell>
          <cell r="R54">
            <v>2.3522950079941145E-2</v>
          </cell>
          <cell r="S54">
            <v>1</v>
          </cell>
        </row>
        <row r="55">
          <cell r="A55" t="str">
            <v>F95</v>
          </cell>
          <cell r="B55" t="str">
            <v>Firm Wheeling - Utah Share</v>
          </cell>
          <cell r="C55">
            <v>0</v>
          </cell>
          <cell r="D55">
            <v>0</v>
          </cell>
          <cell r="E55">
            <v>0</v>
          </cell>
          <cell r="F55">
            <v>0.33412632373644391</v>
          </cell>
          <cell r="G55">
            <v>0.28017553674375428</v>
          </cell>
          <cell r="H55">
            <v>9.0532563236644256E-2</v>
          </cell>
          <cell r="I55">
            <v>1.9383373737231755E-3</v>
          </cell>
          <cell r="J55">
            <v>0.17132273027688091</v>
          </cell>
          <cell r="K55">
            <v>6.2431564574266674E-3</v>
          </cell>
          <cell r="L55">
            <v>2.067668069395467E-4</v>
          </cell>
          <cell r="M55">
            <v>3.8752704099499964E-4</v>
          </cell>
          <cell r="N55">
            <v>6.5792372584794034E-2</v>
          </cell>
          <cell r="O55">
            <v>5.9927538502456347E-4</v>
          </cell>
          <cell r="P55">
            <v>8.6302901635804796E-3</v>
          </cell>
          <cell r="Q55">
            <v>2.2658388464404884E-2</v>
          </cell>
          <cell r="R55">
            <v>1.738673172938817E-2</v>
          </cell>
          <cell r="S55">
            <v>1</v>
          </cell>
        </row>
        <row r="56">
          <cell r="A56" t="str">
            <v>F96</v>
          </cell>
          <cell r="B56" t="str">
            <v>Non-Firm Wheeling - Utah Share</v>
          </cell>
          <cell r="C56">
            <v>0</v>
          </cell>
          <cell r="D56">
            <v>0</v>
          </cell>
          <cell r="E56">
            <v>0</v>
          </cell>
          <cell r="F56">
            <v>0.29947784433237412</v>
          </cell>
          <cell r="G56">
            <v>0.27014360972380774</v>
          </cell>
          <cell r="H56">
            <v>9.5979968488540707E-2</v>
          </cell>
          <cell r="I56">
            <v>3.7835095344273531E-3</v>
          </cell>
          <cell r="J56">
            <v>0.18903682572612729</v>
          </cell>
          <cell r="K56">
            <v>6.7989466928714982E-3</v>
          </cell>
          <cell r="L56">
            <v>2.4338737717096326E-4</v>
          </cell>
          <cell r="M56">
            <v>7.4497679800308804E-4</v>
          </cell>
          <cell r="N56">
            <v>6.1790987552453401E-2</v>
          </cell>
          <cell r="O56">
            <v>5.4189131358046527E-4</v>
          </cell>
          <cell r="P56">
            <v>1.0145184907983088E-2</v>
          </cell>
          <cell r="Q56">
            <v>3.8003876801940617E-2</v>
          </cell>
          <cell r="R56">
            <v>2.3308990750719759E-2</v>
          </cell>
          <cell r="S56">
            <v>1</v>
          </cell>
        </row>
        <row r="57">
          <cell r="A57" t="str">
            <v>F101</v>
          </cell>
          <cell r="B57" t="str">
            <v>Rate Base</v>
          </cell>
          <cell r="C57">
            <v>0</v>
          </cell>
          <cell r="D57">
            <v>0</v>
          </cell>
          <cell r="E57">
            <v>0</v>
          </cell>
          <cell r="F57">
            <v>0.40387943064020398</v>
          </cell>
          <cell r="G57">
            <v>0.26689296553279024</v>
          </cell>
          <cell r="H57">
            <v>8.2933087793711766E-2</v>
          </cell>
          <cell r="I57">
            <v>4.662233909154833E-3</v>
          </cell>
          <cell r="J57">
            <v>0.12550926366144619</v>
          </cell>
          <cell r="K57">
            <v>8.4693605035784398E-3</v>
          </cell>
          <cell r="L57">
            <v>2.7747218159948281E-4</v>
          </cell>
          <cell r="M57">
            <v>3.6725389816889001E-4</v>
          </cell>
          <cell r="N57">
            <v>7.1480389457339838E-2</v>
          </cell>
          <cell r="O57">
            <v>6.3627218527380488E-4</v>
          </cell>
          <cell r="P57">
            <v>6.3463974311634393E-3</v>
          </cell>
          <cell r="Q57">
            <v>1.5622140590785091E-2</v>
          </cell>
          <cell r="R57">
            <v>1.2923732214783917E-2</v>
          </cell>
          <cell r="S57">
            <v>1</v>
          </cell>
        </row>
        <row r="58">
          <cell r="A58" t="str">
            <v>F101G</v>
          </cell>
          <cell r="B58" t="str">
            <v>Generation Rate Base</v>
          </cell>
          <cell r="C58">
            <v>0</v>
          </cell>
          <cell r="D58">
            <v>0</v>
          </cell>
          <cell r="E58">
            <v>0</v>
          </cell>
          <cell r="F58">
            <v>0.34242047733702197</v>
          </cell>
          <cell r="G58">
            <v>0.27667674618918187</v>
          </cell>
          <cell r="H58">
            <v>8.9435722498969791E-2</v>
          </cell>
          <cell r="I58">
            <v>1.9879904619515497E-3</v>
          </cell>
          <cell r="J58">
            <v>0.16846465218813683</v>
          </cell>
          <cell r="K58">
            <v>7.1629602227303042E-3</v>
          </cell>
          <cell r="L58">
            <v>2.031902253860918E-4</v>
          </cell>
          <cell r="M58">
            <v>3.9737259136167182E-4</v>
          </cell>
          <cell r="N58">
            <v>6.518253487310563E-2</v>
          </cell>
          <cell r="O58">
            <v>6.0854337229930902E-4</v>
          </cell>
          <cell r="P58">
            <v>8.5356078158865256E-3</v>
          </cell>
          <cell r="Q58">
            <v>2.1590414087835953E-2</v>
          </cell>
          <cell r="R58">
            <v>1.7333788136132965E-2</v>
          </cell>
          <cell r="S58">
            <v>1</v>
          </cell>
        </row>
        <row r="59">
          <cell r="A59" t="str">
            <v>F101T</v>
          </cell>
          <cell r="B59" t="str">
            <v>Transmission Rate Base</v>
          </cell>
          <cell r="C59">
            <v>0</v>
          </cell>
          <cell r="D59">
            <v>0</v>
          </cell>
          <cell r="E59">
            <v>0</v>
          </cell>
          <cell r="F59">
            <v>0.3438402316389314</v>
          </cell>
          <cell r="G59">
            <v>0.27555602443468841</v>
          </cell>
          <cell r="H59">
            <v>8.8373153347162947E-2</v>
          </cell>
          <cell r="I59">
            <v>1.6550020456530543E-3</v>
          </cell>
          <cell r="J59">
            <v>0.1718140092334865</v>
          </cell>
          <cell r="K59">
            <v>7.0401623640345551E-3</v>
          </cell>
          <cell r="L59">
            <v>1.9221650824100835E-4</v>
          </cell>
          <cell r="M59">
            <v>3.5130227880528312E-4</v>
          </cell>
          <cell r="N59">
            <v>6.4740677040601255E-2</v>
          </cell>
          <cell r="O59">
            <v>6.1133376098984377E-4</v>
          </cell>
          <cell r="P59">
            <v>8.384840063816559E-3</v>
          </cell>
          <cell r="Q59">
            <v>2.0138427935932263E-2</v>
          </cell>
          <cell r="R59">
            <v>1.7302619347657436E-2</v>
          </cell>
          <cell r="S59">
            <v>1</v>
          </cell>
        </row>
        <row r="60">
          <cell r="A60" t="str">
            <v>F101D</v>
          </cell>
          <cell r="B60" t="str">
            <v>Distribution Rate Base</v>
          </cell>
          <cell r="C60">
            <v>0</v>
          </cell>
          <cell r="D60">
            <v>0</v>
          </cell>
          <cell r="E60">
            <v>0</v>
          </cell>
          <cell r="F60">
            <v>0.57660712262796932</v>
          </cell>
          <cell r="G60">
            <v>0.23918842268196797</v>
          </cell>
          <cell r="H60">
            <v>6.556311904906631E-2</v>
          </cell>
          <cell r="I60">
            <v>1.2654865517756001E-2</v>
          </cell>
          <cell r="J60">
            <v>-2.4843182886082159E-5</v>
          </cell>
          <cell r="K60">
            <v>1.2403832878981582E-2</v>
          </cell>
          <cell r="L60">
            <v>4.8424208582078534E-4</v>
          </cell>
          <cell r="M60">
            <v>3.1572602268109263E-4</v>
          </cell>
          <cell r="N60">
            <v>9.179079119731684E-2</v>
          </cell>
          <cell r="O60">
            <v>7.1370337197621729E-4</v>
          </cell>
          <cell r="P60">
            <v>1.0065917048470323E-4</v>
          </cell>
          <cell r="Q60">
            <v>1.0145498212244967E-4</v>
          </cell>
          <cell r="R60">
            <v>1.0090359674253332E-4</v>
          </cell>
          <cell r="S60">
            <v>1</v>
          </cell>
        </row>
        <row r="61">
          <cell r="A61" t="str">
            <v>F101R</v>
          </cell>
          <cell r="B61" t="str">
            <v>Retail Rate Base</v>
          </cell>
          <cell r="C61">
            <v>0</v>
          </cell>
          <cell r="D61">
            <v>0</v>
          </cell>
          <cell r="E61">
            <v>0</v>
          </cell>
          <cell r="F61">
            <v>-3.6755537519483097</v>
          </cell>
          <cell r="G61">
            <v>7.3999564773730556E-2</v>
          </cell>
          <cell r="H61">
            <v>0.60387424979833171</v>
          </cell>
          <cell r="I61">
            <v>-5.6033058722564602E-2</v>
          </cell>
          <cell r="J61">
            <v>2.1250485311204321</v>
          </cell>
          <cell r="K61">
            <v>3.0985234679691318E-2</v>
          </cell>
          <cell r="L61">
            <v>-1.5584865733203284E-2</v>
          </cell>
          <cell r="M61">
            <v>-2.9753097980085149E-3</v>
          </cell>
          <cell r="N61">
            <v>1.412285515178362</v>
          </cell>
          <cell r="O61">
            <v>-9.2892521883968228E-5</v>
          </cell>
          <cell r="P61">
            <v>-8.4991158924146344E-5</v>
          </cell>
          <cell r="Q61">
            <v>0.50427520003501081</v>
          </cell>
          <cell r="R61">
            <v>-1.4342570266041808E-4</v>
          </cell>
          <cell r="S61">
            <v>1</v>
          </cell>
        </row>
        <row r="62">
          <cell r="A62" t="str">
            <v>F101M</v>
          </cell>
          <cell r="B62" t="str">
            <v>Misc Rate Base</v>
          </cell>
          <cell r="C62">
            <v>0</v>
          </cell>
          <cell r="D62">
            <v>0</v>
          </cell>
          <cell r="E62">
            <v>0</v>
          </cell>
          <cell r="F62">
            <v>0.37194479648276563</v>
          </cell>
          <cell r="G62">
            <v>0.27017472865114867</v>
          </cell>
          <cell r="H62">
            <v>8.6399066627692964E-2</v>
          </cell>
          <cell r="I62">
            <v>4.3838958740342413E-3</v>
          </cell>
          <cell r="J62">
            <v>0.14637292352103043</v>
          </cell>
          <cell r="K62">
            <v>7.9917244246912617E-3</v>
          </cell>
          <cell r="L62">
            <v>2.4733407066771136E-4</v>
          </cell>
          <cell r="M62">
            <v>4.1697866713456182E-4</v>
          </cell>
          <cell r="N62">
            <v>6.8699232623730316E-2</v>
          </cell>
          <cell r="O62">
            <v>6.1439919273320988E-4</v>
          </cell>
          <cell r="P62">
            <v>7.4454421015251364E-3</v>
          </cell>
          <cell r="Q62">
            <v>1.9893301994217572E-2</v>
          </cell>
          <cell r="R62">
            <v>1.5416175768628354E-2</v>
          </cell>
          <cell r="S62">
            <v>1</v>
          </cell>
        </row>
        <row r="63">
          <cell r="A63" t="str">
            <v>F102</v>
          </cell>
          <cell r="B63" t="str">
            <v>SGP - System Gross Plant</v>
          </cell>
          <cell r="C63">
            <v>0</v>
          </cell>
          <cell r="D63">
            <v>0</v>
          </cell>
          <cell r="E63">
            <v>0</v>
          </cell>
          <cell r="F63">
            <v>0.40699770433233362</v>
          </cell>
          <cell r="G63">
            <v>0.26604829024262955</v>
          </cell>
          <cell r="H63">
            <v>8.2358502052883642E-2</v>
          </cell>
          <cell r="I63">
            <v>5.9844966363501381E-3</v>
          </cell>
          <cell r="J63">
            <v>0.12315062656674258</v>
          </cell>
          <cell r="K63">
            <v>8.4484920904371388E-3</v>
          </cell>
          <cell r="L63">
            <v>2.7542354000494149E-4</v>
          </cell>
          <cell r="M63">
            <v>3.539347696718907E-4</v>
          </cell>
          <cell r="N63">
            <v>7.2502478242994509E-2</v>
          </cell>
          <cell r="O63">
            <v>6.3661179214994442E-4</v>
          </cell>
          <cell r="P63">
            <v>6.1343366117120202E-3</v>
          </cell>
          <cell r="Q63">
            <v>1.4734950200145411E-2</v>
          </cell>
          <cell r="R63">
            <v>1.2374152921944659E-2</v>
          </cell>
          <cell r="S63">
            <v>1</v>
          </cell>
        </row>
        <row r="64">
          <cell r="A64" t="str">
            <v>F102G</v>
          </cell>
          <cell r="B64" t="str">
            <v>SGGP - System Gross Generation Plant</v>
          </cell>
          <cell r="C64">
            <v>0</v>
          </cell>
          <cell r="D64">
            <v>0</v>
          </cell>
          <cell r="E64">
            <v>0</v>
          </cell>
          <cell r="F64">
            <v>0.34614840034762284</v>
          </cell>
          <cell r="G64">
            <v>0.27714190730544985</v>
          </cell>
          <cell r="H64">
            <v>8.8893933934608704E-2</v>
          </cell>
          <cell r="I64">
            <v>1.8411158366343089E-3</v>
          </cell>
          <cell r="J64">
            <v>0.16676583628548819</v>
          </cell>
          <cell r="K64">
            <v>7.0860901420777261E-3</v>
          </cell>
          <cell r="L64">
            <v>1.9995583660614694E-4</v>
          </cell>
          <cell r="M64">
            <v>3.6884508456680091E-4</v>
          </cell>
          <cell r="N64">
            <v>6.5486496063917571E-2</v>
          </cell>
          <cell r="O64">
            <v>6.1474885781010011E-4</v>
          </cell>
          <cell r="P64">
            <v>8.3923541517602687E-3</v>
          </cell>
          <cell r="Q64">
            <v>2.0243320875040226E-2</v>
          </cell>
          <cell r="R64">
            <v>1.6816995278417228E-2</v>
          </cell>
          <cell r="S64">
            <v>1</v>
          </cell>
        </row>
        <row r="65">
          <cell r="A65" t="str">
            <v>F102T</v>
          </cell>
          <cell r="B65" t="str">
            <v>SGTP - System Gross Transmission Plant</v>
          </cell>
          <cell r="C65">
            <v>0</v>
          </cell>
          <cell r="D65">
            <v>0</v>
          </cell>
          <cell r="E65">
            <v>0</v>
          </cell>
          <cell r="F65">
            <v>0.34340037373305027</v>
          </cell>
          <cell r="G65">
            <v>0.27494171416134194</v>
          </cell>
          <cell r="H65">
            <v>8.8188216687089913E-2</v>
          </cell>
          <cell r="I65">
            <v>1.826499460205872E-3</v>
          </cell>
          <cell r="J65">
            <v>0.17276601076781811</v>
          </cell>
          <cell r="K65">
            <v>7.0298346046142176E-3</v>
          </cell>
          <cell r="L65">
            <v>1.9836841352350088E-4</v>
          </cell>
          <cell r="M65">
            <v>3.6591687196195889E-4</v>
          </cell>
          <cell r="N65">
            <v>6.4966607386408096E-2</v>
          </cell>
          <cell r="O65">
            <v>6.0986844749809615E-4</v>
          </cell>
          <cell r="P65">
            <v>8.3638913257047861E-3</v>
          </cell>
          <cell r="Q65">
            <v>2.0082611813620106E-2</v>
          </cell>
          <cell r="R65">
            <v>1.7260086327163283E-2</v>
          </cell>
          <cell r="S65">
            <v>1</v>
          </cell>
        </row>
        <row r="66">
          <cell r="A66" t="str">
            <v>F102D</v>
          </cell>
          <cell r="B66" t="str">
            <v>SGDP - System Gross Distribution Plant</v>
          </cell>
          <cell r="C66">
            <v>0</v>
          </cell>
          <cell r="D66">
            <v>0</v>
          </cell>
          <cell r="E66">
            <v>0</v>
          </cell>
          <cell r="F66">
            <v>0.57228327124950928</v>
          </cell>
          <cell r="G66">
            <v>0.23812514611636967</v>
          </cell>
          <cell r="H66">
            <v>6.542531486363444E-2</v>
          </cell>
          <cell r="I66">
            <v>1.7098032327922709E-2</v>
          </cell>
          <cell r="J66">
            <v>1.3798204912094045E-3</v>
          </cell>
          <cell r="K66">
            <v>1.2144883461154256E-2</v>
          </cell>
          <cell r="L66">
            <v>4.7892714432723146E-4</v>
          </cell>
          <cell r="M66">
            <v>3.163811342316408E-4</v>
          </cell>
          <cell r="N66">
            <v>9.1726219433068079E-2</v>
          </cell>
          <cell r="O66">
            <v>6.9918422949930893E-4</v>
          </cell>
          <cell r="P66">
            <v>1.0760651635802231E-4</v>
          </cell>
          <cell r="Q66">
            <v>1.0760651635802231E-4</v>
          </cell>
          <cell r="R66">
            <v>1.0760651635802231E-4</v>
          </cell>
          <cell r="S66">
            <v>1</v>
          </cell>
        </row>
        <row r="67">
          <cell r="A67" t="str">
            <v>F102R</v>
          </cell>
          <cell r="B67" t="str">
            <v>SGTP - System Gross Retail Plant</v>
          </cell>
          <cell r="C67">
            <v>0</v>
          </cell>
          <cell r="D67">
            <v>0</v>
          </cell>
          <cell r="E67">
            <v>0</v>
          </cell>
          <cell r="F67">
            <v>0.40699770433233362</v>
          </cell>
          <cell r="G67">
            <v>0.26604829024262955</v>
          </cell>
          <cell r="H67">
            <v>8.2358502052883642E-2</v>
          </cell>
          <cell r="I67">
            <v>5.9844966363501381E-3</v>
          </cell>
          <cell r="J67">
            <v>0.12315062656674258</v>
          </cell>
          <cell r="K67">
            <v>8.4484920904371388E-3</v>
          </cell>
          <cell r="L67">
            <v>2.7542354000494149E-4</v>
          </cell>
          <cell r="M67">
            <v>3.539347696718907E-4</v>
          </cell>
          <cell r="N67">
            <v>7.2502478242994509E-2</v>
          </cell>
          <cell r="O67">
            <v>6.3661179214994442E-4</v>
          </cell>
          <cell r="P67">
            <v>6.1343366117120202E-3</v>
          </cell>
          <cell r="Q67">
            <v>1.4734950200145411E-2</v>
          </cell>
          <cell r="R67">
            <v>1.2374152921944659E-2</v>
          </cell>
          <cell r="S67">
            <v>1</v>
          </cell>
        </row>
        <row r="68">
          <cell r="A68" t="str">
            <v>F102M</v>
          </cell>
          <cell r="B68" t="str">
            <v>SGDP - System Gross Misc Plant</v>
          </cell>
          <cell r="C68">
            <v>0</v>
          </cell>
          <cell r="D68">
            <v>0</v>
          </cell>
          <cell r="E68">
            <v>0</v>
          </cell>
          <cell r="F68">
            <v>0.40699770433233362</v>
          </cell>
          <cell r="G68">
            <v>0.26604829024262955</v>
          </cell>
          <cell r="H68">
            <v>8.2358502052883642E-2</v>
          </cell>
          <cell r="I68">
            <v>5.9844966363501381E-3</v>
          </cell>
          <cell r="J68">
            <v>0.12315062656674258</v>
          </cell>
          <cell r="K68">
            <v>8.4484920904371388E-3</v>
          </cell>
          <cell r="L68">
            <v>2.7542354000494149E-4</v>
          </cell>
          <cell r="M68">
            <v>3.539347696718907E-4</v>
          </cell>
          <cell r="N68">
            <v>7.2502478242994509E-2</v>
          </cell>
          <cell r="O68">
            <v>6.3661179214994442E-4</v>
          </cell>
          <cell r="P68">
            <v>6.1343366117120202E-3</v>
          </cell>
          <cell r="Q68">
            <v>1.4734950200145411E-2</v>
          </cell>
          <cell r="R68">
            <v>1.2374152921944659E-2</v>
          </cell>
          <cell r="S68">
            <v>1</v>
          </cell>
        </row>
        <row r="69">
          <cell r="A69" t="str">
            <v>F103</v>
          </cell>
          <cell r="B69" t="str">
            <v>SGP - System Gross Plant (Regulatory fees)</v>
          </cell>
          <cell r="C69">
            <v>0</v>
          </cell>
          <cell r="D69">
            <v>0</v>
          </cell>
          <cell r="E69">
            <v>0</v>
          </cell>
          <cell r="F69">
            <v>0.25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0.25</v>
          </cell>
          <cell r="L69">
            <v>0</v>
          </cell>
          <cell r="M69">
            <v>0</v>
          </cell>
          <cell r="N69">
            <v>0.25</v>
          </cell>
          <cell r="O69">
            <v>0.25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</row>
        <row r="70">
          <cell r="A70" t="str">
            <v>F104</v>
          </cell>
          <cell r="B70" t="str">
            <v>SNP - System Net Plant</v>
          </cell>
          <cell r="C70">
            <v>0</v>
          </cell>
          <cell r="D70">
            <v>0</v>
          </cell>
          <cell r="E70">
            <v>0</v>
          </cell>
          <cell r="F70">
            <v>0.40685137361051088</v>
          </cell>
          <cell r="G70">
            <v>0.26565191032875735</v>
          </cell>
          <cell r="H70">
            <v>8.2420700219701909E-2</v>
          </cell>
          <cell r="I70">
            <v>4.7494781898919499E-3</v>
          </cell>
          <cell r="J70">
            <v>0.12422881700322501</v>
          </cell>
          <cell r="K70">
            <v>8.5005894274748379E-3</v>
          </cell>
          <cell r="L70">
            <v>2.8258285306598328E-4</v>
          </cell>
          <cell r="M70">
            <v>3.6611178844853088E-4</v>
          </cell>
          <cell r="N70">
            <v>7.2376855493827622E-2</v>
          </cell>
          <cell r="O70">
            <v>6.3680534764103645E-4</v>
          </cell>
          <cell r="P70">
            <v>6.2004998076277094E-3</v>
          </cell>
          <cell r="Q70">
            <v>1.5161025682856153E-2</v>
          </cell>
          <cell r="R70">
            <v>1.2573250246971352E-2</v>
          </cell>
          <cell r="S70">
            <v>1</v>
          </cell>
        </row>
        <row r="71">
          <cell r="A71" t="str">
            <v>F104G</v>
          </cell>
          <cell r="B71" t="str">
            <v>SNP - System Net Generation Plant</v>
          </cell>
          <cell r="C71">
            <v>0</v>
          </cell>
          <cell r="D71">
            <v>0</v>
          </cell>
          <cell r="E71">
            <v>0</v>
          </cell>
          <cell r="F71">
            <v>0.34420642446377425</v>
          </cell>
          <cell r="G71">
            <v>0.27689359500204153</v>
          </cell>
          <cell r="H71">
            <v>8.9175871851307834E-2</v>
          </cell>
          <cell r="I71">
            <v>1.9180536924996142E-3</v>
          </cell>
          <cell r="J71">
            <v>0.16765159235120625</v>
          </cell>
          <cell r="K71">
            <v>7.1298868617589656E-3</v>
          </cell>
          <cell r="L71">
            <v>2.0164023661130938E-4</v>
          </cell>
          <cell r="M71">
            <v>3.8380810841633751E-4</v>
          </cell>
          <cell r="N71">
            <v>6.5326005322296668E-2</v>
          </cell>
          <cell r="O71">
            <v>6.1149227299897113E-4</v>
          </cell>
          <cell r="P71">
            <v>8.4671711418651697E-3</v>
          </cell>
          <cell r="Q71">
            <v>2.0947260969540159E-2</v>
          </cell>
          <cell r="R71">
            <v>1.7087197725683005E-2</v>
          </cell>
          <cell r="S71">
            <v>1</v>
          </cell>
        </row>
        <row r="72">
          <cell r="A72" t="str">
            <v>F104T</v>
          </cell>
          <cell r="B72" t="str">
            <v>SNP - System Net Transmission Plant</v>
          </cell>
          <cell r="C72">
            <v>0</v>
          </cell>
          <cell r="D72">
            <v>0</v>
          </cell>
          <cell r="E72">
            <v>0</v>
          </cell>
          <cell r="F72">
            <v>0.34340052398237036</v>
          </cell>
          <cell r="G72">
            <v>0.27494183445767456</v>
          </cell>
          <cell r="H72">
            <v>8.8188255272428212E-2</v>
          </cell>
          <cell r="I72">
            <v>1.8265002593613857E-3</v>
          </cell>
          <cell r="J72">
            <v>0.17276568270617143</v>
          </cell>
          <cell r="K72">
            <v>7.0298376804054808E-3</v>
          </cell>
          <cell r="L72">
            <v>1.9836850031641534E-4</v>
          </cell>
          <cell r="M72">
            <v>3.6591703206301121E-4</v>
          </cell>
          <cell r="N72">
            <v>6.4966635811504095E-2</v>
          </cell>
          <cell r="O72">
            <v>6.0986871433624365E-4</v>
          </cell>
          <cell r="P72">
            <v>8.3638928819197954E-3</v>
          </cell>
          <cell r="Q72">
            <v>2.0082620600444471E-2</v>
          </cell>
          <cell r="R72">
            <v>1.7260062101004607E-2</v>
          </cell>
          <cell r="S72">
            <v>1</v>
          </cell>
        </row>
        <row r="73">
          <cell r="A73" t="str">
            <v>F104D</v>
          </cell>
          <cell r="B73" t="str">
            <v>SNP - System Net Distribution Plant</v>
          </cell>
          <cell r="C73">
            <v>0</v>
          </cell>
          <cell r="D73">
            <v>0</v>
          </cell>
          <cell r="E73">
            <v>0</v>
          </cell>
          <cell r="F73">
            <v>0.57613045334718493</v>
          </cell>
          <cell r="G73">
            <v>0.23846417633296926</v>
          </cell>
          <cell r="H73">
            <v>6.5362943553253811E-2</v>
          </cell>
          <cell r="I73">
            <v>1.2575185943177299E-2</v>
          </cell>
          <cell r="J73">
            <v>1.2791519146759583E-3</v>
          </cell>
          <cell r="K73">
            <v>1.2403440118704276E-2</v>
          </cell>
          <cell r="L73">
            <v>4.897227255862617E-4</v>
          </cell>
          <cell r="M73">
            <v>3.3148038799609412E-4</v>
          </cell>
          <cell r="N73">
            <v>9.1950992239916401E-2</v>
          </cell>
          <cell r="O73">
            <v>7.1318607029246595E-4</v>
          </cell>
          <cell r="P73">
            <v>9.9755788747802202E-5</v>
          </cell>
          <cell r="Q73">
            <v>9.9755788747802202E-5</v>
          </cell>
          <cell r="R73">
            <v>9.9755788747802202E-5</v>
          </cell>
          <cell r="S73">
            <v>1</v>
          </cell>
        </row>
        <row r="74">
          <cell r="A74" t="str">
            <v>F104R</v>
          </cell>
          <cell r="B74" t="str">
            <v>SNP - System Net Retail Plant</v>
          </cell>
          <cell r="C74">
            <v>0</v>
          </cell>
          <cell r="D74">
            <v>0</v>
          </cell>
          <cell r="E74">
            <v>0</v>
          </cell>
          <cell r="F74">
            <v>0.87164885972756267</v>
          </cell>
          <cell r="G74">
            <v>1.8711933791347925E-2</v>
          </cell>
          <cell r="H74">
            <v>3.6111608455106865E-4</v>
          </cell>
          <cell r="I74">
            <v>1.0725084478773038E-2</v>
          </cell>
          <cell r="J74">
            <v>1.5428423563938244E-3</v>
          </cell>
          <cell r="K74">
            <v>3.5449745149797318E-3</v>
          </cell>
          <cell r="L74">
            <v>2.4800185530835465E-3</v>
          </cell>
          <cell r="M74">
            <v>5.2164383112987165E-4</v>
          </cell>
          <cell r="N74">
            <v>9.0421278399340152E-2</v>
          </cell>
          <cell r="O74">
            <v>1.3319968655183395E-5</v>
          </cell>
          <cell r="P74">
            <v>9.6427647274614109E-6</v>
          </cell>
          <cell r="Q74">
            <v>9.6427647274614109E-6</v>
          </cell>
          <cell r="R74">
            <v>9.6427647274614109E-6</v>
          </cell>
          <cell r="S74">
            <v>1</v>
          </cell>
        </row>
        <row r="75">
          <cell r="A75" t="str">
            <v>F104M</v>
          </cell>
          <cell r="B75" t="str">
            <v>SNP - System Net Misc Plant</v>
          </cell>
          <cell r="C75">
            <v>0</v>
          </cell>
          <cell r="D75">
            <v>0</v>
          </cell>
          <cell r="E75">
            <v>0</v>
          </cell>
          <cell r="F75">
            <v>0.40685137361051088</v>
          </cell>
          <cell r="G75">
            <v>0.26565191032875735</v>
          </cell>
          <cell r="H75">
            <v>8.2420700219701909E-2</v>
          </cell>
          <cell r="I75">
            <v>4.7494781898919499E-3</v>
          </cell>
          <cell r="J75">
            <v>0.12422881700322501</v>
          </cell>
          <cell r="K75">
            <v>8.5005894274748379E-3</v>
          </cell>
          <cell r="L75">
            <v>2.8258285306598328E-4</v>
          </cell>
          <cell r="M75">
            <v>3.6611178844853088E-4</v>
          </cell>
          <cell r="N75">
            <v>7.2376855493827622E-2</v>
          </cell>
          <cell r="O75">
            <v>6.3680534764103645E-4</v>
          </cell>
          <cell r="P75">
            <v>6.2004998076277094E-3</v>
          </cell>
          <cell r="Q75">
            <v>1.5161025682856153E-2</v>
          </cell>
          <cell r="R75">
            <v>1.2573250246971352E-2</v>
          </cell>
          <cell r="S75">
            <v>1</v>
          </cell>
        </row>
        <row r="76">
          <cell r="A76" t="str">
            <v>F105</v>
          </cell>
          <cell r="B76" t="str">
            <v>STP - System Prod &amp; Trans Plant</v>
          </cell>
          <cell r="C76">
            <v>0</v>
          </cell>
          <cell r="D76">
            <v>0</v>
          </cell>
          <cell r="E76">
            <v>0</v>
          </cell>
          <cell r="F76">
            <v>0.34530906154292762</v>
          </cell>
          <cell r="G76">
            <v>0.27646989507897385</v>
          </cell>
          <cell r="H76">
            <v>8.8678384395225004E-2</v>
          </cell>
          <cell r="I76">
            <v>1.8366515087215572E-3</v>
          </cell>
          <cell r="J76">
            <v>0.16859848930684371</v>
          </cell>
          <cell r="K76">
            <v>7.0689078282960031E-3</v>
          </cell>
          <cell r="L76">
            <v>1.9947098475439691E-4</v>
          </cell>
          <cell r="M76">
            <v>3.6795071096262674E-4</v>
          </cell>
          <cell r="N76">
            <v>6.5327704755696089E-2</v>
          </cell>
          <cell r="O76">
            <v>6.1325821804119197E-4</v>
          </cell>
          <cell r="P76">
            <v>8.3836606572093176E-3</v>
          </cell>
          <cell r="Q76">
            <v>2.0194234977982041E-2</v>
          </cell>
          <cell r="R76">
            <v>1.6952330034366647E-2</v>
          </cell>
          <cell r="S76">
            <v>1</v>
          </cell>
        </row>
        <row r="77">
          <cell r="A77" t="str">
            <v>F105G</v>
          </cell>
          <cell r="B77" t="str">
            <v>SGGP - System Gross Generation Plant</v>
          </cell>
          <cell r="C77">
            <v>0</v>
          </cell>
          <cell r="D77">
            <v>0</v>
          </cell>
          <cell r="E77">
            <v>0</v>
          </cell>
          <cell r="F77">
            <v>0.34614840034762284</v>
          </cell>
          <cell r="G77">
            <v>0.27714190730544985</v>
          </cell>
          <cell r="H77">
            <v>8.8893933934608704E-2</v>
          </cell>
          <cell r="I77">
            <v>1.8411158366343089E-3</v>
          </cell>
          <cell r="J77">
            <v>0.16676583628548819</v>
          </cell>
          <cell r="K77">
            <v>7.0860901420777261E-3</v>
          </cell>
          <cell r="L77">
            <v>1.9995583660614694E-4</v>
          </cell>
          <cell r="M77">
            <v>3.6884508456680091E-4</v>
          </cell>
          <cell r="N77">
            <v>6.5486496063917571E-2</v>
          </cell>
          <cell r="O77">
            <v>6.1474885781010011E-4</v>
          </cell>
          <cell r="P77">
            <v>8.3923541517602687E-3</v>
          </cell>
          <cell r="Q77">
            <v>2.0243320875040226E-2</v>
          </cell>
          <cell r="R77">
            <v>1.6816995278417228E-2</v>
          </cell>
          <cell r="S77">
            <v>1</v>
          </cell>
        </row>
        <row r="78">
          <cell r="A78" t="str">
            <v>F105T</v>
          </cell>
          <cell r="B78" t="str">
            <v>SGTP - System Gross Transmission Plant</v>
          </cell>
          <cell r="C78">
            <v>0</v>
          </cell>
          <cell r="D78">
            <v>0</v>
          </cell>
          <cell r="E78">
            <v>0</v>
          </cell>
          <cell r="F78">
            <v>0.34340037373305027</v>
          </cell>
          <cell r="G78">
            <v>0.27494171416134194</v>
          </cell>
          <cell r="H78">
            <v>8.8188216687089913E-2</v>
          </cell>
          <cell r="I78">
            <v>1.826499460205872E-3</v>
          </cell>
          <cell r="J78">
            <v>0.17276601076781811</v>
          </cell>
          <cell r="K78">
            <v>7.0298346046142176E-3</v>
          </cell>
          <cell r="L78">
            <v>1.9836841352350088E-4</v>
          </cell>
          <cell r="M78">
            <v>3.6591687196195889E-4</v>
          </cell>
          <cell r="N78">
            <v>6.4966607386408096E-2</v>
          </cell>
          <cell r="O78">
            <v>6.0986844749809615E-4</v>
          </cell>
          <cell r="P78">
            <v>8.3638913257047861E-3</v>
          </cell>
          <cell r="Q78">
            <v>2.0082611813620106E-2</v>
          </cell>
          <cell r="R78">
            <v>1.7260086327163283E-2</v>
          </cell>
          <cell r="S78">
            <v>1</v>
          </cell>
        </row>
        <row r="79">
          <cell r="A79" t="str">
            <v>F105D</v>
          </cell>
          <cell r="B79" t="str">
            <v>SGDP - System Gross Distribution Plant</v>
          </cell>
          <cell r="C79">
            <v>0</v>
          </cell>
          <cell r="D79">
            <v>0</v>
          </cell>
          <cell r="E79">
            <v>0</v>
          </cell>
          <cell r="F79">
            <v>7.6923076923076927E-2</v>
          </cell>
          <cell r="G79">
            <v>7.6923076923076927E-2</v>
          </cell>
          <cell r="H79">
            <v>7.6923076923076927E-2</v>
          </cell>
          <cell r="I79">
            <v>7.6923076923076927E-2</v>
          </cell>
          <cell r="J79">
            <v>7.6923076923076927E-2</v>
          </cell>
          <cell r="K79">
            <v>7.6923076923076927E-2</v>
          </cell>
          <cell r="L79">
            <v>7.6923076923076927E-2</v>
          </cell>
          <cell r="M79">
            <v>7.6923076923076927E-2</v>
          </cell>
          <cell r="N79">
            <v>7.6923076923076927E-2</v>
          </cell>
          <cell r="O79">
            <v>7.6923076923076927E-2</v>
          </cell>
          <cell r="P79">
            <v>7.6923076923076927E-2</v>
          </cell>
          <cell r="Q79">
            <v>7.6923076923076927E-2</v>
          </cell>
          <cell r="R79">
            <v>7.6923076923076927E-2</v>
          </cell>
          <cell r="S79">
            <v>1</v>
          </cell>
        </row>
        <row r="80">
          <cell r="A80" t="str">
            <v>F105R</v>
          </cell>
          <cell r="B80" t="str">
            <v>SGTP - System Gross Retail Plant</v>
          </cell>
          <cell r="C80">
            <v>0</v>
          </cell>
          <cell r="D80">
            <v>0</v>
          </cell>
          <cell r="E80">
            <v>0</v>
          </cell>
          <cell r="F80">
            <v>7.6923076923076927E-2</v>
          </cell>
          <cell r="G80">
            <v>7.6923076923076927E-2</v>
          </cell>
          <cell r="H80">
            <v>7.6923076923076927E-2</v>
          </cell>
          <cell r="I80">
            <v>7.6923076923076927E-2</v>
          </cell>
          <cell r="J80">
            <v>7.6923076923076927E-2</v>
          </cell>
          <cell r="K80">
            <v>7.6923076923076927E-2</v>
          </cell>
          <cell r="L80">
            <v>7.6923076923076927E-2</v>
          </cell>
          <cell r="M80">
            <v>7.6923076923076927E-2</v>
          </cell>
          <cell r="N80">
            <v>7.6923076923076927E-2</v>
          </cell>
          <cell r="O80">
            <v>7.6923076923076927E-2</v>
          </cell>
          <cell r="P80">
            <v>7.6923076923076927E-2</v>
          </cell>
          <cell r="Q80">
            <v>7.6923076923076927E-2</v>
          </cell>
          <cell r="R80">
            <v>7.6923076923076927E-2</v>
          </cell>
          <cell r="S80">
            <v>1</v>
          </cell>
        </row>
        <row r="81">
          <cell r="A81" t="str">
            <v>F105M</v>
          </cell>
          <cell r="B81" t="str">
            <v>SGDP - System Gross Misc Plant</v>
          </cell>
          <cell r="C81">
            <v>0</v>
          </cell>
          <cell r="D81">
            <v>0</v>
          </cell>
          <cell r="E81">
            <v>0</v>
          </cell>
          <cell r="F81">
            <v>7.6923076923076927E-2</v>
          </cell>
          <cell r="G81">
            <v>7.6923076923076927E-2</v>
          </cell>
          <cell r="H81">
            <v>7.6923076923076927E-2</v>
          </cell>
          <cell r="I81">
            <v>7.6923076923076927E-2</v>
          </cell>
          <cell r="J81">
            <v>7.6923076923076927E-2</v>
          </cell>
          <cell r="K81">
            <v>7.6923076923076927E-2</v>
          </cell>
          <cell r="L81">
            <v>7.6923076923076927E-2</v>
          </cell>
          <cell r="M81">
            <v>7.6923076923076927E-2</v>
          </cell>
          <cell r="N81">
            <v>7.6923076923076927E-2</v>
          </cell>
          <cell r="O81">
            <v>7.6923076923076927E-2</v>
          </cell>
          <cell r="P81">
            <v>7.6923076923076927E-2</v>
          </cell>
          <cell r="Q81">
            <v>7.6923076923076927E-2</v>
          </cell>
          <cell r="R81">
            <v>7.6923076923076927E-2</v>
          </cell>
          <cell r="S81">
            <v>1</v>
          </cell>
        </row>
        <row r="82">
          <cell r="A82" t="str">
            <v>F106</v>
          </cell>
          <cell r="B82" t="str">
            <v>STP - System Transmission Plant</v>
          </cell>
          <cell r="C82">
            <v>0</v>
          </cell>
          <cell r="D82">
            <v>0</v>
          </cell>
          <cell r="E82">
            <v>0</v>
          </cell>
          <cell r="F82">
            <v>0.34340037373305027</v>
          </cell>
          <cell r="G82">
            <v>0.27494171416134194</v>
          </cell>
          <cell r="H82">
            <v>8.8188216687089913E-2</v>
          </cell>
          <cell r="I82">
            <v>1.826499460205872E-3</v>
          </cell>
          <cell r="J82">
            <v>0.17276601076781811</v>
          </cell>
          <cell r="K82">
            <v>7.0298346046142176E-3</v>
          </cell>
          <cell r="L82">
            <v>1.9836841352350088E-4</v>
          </cell>
          <cell r="M82">
            <v>3.6591687196195889E-4</v>
          </cell>
          <cell r="N82">
            <v>6.4966607386408096E-2</v>
          </cell>
          <cell r="O82">
            <v>6.0986844749809615E-4</v>
          </cell>
          <cell r="P82">
            <v>8.3638913257047861E-3</v>
          </cell>
          <cell r="Q82">
            <v>2.0082611813620106E-2</v>
          </cell>
          <cell r="R82">
            <v>1.7260086327163283E-2</v>
          </cell>
          <cell r="S82">
            <v>1</v>
          </cell>
        </row>
        <row r="83">
          <cell r="A83" t="str">
            <v>F107</v>
          </cell>
          <cell r="B83" t="str">
            <v>STP - System Trans &amp; Dist Plant</v>
          </cell>
          <cell r="C83">
            <v>0</v>
          </cell>
          <cell r="D83">
            <v>0</v>
          </cell>
          <cell r="E83">
            <v>0</v>
          </cell>
          <cell r="F83">
            <v>0.4692734113239776</v>
          </cell>
          <cell r="G83">
            <v>0.2546946214175056</v>
          </cell>
          <cell r="H83">
            <v>7.5669869409979079E-2</v>
          </cell>
          <cell r="I83">
            <v>1.0225004772692023E-2</v>
          </cell>
          <cell r="J83">
            <v>7.8513008008177287E-2</v>
          </cell>
          <cell r="K83">
            <v>9.8428308746933094E-3</v>
          </cell>
          <cell r="L83">
            <v>3.5266032459292163E-4</v>
          </cell>
          <cell r="M83">
            <v>3.3867493363856676E-4</v>
          </cell>
          <cell r="N83">
            <v>7.9682926035011564E-2</v>
          </cell>
          <cell r="O83">
            <v>6.5898722791939558E-4</v>
          </cell>
          <cell r="P83">
            <v>3.8233876032998581E-3</v>
          </cell>
          <cell r="Q83">
            <v>9.0974546876691001E-3</v>
          </cell>
          <cell r="R83">
            <v>7.8271633808437279E-3</v>
          </cell>
          <cell r="S83">
            <v>1</v>
          </cell>
        </row>
        <row r="84">
          <cell r="A84" t="str">
            <v>F107G</v>
          </cell>
          <cell r="B84" t="str">
            <v>SGGP - System Gross Generation Plant</v>
          </cell>
          <cell r="C84">
            <v>0</v>
          </cell>
          <cell r="D84">
            <v>0</v>
          </cell>
          <cell r="E84">
            <v>0</v>
          </cell>
          <cell r="F84">
            <v>0.34614840034762284</v>
          </cell>
          <cell r="G84">
            <v>0.27714190730544985</v>
          </cell>
          <cell r="H84">
            <v>8.8893933934608704E-2</v>
          </cell>
          <cell r="I84">
            <v>1.8411158366343089E-3</v>
          </cell>
          <cell r="J84">
            <v>0.16676583628548819</v>
          </cell>
          <cell r="K84">
            <v>7.0860901420777261E-3</v>
          </cell>
          <cell r="L84">
            <v>1.9995583660614694E-4</v>
          </cell>
          <cell r="M84">
            <v>3.6884508456680091E-4</v>
          </cell>
          <cell r="N84">
            <v>6.5486496063917571E-2</v>
          </cell>
          <cell r="O84">
            <v>6.1474885781010011E-4</v>
          </cell>
          <cell r="P84">
            <v>8.3923541517602687E-3</v>
          </cell>
          <cell r="Q84">
            <v>2.0243320875040226E-2</v>
          </cell>
          <cell r="R84">
            <v>1.6816995278417228E-2</v>
          </cell>
          <cell r="S84">
            <v>1</v>
          </cell>
        </row>
        <row r="85">
          <cell r="A85" t="str">
            <v>F107T</v>
          </cell>
          <cell r="B85" t="str">
            <v>SGTP - System Gross Transmission Plant</v>
          </cell>
          <cell r="C85">
            <v>0</v>
          </cell>
          <cell r="D85">
            <v>0</v>
          </cell>
          <cell r="E85">
            <v>0</v>
          </cell>
          <cell r="F85">
            <v>0.34340037373305027</v>
          </cell>
          <cell r="G85">
            <v>0.27494171416134194</v>
          </cell>
          <cell r="H85">
            <v>8.8188216687089913E-2</v>
          </cell>
          <cell r="I85">
            <v>1.826499460205872E-3</v>
          </cell>
          <cell r="J85">
            <v>0.17276601076781811</v>
          </cell>
          <cell r="K85">
            <v>7.0298346046142176E-3</v>
          </cell>
          <cell r="L85">
            <v>1.9836841352350088E-4</v>
          </cell>
          <cell r="M85">
            <v>3.6591687196195889E-4</v>
          </cell>
          <cell r="N85">
            <v>6.4966607386408096E-2</v>
          </cell>
          <cell r="O85">
            <v>6.0986844749809615E-4</v>
          </cell>
          <cell r="P85">
            <v>8.3638913257047861E-3</v>
          </cell>
          <cell r="Q85">
            <v>2.0082611813620106E-2</v>
          </cell>
          <cell r="R85">
            <v>1.7260086327163283E-2</v>
          </cell>
          <cell r="S85">
            <v>1</v>
          </cell>
        </row>
        <row r="86">
          <cell r="A86" t="str">
            <v>F107D</v>
          </cell>
          <cell r="B86" t="str">
            <v>SGDP - System Gross Distribution Plant</v>
          </cell>
          <cell r="C86">
            <v>0</v>
          </cell>
          <cell r="D86">
            <v>0</v>
          </cell>
          <cell r="E86">
            <v>0</v>
          </cell>
          <cell r="F86">
            <v>0.57228327124950928</v>
          </cell>
          <cell r="G86">
            <v>0.23812514611636967</v>
          </cell>
          <cell r="H86">
            <v>6.542531486363444E-2</v>
          </cell>
          <cell r="I86">
            <v>1.7098032327922709E-2</v>
          </cell>
          <cell r="J86">
            <v>1.3798204912094045E-3</v>
          </cell>
          <cell r="K86">
            <v>1.2144883461154256E-2</v>
          </cell>
          <cell r="L86">
            <v>4.7892714432723146E-4</v>
          </cell>
          <cell r="M86">
            <v>3.163811342316408E-4</v>
          </cell>
          <cell r="N86">
            <v>9.1726219433068079E-2</v>
          </cell>
          <cell r="O86">
            <v>6.9918422949930893E-4</v>
          </cell>
          <cell r="P86">
            <v>1.0760651635802231E-4</v>
          </cell>
          <cell r="Q86">
            <v>1.0760651635802231E-4</v>
          </cell>
          <cell r="R86">
            <v>1.0760651635802231E-4</v>
          </cell>
          <cell r="S86">
            <v>1</v>
          </cell>
        </row>
        <row r="87">
          <cell r="A87" t="str">
            <v>F107R</v>
          </cell>
          <cell r="B87" t="str">
            <v>SGTP - System Gross Retail Plant</v>
          </cell>
          <cell r="C87">
            <v>0</v>
          </cell>
          <cell r="D87">
            <v>0</v>
          </cell>
          <cell r="E87">
            <v>0</v>
          </cell>
          <cell r="F87">
            <v>0.57228327124950928</v>
          </cell>
          <cell r="G87">
            <v>0.23812514611636967</v>
          </cell>
          <cell r="H87">
            <v>6.542531486363444E-2</v>
          </cell>
          <cell r="I87">
            <v>1.7098032327922709E-2</v>
          </cell>
          <cell r="J87">
            <v>1.3798204912094045E-3</v>
          </cell>
          <cell r="K87">
            <v>1.2144883461154256E-2</v>
          </cell>
          <cell r="L87">
            <v>4.7892714432723146E-4</v>
          </cell>
          <cell r="M87">
            <v>3.163811342316408E-4</v>
          </cell>
          <cell r="N87">
            <v>9.1726219433068079E-2</v>
          </cell>
          <cell r="O87">
            <v>6.9918422949930893E-4</v>
          </cell>
          <cell r="P87">
            <v>1.0760651635802231E-4</v>
          </cell>
          <cell r="Q87">
            <v>1.0760651635802231E-4</v>
          </cell>
          <cell r="R87">
            <v>1.0760651635802231E-4</v>
          </cell>
          <cell r="S87">
            <v>1</v>
          </cell>
        </row>
        <row r="88">
          <cell r="A88" t="str">
            <v>F107M</v>
          </cell>
          <cell r="B88" t="str">
            <v>SGDP - System Gross Misc Plant</v>
          </cell>
          <cell r="C88">
            <v>0</v>
          </cell>
          <cell r="D88">
            <v>0</v>
          </cell>
          <cell r="E88">
            <v>0</v>
          </cell>
          <cell r="F88">
            <v>0.57228327124950928</v>
          </cell>
          <cell r="G88">
            <v>0.23812514611636967</v>
          </cell>
          <cell r="H88">
            <v>6.542531486363444E-2</v>
          </cell>
          <cell r="I88">
            <v>1.7098032327922709E-2</v>
          </cell>
          <cell r="J88">
            <v>1.3798204912094045E-3</v>
          </cell>
          <cell r="K88">
            <v>1.2144883461154256E-2</v>
          </cell>
          <cell r="L88">
            <v>4.7892714432723146E-4</v>
          </cell>
          <cell r="M88">
            <v>3.163811342316408E-4</v>
          </cell>
          <cell r="N88">
            <v>9.1726219433068079E-2</v>
          </cell>
          <cell r="O88">
            <v>6.9918422949930893E-4</v>
          </cell>
          <cell r="P88">
            <v>1.0760651635802231E-4</v>
          </cell>
          <cell r="Q88">
            <v>1.0760651635802231E-4</v>
          </cell>
          <cell r="R88">
            <v>1.0760651635802231E-4</v>
          </cell>
          <cell r="S88">
            <v>1</v>
          </cell>
        </row>
        <row r="89">
          <cell r="A89" t="str">
            <v>F108</v>
          </cell>
          <cell r="B89" t="str">
            <v>SGP - System General Plant</v>
          </cell>
          <cell r="C89">
            <v>0</v>
          </cell>
          <cell r="D89">
            <v>0</v>
          </cell>
          <cell r="E89">
            <v>0</v>
          </cell>
          <cell r="F89">
            <v>0.39962058657514998</v>
          </cell>
          <cell r="G89">
            <v>0.25900517637058285</v>
          </cell>
          <cell r="H89">
            <v>8.3226556285771428E-2</v>
          </cell>
          <cell r="I89">
            <v>6.830129603004333E-3</v>
          </cell>
          <cell r="J89">
            <v>0.12781242537183371</v>
          </cell>
          <cell r="K89">
            <v>8.7692265619291488E-3</v>
          </cell>
          <cell r="L89">
            <v>3.3421007919502292E-4</v>
          </cell>
          <cell r="M89">
            <v>4.9056652826668149E-4</v>
          </cell>
          <cell r="N89">
            <v>7.1553649843376213E-2</v>
          </cell>
          <cell r="O89">
            <v>5.9617115742151337E-4</v>
          </cell>
          <cell r="P89">
            <v>6.6494423035403797E-3</v>
          </cell>
          <cell r="Q89">
            <v>2.0650636111612497E-2</v>
          </cell>
          <cell r="R89">
            <v>1.4461223208316328E-2</v>
          </cell>
          <cell r="S89">
            <v>1</v>
          </cell>
        </row>
        <row r="90">
          <cell r="A90" t="str">
            <v>F108G</v>
          </cell>
          <cell r="B90" t="str">
            <v>SGGP - System Gen Generation Plant</v>
          </cell>
          <cell r="C90">
            <v>0</v>
          </cell>
          <cell r="D90">
            <v>0</v>
          </cell>
          <cell r="E90">
            <v>0</v>
          </cell>
          <cell r="F90">
            <v>0.31305531109819079</v>
          </cell>
          <cell r="G90">
            <v>0.27291043291549044</v>
          </cell>
          <cell r="H90">
            <v>9.3698420291891682E-2</v>
          </cell>
          <cell r="I90">
            <v>3.1522090134272797E-3</v>
          </cell>
          <cell r="J90">
            <v>0.181859949852924</v>
          </cell>
          <cell r="K90">
            <v>7.8324272955398212E-3</v>
          </cell>
          <cell r="L90">
            <v>2.2865959146025518E-4</v>
          </cell>
          <cell r="M90">
            <v>6.2382903560987107E-4</v>
          </cell>
          <cell r="N90">
            <v>6.2751583400819919E-2</v>
          </cell>
          <cell r="O90">
            <v>5.5925360027401876E-4</v>
          </cell>
          <cell r="P90">
            <v>9.6673057881361234E-3</v>
          </cell>
          <cell r="Q90">
            <v>3.2239119879182328E-2</v>
          </cell>
          <cell r="R90">
            <v>2.1421498237053457E-2</v>
          </cell>
          <cell r="S90">
            <v>1</v>
          </cell>
        </row>
        <row r="91">
          <cell r="A91" t="str">
            <v>F108T</v>
          </cell>
          <cell r="B91" t="str">
            <v>SGTP - System Gen Transmission Plant</v>
          </cell>
          <cell r="C91">
            <v>0</v>
          </cell>
          <cell r="D91">
            <v>0</v>
          </cell>
          <cell r="E91">
            <v>0</v>
          </cell>
          <cell r="F91">
            <v>0.34340257188918805</v>
          </cell>
          <cell r="G91">
            <v>0.27494347410356312</v>
          </cell>
          <cell r="H91">
            <v>8.818878119279408E-2</v>
          </cell>
          <cell r="I91">
            <v>1.8265111518966973E-3</v>
          </cell>
          <cell r="J91">
            <v>0.17276121120718207</v>
          </cell>
          <cell r="K91">
            <v>7.0298796036161564E-3</v>
          </cell>
          <cell r="L91">
            <v>1.9836968330879838E-4</v>
          </cell>
          <cell r="M91">
            <v>3.6591921424950294E-4</v>
          </cell>
          <cell r="N91">
            <v>6.4967023247186645E-2</v>
          </cell>
          <cell r="O91">
            <v>6.0987235135544075E-4</v>
          </cell>
          <cell r="P91">
            <v>8.3639140932192848E-3</v>
          </cell>
          <cell r="Q91">
            <v>2.0082740365362613E-2</v>
          </cell>
          <cell r="R91">
            <v>1.7259731897077621E-2</v>
          </cell>
          <cell r="S91">
            <v>1</v>
          </cell>
        </row>
        <row r="92">
          <cell r="A92" t="str">
            <v>F108D</v>
          </cell>
          <cell r="B92" t="str">
            <v>SGDP - System Gen Distribution Plant</v>
          </cell>
          <cell r="C92">
            <v>0</v>
          </cell>
          <cell r="D92">
            <v>0</v>
          </cell>
          <cell r="E92">
            <v>0</v>
          </cell>
          <cell r="F92">
            <v>0.5722832712495094</v>
          </cell>
          <cell r="G92">
            <v>0.23812514611636967</v>
          </cell>
          <cell r="H92">
            <v>6.542531486363444E-2</v>
          </cell>
          <cell r="I92">
            <v>1.7098032327922705E-2</v>
          </cell>
          <cell r="J92">
            <v>1.3798204912094047E-3</v>
          </cell>
          <cell r="K92">
            <v>1.2144883461154258E-2</v>
          </cell>
          <cell r="L92">
            <v>4.7892714432723162E-4</v>
          </cell>
          <cell r="M92">
            <v>3.1638113423164085E-4</v>
          </cell>
          <cell r="N92">
            <v>9.1726219433068107E-2</v>
          </cell>
          <cell r="O92">
            <v>6.9918422949930882E-4</v>
          </cell>
          <cell r="P92">
            <v>1.0760651635802233E-4</v>
          </cell>
          <cell r="Q92">
            <v>1.0760651635802233E-4</v>
          </cell>
          <cell r="R92">
            <v>1.0760651635802233E-4</v>
          </cell>
          <cell r="S92">
            <v>1</v>
          </cell>
        </row>
        <row r="93">
          <cell r="A93" t="str">
            <v>F108R</v>
          </cell>
          <cell r="B93" t="str">
            <v>SGTP - System Gen Retail Plant</v>
          </cell>
          <cell r="C93">
            <v>0</v>
          </cell>
          <cell r="D93">
            <v>0</v>
          </cell>
          <cell r="E93">
            <v>0</v>
          </cell>
          <cell r="F93">
            <v>0.87121091198399014</v>
          </cell>
          <cell r="G93">
            <v>1.8685618887272257E-2</v>
          </cell>
          <cell r="H93">
            <v>3.6060824098817972E-4</v>
          </cell>
          <cell r="I93">
            <v>1.0806265281044006E-2</v>
          </cell>
          <cell r="J93">
            <v>1.4291196877289566E-3</v>
          </cell>
          <cell r="K93">
            <v>3.5368533735182328E-3</v>
          </cell>
          <cell r="L93">
            <v>2.4986356816757084E-3</v>
          </cell>
          <cell r="M93">
            <v>5.2555973340059469E-4</v>
          </cell>
          <cell r="N93">
            <v>9.0906317860013006E-2</v>
          </cell>
          <cell r="O93">
            <v>1.3313276223762299E-5</v>
          </cell>
          <cell r="P93">
            <v>8.9319980483059787E-6</v>
          </cell>
          <cell r="Q93">
            <v>8.9319980483059787E-6</v>
          </cell>
          <cell r="R93">
            <v>8.9319980483059787E-6</v>
          </cell>
          <cell r="S93">
            <v>1</v>
          </cell>
        </row>
        <row r="94">
          <cell r="A94" t="str">
            <v>F108M</v>
          </cell>
          <cell r="B94" t="str">
            <v>SGDP - System Gen Misc Plant</v>
          </cell>
          <cell r="C94">
            <v>0</v>
          </cell>
          <cell r="D94">
            <v>0</v>
          </cell>
          <cell r="E94">
            <v>0</v>
          </cell>
          <cell r="F94">
            <v>7.6923076923076927E-2</v>
          </cell>
          <cell r="G94">
            <v>7.6923076923076927E-2</v>
          </cell>
          <cell r="H94">
            <v>7.6923076923076927E-2</v>
          </cell>
          <cell r="I94">
            <v>7.6923076923076927E-2</v>
          </cell>
          <cell r="J94">
            <v>7.6923076923076927E-2</v>
          </cell>
          <cell r="K94">
            <v>7.6923076923076927E-2</v>
          </cell>
          <cell r="L94">
            <v>7.6923076923076927E-2</v>
          </cell>
          <cell r="M94">
            <v>7.6923076923076927E-2</v>
          </cell>
          <cell r="N94">
            <v>7.6923076923076927E-2</v>
          </cell>
          <cell r="O94">
            <v>7.6923076923076927E-2</v>
          </cell>
          <cell r="P94">
            <v>7.6923076923076927E-2</v>
          </cell>
          <cell r="Q94">
            <v>7.6923076923076927E-2</v>
          </cell>
          <cell r="R94">
            <v>7.6923076923076927E-2</v>
          </cell>
          <cell r="S94">
            <v>1</v>
          </cell>
        </row>
        <row r="95">
          <cell r="A95" t="str">
            <v>F110</v>
          </cell>
          <cell r="B95" t="str">
            <v>SIP - System Intangible Plant</v>
          </cell>
          <cell r="C95">
            <v>0</v>
          </cell>
          <cell r="D95">
            <v>0</v>
          </cell>
          <cell r="E95">
            <v>0</v>
          </cell>
          <cell r="F95">
            <v>0.45665947910921073</v>
          </cell>
          <cell r="G95">
            <v>0.23158901732916684</v>
          </cell>
          <cell r="H95">
            <v>7.2009738952105204E-2</v>
          </cell>
          <cell r="I95">
            <v>5.2325962910293655E-3</v>
          </cell>
          <cell r="J95">
            <v>0.1203954023106211</v>
          </cell>
          <cell r="K95">
            <v>7.1927072962992061E-3</v>
          </cell>
          <cell r="L95">
            <v>5.9320580506181005E-4</v>
          </cell>
          <cell r="M95">
            <v>3.872933416527607E-4</v>
          </cell>
          <cell r="N95">
            <v>7.2775809131081989E-2</v>
          </cell>
          <cell r="O95">
            <v>5.3143987190643267E-4</v>
          </cell>
          <cell r="P95">
            <v>6.0107693613809981E-3</v>
          </cell>
          <cell r="Q95">
            <v>1.4512544058634372E-2</v>
          </cell>
          <cell r="R95">
            <v>1.2109997141849198E-2</v>
          </cell>
          <cell r="S95">
            <v>1</v>
          </cell>
        </row>
        <row r="96">
          <cell r="A96" t="str">
            <v>F118</v>
          </cell>
          <cell r="B96" t="str">
            <v>Account 360</v>
          </cell>
          <cell r="C96">
            <v>0</v>
          </cell>
          <cell r="D96">
            <v>0</v>
          </cell>
          <cell r="E96">
            <v>0</v>
          </cell>
          <cell r="F96">
            <v>0.4707810800032789</v>
          </cell>
          <cell r="G96">
            <v>0.33195406095819258</v>
          </cell>
          <cell r="H96">
            <v>9.6141941246542115E-2</v>
          </cell>
          <cell r="I96">
            <v>7.492994782912029E-4</v>
          </cell>
          <cell r="J96">
            <v>0</v>
          </cell>
          <cell r="K96">
            <v>1.3031919730716126E-2</v>
          </cell>
          <cell r="L96">
            <v>1.7660135383184555E-4</v>
          </cell>
          <cell r="M96">
            <v>1.6273362534603863E-4</v>
          </cell>
          <cell r="N96">
            <v>8.619861671738005E-2</v>
          </cell>
          <cell r="O96">
            <v>8.0374688642115581E-4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</row>
        <row r="97">
          <cell r="A97" t="str">
            <v>F119</v>
          </cell>
          <cell r="B97" t="str">
            <v>Account 361</v>
          </cell>
          <cell r="C97">
            <v>0</v>
          </cell>
          <cell r="D97">
            <v>0</v>
          </cell>
          <cell r="E97">
            <v>0</v>
          </cell>
          <cell r="F97">
            <v>0.4707810800032789</v>
          </cell>
          <cell r="G97">
            <v>0.33195406095819258</v>
          </cell>
          <cell r="H97">
            <v>9.6141941246542115E-2</v>
          </cell>
          <cell r="I97">
            <v>7.492994782912029E-4</v>
          </cell>
          <cell r="J97">
            <v>0</v>
          </cell>
          <cell r="K97">
            <v>1.3031919730716126E-2</v>
          </cell>
          <cell r="L97">
            <v>1.7660135383184555E-4</v>
          </cell>
          <cell r="M97">
            <v>1.6273362534603863E-4</v>
          </cell>
          <cell r="N97">
            <v>8.619861671738005E-2</v>
          </cell>
          <cell r="O97">
            <v>8.0374688642115581E-4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</row>
        <row r="98">
          <cell r="A98" t="str">
            <v>F120</v>
          </cell>
          <cell r="B98" t="str">
            <v>Account 362</v>
          </cell>
          <cell r="C98">
            <v>0</v>
          </cell>
          <cell r="D98">
            <v>0</v>
          </cell>
          <cell r="E98">
            <v>0</v>
          </cell>
          <cell r="F98">
            <v>0.47078108000327895</v>
          </cell>
          <cell r="G98">
            <v>0.33195406095819258</v>
          </cell>
          <cell r="H98">
            <v>9.6141941246542115E-2</v>
          </cell>
          <cell r="I98">
            <v>7.492994782912029E-4</v>
          </cell>
          <cell r="J98">
            <v>0</v>
          </cell>
          <cell r="K98">
            <v>1.3031919730716126E-2</v>
          </cell>
          <cell r="L98">
            <v>1.7660135383184555E-4</v>
          </cell>
          <cell r="M98">
            <v>1.6273362534603863E-4</v>
          </cell>
          <cell r="N98">
            <v>8.619861671738005E-2</v>
          </cell>
          <cell r="O98">
            <v>8.0374688642115581E-4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</row>
        <row r="99">
          <cell r="A99" t="str">
            <v>F121</v>
          </cell>
          <cell r="B99" t="str">
            <v>Account 364</v>
          </cell>
          <cell r="C99">
            <v>0</v>
          </cell>
          <cell r="D99">
            <v>0</v>
          </cell>
          <cell r="E99">
            <v>0</v>
          </cell>
          <cell r="F99">
            <v>0.46650143808336253</v>
          </cell>
          <cell r="G99">
            <v>0.32643931427058126</v>
          </cell>
          <cell r="H99">
            <v>9.4544736951166233E-2</v>
          </cell>
          <cell r="I99">
            <v>1.3361247569268569E-2</v>
          </cell>
          <cell r="J99">
            <v>0</v>
          </cell>
          <cell r="K99">
            <v>1.2815420688768167E-2</v>
          </cell>
          <cell r="L99">
            <v>1.7366747880028055E-4</v>
          </cell>
          <cell r="M99">
            <v>1.6003013463184286E-4</v>
          </cell>
          <cell r="N99">
            <v>8.521375056918884E-2</v>
          </cell>
          <cell r="O99">
            <v>7.9039425423230842E-4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</row>
        <row r="100">
          <cell r="A100" t="str">
            <v>F122</v>
          </cell>
          <cell r="B100" t="str">
            <v>Account 365</v>
          </cell>
          <cell r="C100">
            <v>0</v>
          </cell>
          <cell r="D100">
            <v>0</v>
          </cell>
          <cell r="E100">
            <v>0</v>
          </cell>
          <cell r="F100">
            <v>0.62630032180128248</v>
          </cell>
          <cell r="G100">
            <v>0.20263236706771157</v>
          </cell>
          <cell r="H100">
            <v>5.8687244473039427E-2</v>
          </cell>
          <cell r="I100">
            <v>8.316280907041753E-3</v>
          </cell>
          <cell r="J100">
            <v>0</v>
          </cell>
          <cell r="K100">
            <v>7.9549824901946307E-3</v>
          </cell>
          <cell r="L100">
            <v>1.0780151401376061E-4</v>
          </cell>
          <cell r="M100">
            <v>9.9336334703044779E-5</v>
          </cell>
          <cell r="N100">
            <v>9.5411039890973603E-2</v>
          </cell>
          <cell r="O100">
            <v>4.9062552103959261E-4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</row>
        <row r="101">
          <cell r="A101" t="str">
            <v>F123</v>
          </cell>
          <cell r="B101" t="str">
            <v>Account 366</v>
          </cell>
          <cell r="C101">
            <v>0</v>
          </cell>
          <cell r="D101">
            <v>0</v>
          </cell>
          <cell r="E101">
            <v>0</v>
          </cell>
          <cell r="F101">
            <v>0.62854085366896428</v>
          </cell>
          <cell r="G101">
            <v>0.20629135114531277</v>
          </cell>
          <cell r="H101">
            <v>5.9746974940548529E-2</v>
          </cell>
          <cell r="I101">
            <v>6.2296750022582548E-4</v>
          </cell>
          <cell r="J101">
            <v>0</v>
          </cell>
          <cell r="K101">
            <v>8.0986276278911772E-3</v>
          </cell>
          <cell r="L101">
            <v>1.0974811331092939E-4</v>
          </cell>
          <cell r="M101">
            <v>1.0113007610904755E-4</v>
          </cell>
          <cell r="N101">
            <v>9.5988862057050053E-2</v>
          </cell>
          <cell r="O101">
            <v>4.9948487058738117E-4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</row>
        <row r="102">
          <cell r="A102" t="str">
            <v>F124</v>
          </cell>
          <cell r="B102" t="str">
            <v>Account 367</v>
          </cell>
          <cell r="C102">
            <v>0</v>
          </cell>
          <cell r="D102">
            <v>0</v>
          </cell>
          <cell r="E102">
            <v>0</v>
          </cell>
          <cell r="F102">
            <v>0.5984560038114245</v>
          </cell>
          <cell r="G102">
            <v>0.22838765526518298</v>
          </cell>
          <cell r="H102">
            <v>6.6146600136656117E-2</v>
          </cell>
          <cell r="I102">
            <v>3.2858791544882475E-3</v>
          </cell>
          <cell r="J102">
            <v>0</v>
          </cell>
          <cell r="K102">
            <v>8.9660888085269716E-3</v>
          </cell>
          <cell r="L102">
            <v>1.2150346647933277E-4</v>
          </cell>
          <cell r="M102">
            <v>1.1196233303579126E-4</v>
          </cell>
          <cell r="N102">
            <v>9.3971321269832264E-2</v>
          </cell>
          <cell r="O102">
            <v>5.529857543738199E-4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</row>
        <row r="103">
          <cell r="A103" t="str">
            <v>F125</v>
          </cell>
          <cell r="B103" t="str">
            <v>Account 368</v>
          </cell>
          <cell r="C103">
            <v>0</v>
          </cell>
          <cell r="D103">
            <v>0</v>
          </cell>
          <cell r="E103">
            <v>0</v>
          </cell>
          <cell r="F103">
            <v>0.59055368391181151</v>
          </cell>
          <cell r="G103">
            <v>0.23978681675195562</v>
          </cell>
          <cell r="H103">
            <v>6.3362723263065746E-2</v>
          </cell>
          <cell r="I103">
            <v>3.6483710767670928E-3</v>
          </cell>
          <cell r="J103">
            <v>0</v>
          </cell>
          <cell r="K103">
            <v>2.5710409495489625E-2</v>
          </cell>
          <cell r="L103">
            <v>1.1517789034312014E-4</v>
          </cell>
          <cell r="M103">
            <v>8.5950976985743111E-4</v>
          </cell>
          <cell r="N103">
            <v>7.4564681784161146E-2</v>
          </cell>
          <cell r="O103">
            <v>1.3986260565486365E-3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</row>
        <row r="104">
          <cell r="A104" t="str">
            <v>F126</v>
          </cell>
          <cell r="B104" t="str">
            <v>Account 369</v>
          </cell>
          <cell r="C104">
            <v>0</v>
          </cell>
          <cell r="D104">
            <v>0</v>
          </cell>
          <cell r="E104">
            <v>0</v>
          </cell>
          <cell r="F104">
            <v>0.78247152659940289</v>
          </cell>
          <cell r="G104">
            <v>7.9505021864011857E-2</v>
          </cell>
          <cell r="H104">
            <v>3.0064817283884599E-3</v>
          </cell>
          <cell r="I104">
            <v>0</v>
          </cell>
          <cell r="J104">
            <v>0</v>
          </cell>
          <cell r="K104">
            <v>0</v>
          </cell>
          <cell r="L104">
            <v>3.1363648863416945E-3</v>
          </cell>
          <cell r="M104">
            <v>6.5969885309860956E-4</v>
          </cell>
          <cell r="N104">
            <v>0.13122090606875636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</row>
        <row r="105">
          <cell r="A105" t="str">
            <v>F127</v>
          </cell>
          <cell r="B105" t="str">
            <v>Account 370</v>
          </cell>
          <cell r="C105">
            <v>0</v>
          </cell>
          <cell r="D105">
            <v>0</v>
          </cell>
          <cell r="E105">
            <v>0</v>
          </cell>
          <cell r="F105">
            <v>0.68497890837007003</v>
          </cell>
          <cell r="G105">
            <v>0.10902835722412574</v>
          </cell>
          <cell r="H105">
            <v>1.3486620889471449E-2</v>
          </cell>
          <cell r="I105">
            <v>0</v>
          </cell>
          <cell r="J105">
            <v>3.8957800440214296E-2</v>
          </cell>
          <cell r="K105">
            <v>1.1135492495671355E-2</v>
          </cell>
          <cell r="L105">
            <v>2.0350891354208589E-3</v>
          </cell>
          <cell r="M105">
            <v>4.2805796431312178E-4</v>
          </cell>
          <cell r="N105">
            <v>0.1306353806924791</v>
          </cell>
          <cell r="O105">
            <v>1.9981764371414633E-4</v>
          </cell>
          <cell r="P105">
            <v>3.03815838150666E-3</v>
          </cell>
          <cell r="Q105">
            <v>3.03815838150666E-3</v>
          </cell>
          <cell r="R105">
            <v>3.03815838150666E-3</v>
          </cell>
          <cell r="S105">
            <v>1</v>
          </cell>
        </row>
        <row r="106">
          <cell r="A106" t="str">
            <v>F128</v>
          </cell>
          <cell r="B106" t="str">
            <v>Account 371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</row>
        <row r="107">
          <cell r="A107" t="str">
            <v>F129</v>
          </cell>
          <cell r="B107" t="str">
            <v>Account 372</v>
          </cell>
          <cell r="C107">
            <v>0</v>
          </cell>
          <cell r="D107">
            <v>0</v>
          </cell>
          <cell r="E107">
            <v>0</v>
          </cell>
          <cell r="F107">
            <v>7.6923076923076927E-2</v>
          </cell>
          <cell r="G107">
            <v>7.6923076923076927E-2</v>
          </cell>
          <cell r="H107">
            <v>7.6923076923076927E-2</v>
          </cell>
          <cell r="I107">
            <v>7.6923076923076927E-2</v>
          </cell>
          <cell r="J107">
            <v>7.6923076923076927E-2</v>
          </cell>
          <cell r="K107">
            <v>7.6923076923076927E-2</v>
          </cell>
          <cell r="L107">
            <v>7.6923076923076927E-2</v>
          </cell>
          <cell r="M107">
            <v>7.6923076923076927E-2</v>
          </cell>
          <cell r="N107">
            <v>7.6923076923076927E-2</v>
          </cell>
          <cell r="O107">
            <v>7.6923076923076927E-2</v>
          </cell>
          <cell r="P107">
            <v>7.6923076923076927E-2</v>
          </cell>
          <cell r="Q107">
            <v>7.6923076923076927E-2</v>
          </cell>
          <cell r="R107">
            <v>7.6923076923076927E-2</v>
          </cell>
          <cell r="S107">
            <v>1</v>
          </cell>
        </row>
        <row r="108">
          <cell r="A108" t="str">
            <v>F130</v>
          </cell>
          <cell r="B108" t="str">
            <v>Account 373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</row>
        <row r="109">
          <cell r="A109" t="str">
            <v>F131</v>
          </cell>
          <cell r="B109" t="str">
            <v>Account 581 thru 587 &amp; 591 thru 597</v>
          </cell>
          <cell r="C109">
            <v>0</v>
          </cell>
          <cell r="D109">
            <v>0</v>
          </cell>
          <cell r="E109">
            <v>0</v>
          </cell>
          <cell r="F109">
            <v>0.5431178716251488</v>
          </cell>
          <cell r="G109">
            <v>0.24651479307064361</v>
          </cell>
          <cell r="H109">
            <v>6.8434723782509047E-2</v>
          </cell>
          <cell r="I109">
            <v>3.5081888691545951E-2</v>
          </cell>
          <cell r="J109">
            <v>2.2844854412390034E-3</v>
          </cell>
          <cell r="K109">
            <v>9.8890964518531053E-3</v>
          </cell>
          <cell r="L109">
            <v>5.3505083595494331E-4</v>
          </cell>
          <cell r="M109">
            <v>2.0515278338273965E-4</v>
          </cell>
          <cell r="N109">
            <v>9.2822255042778745E-2</v>
          </cell>
          <cell r="O109">
            <v>5.8020944698907698E-4</v>
          </cell>
          <cell r="P109">
            <v>1.7815760931835713E-4</v>
          </cell>
          <cell r="Q109">
            <v>1.7815760931835713E-4</v>
          </cell>
          <cell r="R109">
            <v>1.7815760931835713E-4</v>
          </cell>
          <cell r="S109">
            <v>1</v>
          </cell>
        </row>
        <row r="110">
          <cell r="A110" t="str">
            <v>F132</v>
          </cell>
          <cell r="B110" t="str">
            <v>Account 364 + 365</v>
          </cell>
          <cell r="C110">
            <v>0</v>
          </cell>
          <cell r="D110">
            <v>0</v>
          </cell>
          <cell r="E110">
            <v>0</v>
          </cell>
          <cell r="F110">
            <v>0.53119782782208946</v>
          </cell>
          <cell r="G110">
            <v>0.27631466807631871</v>
          </cell>
          <cell r="H110">
            <v>8.0027424599263916E-2</v>
          </cell>
          <cell r="I110">
            <v>1.1318735620471341E-2</v>
          </cell>
          <cell r="J110">
            <v>0</v>
          </cell>
          <cell r="K110">
            <v>1.0847617180509703E-2</v>
          </cell>
          <cell r="L110">
            <v>1.4700089622347065E-4</v>
          </cell>
          <cell r="M110">
            <v>1.3545756163534266E-4</v>
          </cell>
          <cell r="N110">
            <v>8.9342238759414938E-2</v>
          </cell>
          <cell r="O110">
            <v>6.6902948407311907E-4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</row>
        <row r="111">
          <cell r="A111" t="str">
            <v>F133</v>
          </cell>
          <cell r="B111" t="str">
            <v>Account 366 + 367</v>
          </cell>
          <cell r="C111">
            <v>0</v>
          </cell>
          <cell r="D111">
            <v>0</v>
          </cell>
          <cell r="E111">
            <v>0</v>
          </cell>
          <cell r="F111">
            <v>0.60634676110342911</v>
          </cell>
          <cell r="G111">
            <v>0.22259216106508412</v>
          </cell>
          <cell r="H111">
            <v>6.4468084557505675E-2</v>
          </cell>
          <cell r="I111">
            <v>2.5874415803160363E-3</v>
          </cell>
          <cell r="J111">
            <v>0</v>
          </cell>
          <cell r="K111">
            <v>8.7385681238951549E-3</v>
          </cell>
          <cell r="L111">
            <v>1.1842023225436881E-4</v>
          </cell>
          <cell r="M111">
            <v>1.0912121164950157E-4</v>
          </cell>
          <cell r="N111">
            <v>9.4500488766231308E-2</v>
          </cell>
          <cell r="O111">
            <v>5.3895335963475384E-4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</row>
        <row r="112">
          <cell r="A112" t="str">
            <v>F134</v>
          </cell>
          <cell r="B112" t="str">
            <v>Account 364 + 365 + 369  (OH)</v>
          </cell>
          <cell r="C112">
            <v>0</v>
          </cell>
          <cell r="D112">
            <v>0</v>
          </cell>
          <cell r="E112">
            <v>0</v>
          </cell>
          <cell r="F112">
            <v>0.5646956754982182</v>
          </cell>
          <cell r="G112">
            <v>0.25007754265454785</v>
          </cell>
          <cell r="H112">
            <v>6.9759593844534146E-2</v>
          </cell>
          <cell r="I112">
            <v>9.8098101597252907E-3</v>
          </cell>
          <cell r="J112">
            <v>0</v>
          </cell>
          <cell r="K112">
            <v>9.401497551874383E-3</v>
          </cell>
          <cell r="L112">
            <v>5.4551956362379223E-4</v>
          </cell>
          <cell r="M112">
            <v>2.053453175462253E-4</v>
          </cell>
          <cell r="N112">
            <v>9.4925175713158103E-2</v>
          </cell>
          <cell r="O112">
            <v>5.7983969677197482E-4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A113" t="str">
            <v>F135</v>
          </cell>
          <cell r="B113" t="str">
            <v>Account 366 + 367 + 369  (UG)</v>
          </cell>
          <cell r="C113">
            <v>0</v>
          </cell>
          <cell r="D113">
            <v>0</v>
          </cell>
          <cell r="E113">
            <v>0</v>
          </cell>
          <cell r="F113">
            <v>0.63847973148955328</v>
          </cell>
          <cell r="G113">
            <v>0.1964867193139728</v>
          </cell>
          <cell r="H113">
            <v>5.3254761672275774E-2</v>
          </cell>
          <cell r="I113">
            <v>2.1153774532638855E-3</v>
          </cell>
          <cell r="J113">
            <v>0</v>
          </cell>
          <cell r="K113">
            <v>7.1442656420634843E-3</v>
          </cell>
          <cell r="L113">
            <v>6.6902721772664649E-4</v>
          </cell>
          <cell r="M113">
            <v>2.0957099790259236E-4</v>
          </cell>
          <cell r="N113">
            <v>0.10119992185518628</v>
          </cell>
          <cell r="O113">
            <v>4.4062435805523664E-4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A114" t="str">
            <v>F136</v>
          </cell>
          <cell r="B114" t="str">
            <v>Account 902 + 903 + 904</v>
          </cell>
          <cell r="C114">
            <v>0</v>
          </cell>
          <cell r="D114">
            <v>0</v>
          </cell>
          <cell r="E114">
            <v>0</v>
          </cell>
          <cell r="F114">
            <v>0.85278051655847564</v>
          </cell>
          <cell r="G114">
            <v>3.1575841689494413E-2</v>
          </cell>
          <cell r="H114">
            <v>5.8266424581653008E-3</v>
          </cell>
          <cell r="I114">
            <v>7.6249230415128605E-3</v>
          </cell>
          <cell r="J114">
            <v>8.2904151394039612E-3</v>
          </cell>
          <cell r="K114">
            <v>3.4825089585814868E-3</v>
          </cell>
          <cell r="L114">
            <v>2.1749138845496823E-3</v>
          </cell>
          <cell r="M114">
            <v>4.5746851760581562E-4</v>
          </cell>
          <cell r="N114">
            <v>8.771127807081136E-2</v>
          </cell>
          <cell r="O114">
            <v>1.0739860096555443E-5</v>
          </cell>
          <cell r="P114">
            <v>1.1525982314316034E-5</v>
          </cell>
          <cell r="Q114">
            <v>2.6612919494371003E-5</v>
          </cell>
          <cell r="R114">
            <v>2.6612919494371003E-5</v>
          </cell>
          <cell r="S114">
            <v>1</v>
          </cell>
        </row>
        <row r="115">
          <cell r="A115" t="str">
            <v>F137</v>
          </cell>
          <cell r="B115" t="str">
            <v>Total O &amp; M Expense</v>
          </cell>
          <cell r="C115">
            <v>0</v>
          </cell>
          <cell r="D115">
            <v>0</v>
          </cell>
          <cell r="E115">
            <v>0</v>
          </cell>
          <cell r="F115">
            <v>0.35856042356017565</v>
          </cell>
          <cell r="G115">
            <v>0.26408203129872732</v>
          </cell>
          <cell r="H115">
            <v>8.7416190333786933E-2</v>
          </cell>
          <cell r="I115">
            <v>5.6071649845686614E-3</v>
          </cell>
          <cell r="J115">
            <v>0.1568768956047466</v>
          </cell>
          <cell r="K115">
            <v>7.3824965335934295E-3</v>
          </cell>
          <cell r="L115">
            <v>3.1879840396214099E-4</v>
          </cell>
          <cell r="M115">
            <v>5.1255252231742553E-4</v>
          </cell>
          <cell r="N115">
            <v>6.7150571991724542E-2</v>
          </cell>
          <cell r="O115">
            <v>5.5482104554298002E-4</v>
          </cell>
          <cell r="P115">
            <v>8.2044122989504802E-3</v>
          </cell>
          <cell r="Q115">
            <v>2.5660312901860344E-2</v>
          </cell>
          <cell r="R115">
            <v>1.7673328520043777E-2</v>
          </cell>
          <cell r="S115">
            <v>1</v>
          </cell>
        </row>
        <row r="116">
          <cell r="A116" t="str">
            <v>F137G</v>
          </cell>
          <cell r="B116" t="str">
            <v>Generation O &amp; M Exp</v>
          </cell>
          <cell r="C116">
            <v>0</v>
          </cell>
          <cell r="D116">
            <v>0</v>
          </cell>
          <cell r="E116">
            <v>0</v>
          </cell>
          <cell r="F116">
            <v>0.31840108073022311</v>
          </cell>
          <cell r="G116">
            <v>0.27489015835754088</v>
          </cell>
          <cell r="H116">
            <v>9.28799971629925E-2</v>
          </cell>
          <cell r="I116">
            <v>2.8373136903540215E-3</v>
          </cell>
          <cell r="J116">
            <v>0.17901149232130834</v>
          </cell>
          <cell r="K116">
            <v>7.3163055943166978E-3</v>
          </cell>
          <cell r="L116">
            <v>2.2388434206237063E-4</v>
          </cell>
          <cell r="M116">
            <v>5.5885548905086093E-4</v>
          </cell>
          <cell r="N116">
            <v>6.3557195281612508E-2</v>
          </cell>
          <cell r="O116">
            <v>5.6909834147879921E-4</v>
          </cell>
          <cell r="P116">
            <v>9.4140076515919647E-3</v>
          </cell>
          <cell r="Q116">
            <v>2.9945680984222671E-2</v>
          </cell>
          <cell r="R116">
            <v>2.0394930053245407E-2</v>
          </cell>
          <cell r="S116">
            <v>1</v>
          </cell>
        </row>
        <row r="117">
          <cell r="A117" t="str">
            <v>F137T</v>
          </cell>
          <cell r="B117" t="str">
            <v>Transmission O &amp; M Exp</v>
          </cell>
          <cell r="C117">
            <v>0</v>
          </cell>
          <cell r="D117">
            <v>0</v>
          </cell>
          <cell r="E117">
            <v>0</v>
          </cell>
          <cell r="F117">
            <v>0.33895056728158685</v>
          </cell>
          <cell r="G117">
            <v>0.2774814878170751</v>
          </cell>
          <cell r="H117">
            <v>8.9573892868729493E-2</v>
          </cell>
          <cell r="I117">
            <v>2.0966280983772609E-3</v>
          </cell>
          <cell r="J117">
            <v>0.17064686796817535</v>
          </cell>
          <cell r="K117">
            <v>6.6133241894246759E-3</v>
          </cell>
          <cell r="L117">
            <v>2.0857420033217538E-4</v>
          </cell>
          <cell r="M117">
            <v>3.8984768033234815E-4</v>
          </cell>
          <cell r="N117">
            <v>6.5627016161163718E-2</v>
          </cell>
          <cell r="O117">
            <v>6.0197378070384121E-4</v>
          </cell>
          <cell r="P117">
            <v>8.4978283758878718E-3</v>
          </cell>
          <cell r="Q117">
            <v>2.1964538398993386E-2</v>
          </cell>
          <cell r="R117">
            <v>1.7347453179217813E-2</v>
          </cell>
          <cell r="S117">
            <v>1</v>
          </cell>
        </row>
        <row r="118">
          <cell r="A118" t="str">
            <v>F137D</v>
          </cell>
          <cell r="B118" t="str">
            <v xml:space="preserve">Distribution O &amp; M Exp </v>
          </cell>
          <cell r="C118">
            <v>0</v>
          </cell>
          <cell r="D118">
            <v>0</v>
          </cell>
          <cell r="E118">
            <v>0</v>
          </cell>
          <cell r="F118">
            <v>0.54054031867854702</v>
          </cell>
          <cell r="G118">
            <v>0.2461890671172916</v>
          </cell>
          <cell r="H118">
            <v>6.8700137085952476E-2</v>
          </cell>
          <cell r="I118">
            <v>3.2343825477048005E-2</v>
          </cell>
          <cell r="J118">
            <v>6.8528358164167708E-3</v>
          </cell>
          <cell r="K118">
            <v>1.0059659944078982E-2</v>
          </cell>
          <cell r="L118">
            <v>5.2232906993957364E-4</v>
          </cell>
          <cell r="M118">
            <v>2.2619038922403308E-4</v>
          </cell>
          <cell r="N118">
            <v>9.1930770224364466E-2</v>
          </cell>
          <cell r="O118">
            <v>5.9198657123027431E-4</v>
          </cell>
          <cell r="P118">
            <v>4.1141948484687803E-4</v>
          </cell>
          <cell r="Q118">
            <v>9.3045285313566217E-4</v>
          </cell>
          <cell r="R118">
            <v>7.0100728792423265E-4</v>
          </cell>
          <cell r="S118">
            <v>1</v>
          </cell>
        </row>
        <row r="119">
          <cell r="A119" t="str">
            <v>F137R</v>
          </cell>
          <cell r="B119" t="str">
            <v>Retail O &amp; M Exp  (Customer)</v>
          </cell>
          <cell r="C119">
            <v>0</v>
          </cell>
          <cell r="D119">
            <v>0</v>
          </cell>
          <cell r="E119">
            <v>0</v>
          </cell>
          <cell r="F119">
            <v>0.85462793204989895</v>
          </cell>
          <cell r="G119">
            <v>2.9766302619335355E-2</v>
          </cell>
          <cell r="H119">
            <v>5.1027399152060414E-3</v>
          </cell>
          <cell r="I119">
            <v>8.1562395414022278E-3</v>
          </cell>
          <cell r="J119">
            <v>7.2382114561459843E-3</v>
          </cell>
          <cell r="K119">
            <v>3.4786308743713595E-3</v>
          </cell>
          <cell r="L119">
            <v>2.2438569753083942E-3</v>
          </cell>
          <cell r="M119">
            <v>4.7260755430000574E-4</v>
          </cell>
          <cell r="N119">
            <v>8.8805752511835381E-2</v>
          </cell>
          <cell r="O119">
            <v>1.0661010195594862E-5</v>
          </cell>
          <cell r="P119">
            <v>1.1511389664271826E-5</v>
          </cell>
          <cell r="Q119">
            <v>5.3512403418519102E-5</v>
          </cell>
          <cell r="R119">
            <v>3.2041698918036537E-5</v>
          </cell>
          <cell r="S119">
            <v>1</v>
          </cell>
        </row>
        <row r="120">
          <cell r="A120" t="str">
            <v>F137M</v>
          </cell>
          <cell r="B120" t="str">
            <v xml:space="preserve">Misc &amp; Customer O &amp; M Exp </v>
          </cell>
          <cell r="C120">
            <v>0</v>
          </cell>
          <cell r="D120">
            <v>0</v>
          </cell>
          <cell r="E120">
            <v>0</v>
          </cell>
          <cell r="F120">
            <v>0.40699770433233368</v>
          </cell>
          <cell r="G120">
            <v>0.26604829024262955</v>
          </cell>
          <cell r="H120">
            <v>8.2358502052883642E-2</v>
          </cell>
          <cell r="I120">
            <v>5.9844966363501381E-3</v>
          </cell>
          <cell r="J120">
            <v>0.12315062656674258</v>
          </cell>
          <cell r="K120">
            <v>8.4484920904371388E-3</v>
          </cell>
          <cell r="L120">
            <v>2.7542354000494149E-4</v>
          </cell>
          <cell r="M120">
            <v>3.539347696718907E-4</v>
          </cell>
          <cell r="N120">
            <v>7.2502478242994509E-2</v>
          </cell>
          <cell r="O120">
            <v>6.3661179214994442E-4</v>
          </cell>
          <cell r="P120">
            <v>6.1343366117120202E-3</v>
          </cell>
          <cell r="Q120">
            <v>1.4734950200145413E-2</v>
          </cell>
          <cell r="R120">
            <v>1.2374152921944659E-2</v>
          </cell>
          <cell r="S120">
            <v>1</v>
          </cell>
        </row>
        <row r="121">
          <cell r="A121" t="str">
            <v>F138</v>
          </cell>
          <cell r="B121" t="str">
            <v>GTD O&amp;M Exp  (less fuel, purchased p &amp; wheeling)</v>
          </cell>
          <cell r="C121">
            <v>0</v>
          </cell>
          <cell r="D121">
            <v>0</v>
          </cell>
          <cell r="E121">
            <v>0</v>
          </cell>
          <cell r="F121">
            <v>0.46517393622124814</v>
          </cell>
          <cell r="G121">
            <v>0.23729080594656712</v>
          </cell>
          <cell r="H121">
            <v>7.2588071346608274E-2</v>
          </cell>
          <cell r="I121">
            <v>1.2031280264176913E-2</v>
          </cell>
          <cell r="J121">
            <v>0.1007919216307373</v>
          </cell>
          <cell r="K121">
            <v>7.42366622621758E-3</v>
          </cell>
          <cell r="L121">
            <v>5.5102135080567125E-4</v>
          </cell>
          <cell r="M121">
            <v>3.3698989659877856E-4</v>
          </cell>
          <cell r="N121">
            <v>7.6082075124231374E-2</v>
          </cell>
          <cell r="O121">
            <v>5.2857010985461598E-4</v>
          </cell>
          <cell r="P121">
            <v>5.0265419999859689E-3</v>
          </cell>
          <cell r="Q121">
            <v>1.2105576169874109E-2</v>
          </cell>
          <cell r="R121">
            <v>1.0069543713093786E-2</v>
          </cell>
          <cell r="S121">
            <v>1</v>
          </cell>
        </row>
        <row r="122">
          <cell r="A122" t="str">
            <v>F138G</v>
          </cell>
          <cell r="B122" t="str">
            <v xml:space="preserve">Generation O &amp; M Exp (less fuel &amp; purchased power) </v>
          </cell>
          <cell r="C122">
            <v>0</v>
          </cell>
          <cell r="D122">
            <v>0</v>
          </cell>
          <cell r="E122">
            <v>0</v>
          </cell>
          <cell r="F122">
            <v>0.34573284175561814</v>
          </cell>
          <cell r="G122">
            <v>0.27709023300000502</v>
          </cell>
          <cell r="H122">
            <v>8.8955862930045884E-2</v>
          </cell>
          <cell r="I122">
            <v>1.8575802547006596E-3</v>
          </cell>
          <cell r="J122">
            <v>0.16695712064381904</v>
          </cell>
          <cell r="K122">
            <v>7.0902242885279038E-3</v>
          </cell>
          <cell r="L122">
            <v>2.003251320436722E-4</v>
          </cell>
          <cell r="M122">
            <v>3.7205224265470145E-4</v>
          </cell>
          <cell r="N122">
            <v>6.5452956264633835E-2</v>
          </cell>
          <cell r="O122">
            <v>6.1407458999095165E-4</v>
          </cell>
          <cell r="P122">
            <v>8.408354916744255E-3</v>
          </cell>
          <cell r="Q122">
            <v>2.0393874334921392E-2</v>
          </cell>
          <cell r="R122">
            <v>1.6874499646294477E-2</v>
          </cell>
          <cell r="S122">
            <v>1</v>
          </cell>
        </row>
        <row r="123">
          <cell r="A123" t="str">
            <v>F138T</v>
          </cell>
          <cell r="B123" t="str">
            <v>Transmission O &amp; M Exp - (less wheeling exp)</v>
          </cell>
          <cell r="C123">
            <v>0</v>
          </cell>
          <cell r="D123">
            <v>0</v>
          </cell>
          <cell r="E123">
            <v>0</v>
          </cell>
          <cell r="F123">
            <v>0.34347145415227098</v>
          </cell>
          <cell r="G123">
            <v>0.27499862432742989</v>
          </cell>
          <cell r="H123">
            <v>8.820647075986307E-2</v>
          </cell>
          <cell r="I123">
            <v>1.8268775272007522E-3</v>
          </cell>
          <cell r="J123">
            <v>0.17261081033586431</v>
          </cell>
          <cell r="K123">
            <v>7.0312897095848852E-3</v>
          </cell>
          <cell r="L123">
            <v>1.9840947378747239E-4</v>
          </cell>
          <cell r="M123">
            <v>3.6599261306956515E-4</v>
          </cell>
          <cell r="N123">
            <v>6.4980054819904362E-2</v>
          </cell>
          <cell r="O123">
            <v>6.0999468412517479E-4</v>
          </cell>
          <cell r="P123">
            <v>8.3646275447783174E-3</v>
          </cell>
          <cell r="Q123">
            <v>2.0086768712027765E-2</v>
          </cell>
          <cell r="R123">
            <v>1.724862534009319E-2</v>
          </cell>
          <cell r="S123">
            <v>1</v>
          </cell>
        </row>
        <row r="124">
          <cell r="A124" t="str">
            <v>F138D</v>
          </cell>
          <cell r="B124" t="str">
            <v xml:space="preserve">Distribution O &amp; M Exp </v>
          </cell>
          <cell r="C124">
            <v>0</v>
          </cell>
          <cell r="D124">
            <v>0</v>
          </cell>
          <cell r="E124">
            <v>0</v>
          </cell>
          <cell r="F124">
            <v>0.5431178716251488</v>
          </cell>
          <cell r="G124">
            <v>0.24651479307064361</v>
          </cell>
          <cell r="H124">
            <v>6.8434723782509033E-2</v>
          </cell>
          <cell r="I124">
            <v>3.5081888691545951E-2</v>
          </cell>
          <cell r="J124">
            <v>2.2844854412390034E-3</v>
          </cell>
          <cell r="K124">
            <v>9.8890964518531053E-3</v>
          </cell>
          <cell r="L124">
            <v>5.3505083595494331E-4</v>
          </cell>
          <cell r="M124">
            <v>2.0515278338273965E-4</v>
          </cell>
          <cell r="N124">
            <v>9.2822255042778745E-2</v>
          </cell>
          <cell r="O124">
            <v>5.8020944698907698E-4</v>
          </cell>
          <cell r="P124">
            <v>1.7815760931835713E-4</v>
          </cell>
          <cell r="Q124">
            <v>1.7815760931835713E-4</v>
          </cell>
          <cell r="R124">
            <v>1.7815760931835713E-4</v>
          </cell>
          <cell r="S124">
            <v>1</v>
          </cell>
        </row>
        <row r="125">
          <cell r="A125" t="str">
            <v>F138R</v>
          </cell>
          <cell r="B125" t="str">
            <v>Retail O &amp; M Exp  (Customer)</v>
          </cell>
          <cell r="C125">
            <v>0</v>
          </cell>
          <cell r="D125">
            <v>0</v>
          </cell>
          <cell r="E125">
            <v>0</v>
          </cell>
          <cell r="F125">
            <v>0.85454842705351874</v>
          </cell>
          <cell r="G125">
            <v>2.9871586495254121E-2</v>
          </cell>
          <cell r="H125">
            <v>5.1189405745740036E-3</v>
          </cell>
          <cell r="I125">
            <v>8.1505737721491688E-3</v>
          </cell>
          <cell r="J125">
            <v>7.2430263247767529E-3</v>
          </cell>
          <cell r="K125">
            <v>3.478116703819274E-3</v>
          </cell>
          <cell r="L125">
            <v>2.2429671332991571E-3</v>
          </cell>
          <cell r="M125">
            <v>4.7178274818057155E-4</v>
          </cell>
          <cell r="N125">
            <v>8.8806672142818829E-2</v>
          </cell>
          <cell r="O125">
            <v>1.1063298841235599E-5</v>
          </cell>
          <cell r="P125">
            <v>1.0190875656186684E-5</v>
          </cell>
          <cell r="Q125">
            <v>2.3326438556021258E-5</v>
          </cell>
          <cell r="R125">
            <v>2.3326438556021258E-5</v>
          </cell>
          <cell r="S125">
            <v>1</v>
          </cell>
        </row>
        <row r="126">
          <cell r="A126" t="str">
            <v>F138M</v>
          </cell>
          <cell r="B126" t="str">
            <v xml:space="preserve">Misc &amp; Customer O &amp; M Exp </v>
          </cell>
          <cell r="C126">
            <v>0</v>
          </cell>
          <cell r="D126">
            <v>0</v>
          </cell>
          <cell r="E126">
            <v>0</v>
          </cell>
          <cell r="F126">
            <v>7.6923076923076927E-2</v>
          </cell>
          <cell r="G126">
            <v>7.6923076923076927E-2</v>
          </cell>
          <cell r="H126">
            <v>7.6923076923076927E-2</v>
          </cell>
          <cell r="I126">
            <v>7.6923076923076927E-2</v>
          </cell>
          <cell r="J126">
            <v>7.6923076923076927E-2</v>
          </cell>
          <cell r="K126">
            <v>7.6923076923076927E-2</v>
          </cell>
          <cell r="L126">
            <v>7.6923076923076927E-2</v>
          </cell>
          <cell r="M126">
            <v>7.6923076923076927E-2</v>
          </cell>
          <cell r="N126">
            <v>7.6923076923076927E-2</v>
          </cell>
          <cell r="O126">
            <v>7.6923076923076927E-2</v>
          </cell>
          <cell r="P126">
            <v>7.6923076923076927E-2</v>
          </cell>
          <cell r="Q126">
            <v>7.6923076923076927E-2</v>
          </cell>
          <cell r="R126">
            <v>7.6923076923076927E-2</v>
          </cell>
          <cell r="S126">
            <v>1</v>
          </cell>
        </row>
        <row r="127">
          <cell r="A127" t="str">
            <v>F140</v>
          </cell>
          <cell r="B127" t="str">
            <v>Revenue Requirement Before Rev Credits</v>
          </cell>
          <cell r="C127">
            <v>0</v>
          </cell>
          <cell r="D127">
            <v>0</v>
          </cell>
          <cell r="E127">
            <v>0</v>
          </cell>
          <cell r="F127">
            <v>0.37505823624434115</v>
          </cell>
          <cell r="G127">
            <v>0.26948475987658699</v>
          </cell>
          <cell r="H127">
            <v>8.5323444400192405E-2</v>
          </cell>
          <cell r="I127">
            <v>6.2248956332308421E-3</v>
          </cell>
          <cell r="J127">
            <v>0.14112117538759233</v>
          </cell>
          <cell r="K127">
            <v>7.5848585070070248E-3</v>
          </cell>
          <cell r="L127">
            <v>3.0627381927896295E-4</v>
          </cell>
          <cell r="M127">
            <v>5.4240176599364414E-4</v>
          </cell>
          <cell r="N127">
            <v>7.058829374083897E-2</v>
          </cell>
          <cell r="O127">
            <v>5.5952035071762539E-4</v>
          </cell>
          <cell r="P127">
            <v>7.1657475890743588E-3</v>
          </cell>
          <cell r="Q127">
            <v>2.0780556627261665E-2</v>
          </cell>
          <cell r="R127">
            <v>1.5259835962699805E-2</v>
          </cell>
          <cell r="S127">
            <v>1</v>
          </cell>
        </row>
        <row r="128">
          <cell r="A128" t="str">
            <v>F140G</v>
          </cell>
          <cell r="B128" t="str">
            <v>Revenue Requirement Before Rev Credits</v>
          </cell>
          <cell r="C128">
            <v>0</v>
          </cell>
          <cell r="D128">
            <v>0</v>
          </cell>
          <cell r="E128">
            <v>0</v>
          </cell>
          <cell r="F128">
            <v>0.32345560665046424</v>
          </cell>
          <cell r="G128">
            <v>0.27990417112480165</v>
          </cell>
          <cell r="H128">
            <v>9.1972295333427032E-2</v>
          </cell>
          <cell r="I128">
            <v>2.8535491497781004E-3</v>
          </cell>
          <cell r="J128">
            <v>0.17356925245933538</v>
          </cell>
          <cell r="K128">
            <v>7.1343074034468353E-3</v>
          </cell>
          <cell r="L128">
            <v>2.1913600479901653E-4</v>
          </cell>
          <cell r="M128">
            <v>5.8940176295765097E-4</v>
          </cell>
          <cell r="N128">
            <v>6.4992486347540679E-2</v>
          </cell>
          <cell r="O128">
            <v>5.6176801710514513E-4</v>
          </cell>
          <cell r="P128">
            <v>8.925116767555908E-3</v>
          </cell>
          <cell r="Q128">
            <v>2.6688648812033706E-2</v>
          </cell>
          <cell r="R128">
            <v>1.9134260166837561E-2</v>
          </cell>
          <cell r="S128">
            <v>1</v>
          </cell>
        </row>
        <row r="129">
          <cell r="A129" t="str">
            <v>F140T</v>
          </cell>
          <cell r="B129" t="str">
            <v>Revenue Requirement Before Rev Credits</v>
          </cell>
          <cell r="C129">
            <v>0</v>
          </cell>
          <cell r="D129">
            <v>0</v>
          </cell>
          <cell r="E129">
            <v>0</v>
          </cell>
          <cell r="F129">
            <v>0.34040366652016457</v>
          </cell>
          <cell r="G129">
            <v>0.28594839817307288</v>
          </cell>
          <cell r="H129">
            <v>8.8673588226581029E-2</v>
          </cell>
          <cell r="I129">
            <v>2.2135475988279999E-3</v>
          </cell>
          <cell r="J129">
            <v>0.16518041477589901</v>
          </cell>
          <cell r="K129">
            <v>6.5742527057948662E-3</v>
          </cell>
          <cell r="L129">
            <v>1.9901201700667784E-4</v>
          </cell>
          <cell r="M129">
            <v>4.9595426863632505E-4</v>
          </cell>
          <cell r="N129">
            <v>6.727319024616378E-2</v>
          </cell>
          <cell r="O129">
            <v>5.7197402841294414E-4</v>
          </cell>
          <cell r="P129">
            <v>7.853655965978654E-3</v>
          </cell>
          <cell r="Q129">
            <v>1.8390929579941828E-2</v>
          </cell>
          <cell r="R129">
            <v>1.6221415892982562E-2</v>
          </cell>
          <cell r="S129">
            <v>1</v>
          </cell>
        </row>
        <row r="130">
          <cell r="A130" t="str">
            <v>F140D</v>
          </cell>
          <cell r="B130" t="str">
            <v>Revenue Requirement Before Rev Credits</v>
          </cell>
          <cell r="C130">
            <v>0</v>
          </cell>
          <cell r="D130">
            <v>0</v>
          </cell>
          <cell r="E130">
            <v>0</v>
          </cell>
          <cell r="F130">
            <v>0.5535515496212009</v>
          </cell>
          <cell r="G130">
            <v>0.24732836856459947</v>
          </cell>
          <cell r="H130">
            <v>6.5904103533668282E-2</v>
          </cell>
          <cell r="I130">
            <v>2.3523698505864148E-2</v>
          </cell>
          <cell r="J130">
            <v>2.6127361761412293E-3</v>
          </cell>
          <cell r="K130">
            <v>1.0876179184792356E-2</v>
          </cell>
          <cell r="L130">
            <v>4.9069884425070062E-4</v>
          </cell>
          <cell r="M130">
            <v>3.9392832348767733E-4</v>
          </cell>
          <cell r="N130">
            <v>9.3801614168634126E-2</v>
          </cell>
          <cell r="O130">
            <v>6.1975327041352416E-4</v>
          </cell>
          <cell r="P130">
            <v>2.051151184985279E-4</v>
          </cell>
          <cell r="Q130">
            <v>3.8416839711429446E-4</v>
          </cell>
          <cell r="R130">
            <v>3.0808629187298905E-4</v>
          </cell>
          <cell r="S130">
            <v>1</v>
          </cell>
        </row>
        <row r="131">
          <cell r="A131" t="str">
            <v>F140R</v>
          </cell>
          <cell r="B131" t="str">
            <v>Revenue Requirement Before Rev Credits</v>
          </cell>
          <cell r="C131">
            <v>0</v>
          </cell>
          <cell r="D131">
            <v>0</v>
          </cell>
          <cell r="E131">
            <v>0</v>
          </cell>
          <cell r="F131">
            <v>0.83449756794297336</v>
          </cell>
          <cell r="G131">
            <v>3.1776467014015243E-2</v>
          </cell>
          <cell r="H131">
            <v>7.9134955238763238E-3</v>
          </cell>
          <cell r="I131">
            <v>8.0083814809114601E-3</v>
          </cell>
          <cell r="J131">
            <v>1.6644601801912223E-2</v>
          </cell>
          <cell r="K131">
            <v>3.6765803802998945E-3</v>
          </cell>
          <cell r="L131">
            <v>2.1418791277244783E-3</v>
          </cell>
          <cell r="M131">
            <v>4.6284605287676416E-4</v>
          </cell>
          <cell r="N131">
            <v>9.2217271981541463E-2</v>
          </cell>
          <cell r="O131">
            <v>1.414913500044821E-5</v>
          </cell>
          <cell r="P131">
            <v>4.9453532526993607E-5</v>
          </cell>
          <cell r="Q131">
            <v>2.4897081761200883E-3</v>
          </cell>
          <cell r="R131">
            <v>1.0759785025636462E-4</v>
          </cell>
          <cell r="S131">
            <v>1</v>
          </cell>
        </row>
        <row r="132">
          <cell r="A132" t="str">
            <v>F140M</v>
          </cell>
          <cell r="B132" t="str">
            <v>Revenue Requirement Before Rev Credits</v>
          </cell>
          <cell r="C132">
            <v>0</v>
          </cell>
          <cell r="D132">
            <v>0</v>
          </cell>
          <cell r="E132">
            <v>0</v>
          </cell>
          <cell r="F132">
            <v>0.4008933906799596</v>
          </cell>
          <cell r="G132">
            <v>0.27005325479842512</v>
          </cell>
          <cell r="H132">
            <v>8.2857855476646716E-2</v>
          </cell>
          <cell r="I132">
            <v>6.1279199469340909E-3</v>
          </cell>
          <cell r="J132">
            <v>0.12456007410233134</v>
          </cell>
          <cell r="K132">
            <v>8.2459172449810669E-3</v>
          </cell>
          <cell r="L132">
            <v>2.7132674499582009E-4</v>
          </cell>
          <cell r="M132">
            <v>4.2077989136409498E-4</v>
          </cell>
          <cell r="N132">
            <v>7.2762968101757447E-2</v>
          </cell>
          <cell r="O132">
            <v>6.194589706302586E-4</v>
          </cell>
          <cell r="P132">
            <v>6.1358459068860862E-3</v>
          </cell>
          <cell r="Q132">
            <v>1.4596525376861914E-2</v>
          </cell>
          <cell r="R132">
            <v>1.2454657765642975E-2</v>
          </cell>
          <cell r="S132">
            <v>1</v>
          </cell>
        </row>
        <row r="133">
          <cell r="A133" t="str">
            <v>F141</v>
          </cell>
          <cell r="B133" t="str">
            <v>Firm Revenues</v>
          </cell>
          <cell r="C133">
            <v>0</v>
          </cell>
          <cell r="D133">
            <v>0</v>
          </cell>
          <cell r="E133">
            <v>0</v>
          </cell>
          <cell r="F133">
            <v>0.37643136257302112</v>
          </cell>
          <cell r="G133">
            <v>0.27920039270360569</v>
          </cell>
          <cell r="H133">
            <v>8.4185226772836047E-2</v>
          </cell>
          <cell r="I133">
            <v>8.3493834430601373E-3</v>
          </cell>
          <cell r="J133">
            <v>0.130425341209151</v>
          </cell>
          <cell r="K133">
            <v>7.3454479183869981E-3</v>
          </cell>
          <cell r="L133">
            <v>3.1777179730256154E-4</v>
          </cell>
          <cell r="M133">
            <v>7.3596122162594702E-4</v>
          </cell>
          <cell r="N133">
            <v>7.3955908745865995E-2</v>
          </cell>
          <cell r="O133">
            <v>5.0233728575399561E-4</v>
          </cell>
          <cell r="P133">
            <v>6.3787094230879655E-3</v>
          </cell>
          <cell r="Q133">
            <v>1.831085355368715E-2</v>
          </cell>
          <cell r="R133">
            <v>1.3861303352615281E-2</v>
          </cell>
          <cell r="S133">
            <v>1</v>
          </cell>
        </row>
        <row r="134">
          <cell r="A134" t="str">
            <v>F150</v>
          </cell>
          <cell r="B134" t="str">
            <v>Income Before State Taxes</v>
          </cell>
          <cell r="C134">
            <v>0</v>
          </cell>
          <cell r="D134">
            <v>0</v>
          </cell>
          <cell r="E134">
            <v>0</v>
          </cell>
          <cell r="F134">
            <v>0.31666138585334658</v>
          </cell>
          <cell r="G134">
            <v>8.9171824318046752E-2</v>
          </cell>
          <cell r="H134">
            <v>0.10668090369819894</v>
          </cell>
          <cell r="I134">
            <v>-1.4240228783217282E-2</v>
          </cell>
          <cell r="J134">
            <v>0.33924515920253306</v>
          </cell>
          <cell r="K134">
            <v>1.3993169810290165E-2</v>
          </cell>
          <cell r="L134">
            <v>-1.4288530914343792E-5</v>
          </cell>
          <cell r="M134">
            <v>-2.7658728452215398E-3</v>
          </cell>
          <cell r="N134">
            <v>1.8540335250869303E-2</v>
          </cell>
          <cell r="O134">
            <v>1.4466366042718783E-3</v>
          </cell>
          <cell r="P134">
            <v>2.0628587185430741E-2</v>
          </cell>
          <cell r="Q134">
            <v>7.0892999980082902E-2</v>
          </cell>
          <cell r="R134">
            <v>3.9759391446429593E-2</v>
          </cell>
          <cell r="S134">
            <v>1</v>
          </cell>
        </row>
        <row r="135">
          <cell r="A135" t="str">
            <v>F150G</v>
          </cell>
          <cell r="B135" t="str">
            <v>Income Before State Taxes</v>
          </cell>
          <cell r="C135">
            <v>0</v>
          </cell>
          <cell r="D135">
            <v>0</v>
          </cell>
          <cell r="E135">
            <v>0</v>
          </cell>
          <cell r="F135">
            <v>0.3664803480421388</v>
          </cell>
          <cell r="G135">
            <v>0.18993481795861258</v>
          </cell>
          <cell r="H135">
            <v>8.9477495835339482E-2</v>
          </cell>
          <cell r="I135">
            <v>-2.6228811862979481E-3</v>
          </cell>
          <cell r="J135">
            <v>0.21953354386115048</v>
          </cell>
          <cell r="K135">
            <v>9.7873251761557232E-3</v>
          </cell>
          <cell r="L135">
            <v>1.8996303571067411E-4</v>
          </cell>
          <cell r="M135">
            <v>-1.0063348324610677E-3</v>
          </cell>
          <cell r="N135">
            <v>4.5955033580527646E-2</v>
          </cell>
          <cell r="O135">
            <v>9.4763608294083537E-4</v>
          </cell>
          <cell r="P135">
            <v>1.3468458172939476E-2</v>
          </cell>
          <cell r="Q135">
            <v>4.1847360533803592E-2</v>
          </cell>
          <cell r="R135">
            <v>2.6007233739583992E-2</v>
          </cell>
          <cell r="S135">
            <v>1</v>
          </cell>
        </row>
        <row r="136">
          <cell r="A136" t="str">
            <v>F150T</v>
          </cell>
          <cell r="B136" t="str">
            <v>Income Before State Taxes</v>
          </cell>
          <cell r="C136">
            <v>0</v>
          </cell>
          <cell r="D136">
            <v>0</v>
          </cell>
          <cell r="E136">
            <v>0</v>
          </cell>
          <cell r="F136">
            <v>0.71636574804674691</v>
          </cell>
          <cell r="G136">
            <v>-2.1206826505314131</v>
          </cell>
          <cell r="H136">
            <v>0.11770708047220943</v>
          </cell>
          <cell r="I136">
            <v>-8.7241580725519935E-2</v>
          </cell>
          <cell r="J136">
            <v>1.7308353919995922</v>
          </cell>
          <cell r="K136">
            <v>8.1428714941926925E-2</v>
          </cell>
          <cell r="L136">
            <v>2.9714131411404446E-4</v>
          </cell>
          <cell r="M136">
            <v>-3.0935013713150605E-2</v>
          </cell>
          <cell r="N136">
            <v>-0.46475524902484888</v>
          </cell>
          <cell r="O136">
            <v>9.3350258619898062E-3</v>
          </cell>
          <cell r="P136">
            <v>0.14815682120157744</v>
          </cell>
          <cell r="Q136">
            <v>0.6147722944335634</v>
          </cell>
          <cell r="R136">
            <v>0.28471627586296622</v>
          </cell>
          <cell r="S136">
            <v>1</v>
          </cell>
        </row>
        <row r="137">
          <cell r="A137" t="str">
            <v>F150D</v>
          </cell>
          <cell r="B137" t="str">
            <v>Income Before State Taxes</v>
          </cell>
          <cell r="C137">
            <v>0</v>
          </cell>
          <cell r="D137">
            <v>0</v>
          </cell>
          <cell r="E137">
            <v>0</v>
          </cell>
          <cell r="F137">
            <v>0.46437534894583243</v>
          </cell>
          <cell r="G137">
            <v>0.33074361408834801</v>
          </cell>
          <cell r="H137">
            <v>4.9100560283442292E-2</v>
          </cell>
          <cell r="I137">
            <v>2.4765836803917498E-2</v>
          </cell>
          <cell r="J137">
            <v>-3.0461432710225458E-3</v>
          </cell>
          <cell r="K137">
            <v>2.1012263446690254E-3</v>
          </cell>
          <cell r="L137">
            <v>5.3873188602831515E-4</v>
          </cell>
          <cell r="M137">
            <v>2.2751245684578445E-3</v>
          </cell>
          <cell r="N137">
            <v>0.12972623532896871</v>
          </cell>
          <cell r="O137">
            <v>-6.0497095257040286E-5</v>
          </cell>
          <cell r="P137">
            <v>-1.3152163557565805E-4</v>
          </cell>
          <cell r="Q137">
            <v>-2.4637450950914174E-4</v>
          </cell>
          <cell r="R137">
            <v>-1.4214173729466963E-4</v>
          </cell>
          <cell r="S137">
            <v>1</v>
          </cell>
        </row>
        <row r="138">
          <cell r="A138" t="str">
            <v>F150R</v>
          </cell>
          <cell r="B138" t="str">
            <v>Income Before State Taxes</v>
          </cell>
          <cell r="C138">
            <v>0</v>
          </cell>
          <cell r="D138">
            <v>0</v>
          </cell>
          <cell r="E138">
            <v>0</v>
          </cell>
          <cell r="F138">
            <v>-0.7284519173381554</v>
          </cell>
          <cell r="G138">
            <v>-2.3140820483842885E-2</v>
          </cell>
          <cell r="H138">
            <v>0.21113123964315733</v>
          </cell>
          <cell r="I138">
            <v>-1.7748653057892805E-2</v>
          </cell>
          <cell r="J138">
            <v>0.76238558308846149</v>
          </cell>
          <cell r="K138">
            <v>1.24876025064596E-2</v>
          </cell>
          <cell r="L138">
            <v>-3.8325206137654923E-3</v>
          </cell>
          <cell r="M138">
            <v>-1.1275161713342223E-3</v>
          </cell>
          <cell r="N138">
            <v>0.62310998056064038</v>
          </cell>
          <cell r="O138">
            <v>-1.8811757764999331E-4</v>
          </cell>
          <cell r="P138">
            <v>-1.6216749477372112E-3</v>
          </cell>
          <cell r="Q138">
            <v>0.17026653858454344</v>
          </cell>
          <cell r="R138">
            <v>-3.2697242925947513E-3</v>
          </cell>
          <cell r="S138">
            <v>1</v>
          </cell>
        </row>
        <row r="139">
          <cell r="A139" t="str">
            <v>F150M</v>
          </cell>
          <cell r="B139" t="str">
            <v>Income Before State Taxes</v>
          </cell>
          <cell r="C139">
            <v>0</v>
          </cell>
          <cell r="D139">
            <v>0</v>
          </cell>
          <cell r="E139">
            <v>0</v>
          </cell>
          <cell r="F139">
            <v>-7.3082206488909334</v>
          </cell>
          <cell r="G139">
            <v>9.500589471304183</v>
          </cell>
          <cell r="H139">
            <v>0.45409862282010766</v>
          </cell>
          <cell r="I139">
            <v>0.7232728932764001</v>
          </cell>
          <cell r="J139">
            <v>-1.4406154377606339</v>
          </cell>
          <cell r="K139">
            <v>-0.40379667697870431</v>
          </cell>
          <cell r="L139">
            <v>-3.8932620093799718E-3</v>
          </cell>
          <cell r="M139">
            <v>0.1557724397605236</v>
          </cell>
          <cell r="N139">
            <v>1.5734212332865798</v>
          </cell>
          <cell r="O139">
            <v>-3.7910166992317772E-2</v>
          </cell>
          <cell r="P139">
            <v>-0.27994303639762358</v>
          </cell>
          <cell r="Q139">
            <v>-1.4765511830878328</v>
          </cell>
          <cell r="R139">
            <v>-0.45628752199981226</v>
          </cell>
          <cell r="S139">
            <v>1</v>
          </cell>
        </row>
        <row r="140">
          <cell r="A140" t="str">
            <v>F151</v>
          </cell>
          <cell r="B140" t="str">
            <v>Depreciation Expense</v>
          </cell>
          <cell r="C140">
            <v>0</v>
          </cell>
          <cell r="D140">
            <v>0</v>
          </cell>
          <cell r="E140">
            <v>0</v>
          </cell>
          <cell r="F140">
            <v>0.40655676078437381</v>
          </cell>
          <cell r="G140">
            <v>0.26569875790327996</v>
          </cell>
          <cell r="H140">
            <v>8.2247042388827102E-2</v>
          </cell>
          <cell r="I140">
            <v>9.2158223793638305E-3</v>
          </cell>
          <cell r="J140">
            <v>0.12137056696613006</v>
          </cell>
          <cell r="K140">
            <v>8.4296489272596056E-3</v>
          </cell>
          <cell r="L140">
            <v>2.717684120988252E-4</v>
          </cell>
          <cell r="M140">
            <v>3.4696836014617462E-4</v>
          </cell>
          <cell r="N140">
            <v>7.2421446268088205E-2</v>
          </cell>
          <cell r="O140">
            <v>6.3269706723910208E-4</v>
          </cell>
          <cell r="P140">
            <v>6.0607738225710479E-3</v>
          </cell>
          <cell r="Q140">
            <v>1.4549449408987119E-2</v>
          </cell>
          <cell r="R140">
            <v>1.2198297311635352E-2</v>
          </cell>
          <cell r="S140">
            <v>1</v>
          </cell>
        </row>
        <row r="141">
          <cell r="A141" t="str">
            <v>F151G</v>
          </cell>
          <cell r="B141" t="str">
            <v>Depreciation Expense</v>
          </cell>
          <cell r="C141">
            <v>0</v>
          </cell>
          <cell r="D141">
            <v>0</v>
          </cell>
          <cell r="E141">
            <v>0</v>
          </cell>
          <cell r="F141">
            <v>0.34614523771625788</v>
          </cell>
          <cell r="G141">
            <v>0.27714150291305473</v>
          </cell>
          <cell r="H141">
            <v>8.8894393088455981E-2</v>
          </cell>
          <cell r="I141">
            <v>1.841241134830924E-3</v>
          </cell>
          <cell r="J141">
            <v>0.16676727879563391</v>
          </cell>
          <cell r="K141">
            <v>7.0861614678240977E-3</v>
          </cell>
          <cell r="L141">
            <v>1.9995857975879463E-4</v>
          </cell>
          <cell r="M141">
            <v>3.6886945280377838E-4</v>
          </cell>
          <cell r="N141">
            <v>6.5486234694526996E-2</v>
          </cell>
          <cell r="O141">
            <v>6.1474355425440112E-4</v>
          </cell>
          <cell r="P141">
            <v>8.3924759959919659E-3</v>
          </cell>
          <cell r="Q141">
            <v>2.024446728630129E-2</v>
          </cell>
          <cell r="R141">
            <v>1.6817435320305354E-2</v>
          </cell>
          <cell r="S141">
            <v>1</v>
          </cell>
        </row>
        <row r="142">
          <cell r="A142" t="str">
            <v>F151T</v>
          </cell>
          <cell r="B142" t="str">
            <v>Depreciation Expense</v>
          </cell>
          <cell r="C142">
            <v>0</v>
          </cell>
          <cell r="D142">
            <v>0</v>
          </cell>
          <cell r="E142">
            <v>0</v>
          </cell>
          <cell r="F142">
            <v>0.34340037373305027</v>
          </cell>
          <cell r="G142">
            <v>0.27494171416134194</v>
          </cell>
          <cell r="H142">
            <v>8.8188216687089913E-2</v>
          </cell>
          <cell r="I142">
            <v>1.826499460205872E-3</v>
          </cell>
          <cell r="J142">
            <v>0.17276601076781811</v>
          </cell>
          <cell r="K142">
            <v>7.0298346046142185E-3</v>
          </cell>
          <cell r="L142">
            <v>1.9836841352350088E-4</v>
          </cell>
          <cell r="M142">
            <v>3.6591687196195889E-4</v>
          </cell>
          <cell r="N142">
            <v>6.4966607386408096E-2</v>
          </cell>
          <cell r="O142">
            <v>6.0986844749809615E-4</v>
          </cell>
          <cell r="P142">
            <v>8.3638913257047861E-3</v>
          </cell>
          <cell r="Q142">
            <v>2.0082611813620106E-2</v>
          </cell>
          <cell r="R142">
            <v>1.7260086327163283E-2</v>
          </cell>
          <cell r="S142">
            <v>1</v>
          </cell>
        </row>
        <row r="143">
          <cell r="A143" t="str">
            <v>F151D</v>
          </cell>
          <cell r="B143" t="str">
            <v>Depreciation Expense</v>
          </cell>
          <cell r="C143">
            <v>0</v>
          </cell>
          <cell r="D143">
            <v>0</v>
          </cell>
          <cell r="E143">
            <v>0</v>
          </cell>
          <cell r="F143">
            <v>0.55880700310046749</v>
          </cell>
          <cell r="G143">
            <v>0.24047358165360042</v>
          </cell>
          <cell r="H143">
            <v>6.650933156768081E-2</v>
          </cell>
          <cell r="I143">
            <v>2.8225694445843497E-2</v>
          </cell>
          <cell r="J143">
            <v>1.7421816323298744E-3</v>
          </cell>
          <cell r="K143">
            <v>1.1987641390655664E-2</v>
          </cell>
          <cell r="L143">
            <v>4.3237965121809441E-4</v>
          </cell>
          <cell r="M143">
            <v>2.9036822740779382E-4</v>
          </cell>
          <cell r="N143">
            <v>9.0434899826545845E-2</v>
          </cell>
          <cell r="O143">
            <v>6.8932179689858066E-4</v>
          </cell>
          <cell r="P143">
            <v>1.3586556911735254E-4</v>
          </cell>
          <cell r="Q143">
            <v>1.3586556911735254E-4</v>
          </cell>
          <cell r="R143">
            <v>1.3586556911735254E-4</v>
          </cell>
          <cell r="S143">
            <v>1</v>
          </cell>
        </row>
        <row r="144">
          <cell r="A144" t="str">
            <v>F151R</v>
          </cell>
          <cell r="B144" t="str">
            <v>Depreciation Expense</v>
          </cell>
          <cell r="C144">
            <v>0</v>
          </cell>
          <cell r="D144">
            <v>0</v>
          </cell>
          <cell r="E144">
            <v>0</v>
          </cell>
          <cell r="F144">
            <v>0.87121091198399003</v>
          </cell>
          <cell r="G144">
            <v>1.8685618887272257E-2</v>
          </cell>
          <cell r="H144">
            <v>3.6060824098817966E-4</v>
          </cell>
          <cell r="I144">
            <v>1.0806265281044006E-2</v>
          </cell>
          <cell r="J144">
            <v>1.4291196877289564E-3</v>
          </cell>
          <cell r="K144">
            <v>3.5368533735182337E-3</v>
          </cell>
          <cell r="L144">
            <v>2.4986356816757084E-3</v>
          </cell>
          <cell r="M144">
            <v>5.2555973340059469E-4</v>
          </cell>
          <cell r="N144">
            <v>9.0906317860013006E-2</v>
          </cell>
          <cell r="O144">
            <v>1.3313276223762299E-5</v>
          </cell>
          <cell r="P144">
            <v>8.9319980483059787E-6</v>
          </cell>
          <cell r="Q144">
            <v>8.9319980483059787E-6</v>
          </cell>
          <cell r="R144">
            <v>8.9319980483059787E-6</v>
          </cell>
          <cell r="S144">
            <v>1</v>
          </cell>
        </row>
        <row r="145">
          <cell r="A145" t="str">
            <v>F151M</v>
          </cell>
          <cell r="B145" t="str">
            <v>Depreciation Expense</v>
          </cell>
          <cell r="C145">
            <v>0</v>
          </cell>
          <cell r="D145">
            <v>0</v>
          </cell>
          <cell r="E145">
            <v>0</v>
          </cell>
          <cell r="F145">
            <v>7.6923076923076927E-2</v>
          </cell>
          <cell r="G145">
            <v>7.6923076923076927E-2</v>
          </cell>
          <cell r="H145">
            <v>7.6923076923076927E-2</v>
          </cell>
          <cell r="I145">
            <v>7.6923076923076927E-2</v>
          </cell>
          <cell r="J145">
            <v>7.6923076923076927E-2</v>
          </cell>
          <cell r="K145">
            <v>7.6923076923076927E-2</v>
          </cell>
          <cell r="L145">
            <v>7.6923076923076927E-2</v>
          </cell>
          <cell r="M145">
            <v>7.6923076923076927E-2</v>
          </cell>
          <cell r="N145">
            <v>7.6923076923076927E-2</v>
          </cell>
          <cell r="O145">
            <v>7.6923076923076927E-2</v>
          </cell>
          <cell r="P145">
            <v>7.6923076923076927E-2</v>
          </cell>
          <cell r="Q145">
            <v>7.6923076923076927E-2</v>
          </cell>
          <cell r="R145">
            <v>7.6923076923076927E-2</v>
          </cell>
          <cell r="S145">
            <v>1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7">
          <cell r="H17">
            <v>0.37950999999999996</v>
          </cell>
        </row>
      </sheetData>
      <sheetData sheetId="1" refreshError="1"/>
      <sheetData sheetId="2"/>
      <sheetData sheetId="3">
        <row r="94">
          <cell r="D94">
            <v>22277537.413922604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61">
          <cell r="E61">
            <v>6.6413560461439841E-2</v>
          </cell>
        </row>
        <row r="722">
          <cell r="Y722">
            <v>11440.454450226256</v>
          </cell>
        </row>
        <row r="724">
          <cell r="Y724">
            <v>38084.035315421454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778">
          <cell r="Y1778">
            <v>0</v>
          </cell>
        </row>
        <row r="1867">
          <cell r="F1867">
            <v>-2239290.6767274253</v>
          </cell>
        </row>
        <row r="1912">
          <cell r="F1912">
            <v>1.0719561604796075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"/>
  <sheetViews>
    <sheetView workbookViewId="0">
      <pane ySplit="9" topLeftCell="A45" activePane="bottomLeft" state="frozen"/>
      <selection pane="bottomLeft" activeCell="M15" sqref="M15"/>
    </sheetView>
  </sheetViews>
  <sheetFormatPr defaultRowHeight="15.75"/>
  <cols>
    <col min="1" max="1" width="30.75" customWidth="1"/>
    <col min="2" max="2" width="2.625" customWidth="1"/>
    <col min="3" max="3" width="11.25" bestFit="1" customWidth="1"/>
    <col min="4" max="4" width="2.5" customWidth="1"/>
    <col min="5" max="5" width="11.25" bestFit="1" customWidth="1"/>
    <col min="6" max="6" width="2.625" customWidth="1"/>
    <col min="8" max="8" width="1.625" bestFit="1" customWidth="1"/>
    <col min="9" max="9" width="10.75" bestFit="1" customWidth="1"/>
    <col min="10" max="10" width="2.5" customWidth="1"/>
    <col min="11" max="11" width="10.75" bestFit="1" customWidth="1"/>
    <col min="12" max="12" width="2.375" customWidth="1"/>
    <col min="14" max="14" width="2.25" bestFit="1" customWidth="1"/>
    <col min="15" max="15" width="11.5" bestFit="1" customWidth="1"/>
  </cols>
  <sheetData>
    <row r="1" spans="1:15">
      <c r="A1" s="966" t="s">
        <v>92</v>
      </c>
      <c r="B1" s="918"/>
      <c r="C1" s="918"/>
      <c r="D1" s="919"/>
      <c r="E1" s="918"/>
      <c r="F1" s="919"/>
      <c r="G1" s="918"/>
      <c r="H1" s="919"/>
      <c r="I1" s="918"/>
      <c r="J1" s="919"/>
      <c r="K1" s="918"/>
      <c r="L1" s="919"/>
      <c r="M1" s="918"/>
      <c r="N1" s="919"/>
      <c r="O1" s="967"/>
    </row>
    <row r="2" spans="1:15">
      <c r="A2" s="966" t="s">
        <v>93</v>
      </c>
      <c r="B2" s="918"/>
      <c r="C2" s="918"/>
      <c r="D2" s="919"/>
      <c r="E2" s="918"/>
      <c r="F2" s="919"/>
      <c r="G2" s="918"/>
      <c r="H2" s="919"/>
      <c r="I2" s="918"/>
      <c r="J2" s="919"/>
      <c r="K2" s="918"/>
      <c r="L2" s="919"/>
      <c r="M2" s="918"/>
      <c r="N2" s="919"/>
      <c r="O2" s="967"/>
    </row>
    <row r="3" spans="1:15">
      <c r="A3" s="966" t="s">
        <v>646</v>
      </c>
      <c r="B3" s="918"/>
      <c r="C3" s="918"/>
      <c r="D3" s="919"/>
      <c r="E3" s="918"/>
      <c r="F3" s="919"/>
      <c r="G3" s="918"/>
      <c r="H3" s="919"/>
      <c r="I3" s="918"/>
      <c r="J3" s="919"/>
      <c r="K3" s="918"/>
      <c r="L3" s="919"/>
      <c r="M3" s="918"/>
      <c r="N3" s="919"/>
      <c r="O3" s="967"/>
    </row>
    <row r="4" spans="1:15">
      <c r="A4" s="966" t="s">
        <v>647</v>
      </c>
      <c r="B4" s="918"/>
      <c r="C4" s="918"/>
      <c r="D4" s="919"/>
      <c r="E4" s="918"/>
      <c r="F4" s="919"/>
      <c r="G4" s="918"/>
      <c r="H4" s="919"/>
      <c r="I4" s="918"/>
      <c r="J4" s="919"/>
      <c r="K4" s="918"/>
      <c r="L4" s="919"/>
      <c r="M4" s="918"/>
      <c r="N4" s="919"/>
      <c r="O4" s="967"/>
    </row>
    <row r="5" spans="1:15">
      <c r="A5" s="920"/>
      <c r="B5" s="920"/>
      <c r="C5" s="968"/>
      <c r="D5" s="922"/>
      <c r="E5" s="968"/>
      <c r="F5" s="922"/>
      <c r="G5" s="920"/>
      <c r="H5" s="922"/>
      <c r="I5" s="920"/>
      <c r="J5" s="922"/>
      <c r="K5" s="920"/>
      <c r="L5" s="922"/>
      <c r="M5" s="920"/>
      <c r="N5" s="922"/>
      <c r="O5" s="920"/>
    </row>
    <row r="6" spans="1:15">
      <c r="A6" s="920"/>
      <c r="B6" s="920"/>
      <c r="C6" s="969"/>
      <c r="D6" s="922"/>
      <c r="E6" s="969"/>
      <c r="F6" s="922"/>
      <c r="G6" s="920"/>
      <c r="H6" s="921"/>
      <c r="I6" s="923"/>
      <c r="J6" s="922"/>
      <c r="K6" s="923"/>
      <c r="L6" s="922"/>
      <c r="M6" s="920"/>
      <c r="N6" s="921"/>
      <c r="O6" s="923"/>
    </row>
    <row r="7" spans="1:15">
      <c r="A7" s="920"/>
      <c r="B7" s="920"/>
      <c r="C7" s="970"/>
      <c r="D7" s="922"/>
      <c r="E7" s="970"/>
      <c r="F7" s="922"/>
      <c r="G7" s="923"/>
      <c r="H7" s="921"/>
      <c r="I7" s="923" t="s">
        <v>7</v>
      </c>
      <c r="J7" s="922"/>
      <c r="K7" s="923" t="s">
        <v>96</v>
      </c>
      <c r="L7" s="922"/>
      <c r="M7" s="923"/>
      <c r="N7" s="921"/>
      <c r="O7" s="923" t="s">
        <v>8</v>
      </c>
    </row>
    <row r="8" spans="1:15">
      <c r="A8" s="920"/>
      <c r="B8" s="920"/>
      <c r="C8" s="971" t="s">
        <v>97</v>
      </c>
      <c r="D8" s="922"/>
      <c r="E8" s="971" t="s">
        <v>96</v>
      </c>
      <c r="F8" s="922"/>
      <c r="G8" s="923" t="s">
        <v>7</v>
      </c>
      <c r="H8" s="921"/>
      <c r="I8" s="923" t="s">
        <v>98</v>
      </c>
      <c r="J8" s="922"/>
      <c r="K8" s="923" t="s">
        <v>98</v>
      </c>
      <c r="L8" s="922"/>
      <c r="M8" s="923" t="s">
        <v>8</v>
      </c>
      <c r="N8" s="921"/>
      <c r="O8" s="923" t="s">
        <v>98</v>
      </c>
    </row>
    <row r="9" spans="1:15">
      <c r="A9" s="920"/>
      <c r="B9" s="920"/>
      <c r="C9" s="972" t="s">
        <v>99</v>
      </c>
      <c r="D9" s="922"/>
      <c r="E9" s="972" t="s">
        <v>100</v>
      </c>
      <c r="F9" s="922"/>
      <c r="G9" s="924" t="s">
        <v>101</v>
      </c>
      <c r="H9" s="921"/>
      <c r="I9" s="925" t="s">
        <v>102</v>
      </c>
      <c r="J9" s="922"/>
      <c r="K9" s="925" t="s">
        <v>102</v>
      </c>
      <c r="L9" s="922"/>
      <c r="M9" s="925" t="s">
        <v>101</v>
      </c>
      <c r="N9" s="921"/>
      <c r="O9" s="925" t="s">
        <v>102</v>
      </c>
    </row>
    <row r="10" spans="1:15">
      <c r="A10" s="926" t="s">
        <v>103</v>
      </c>
      <c r="B10" s="920"/>
      <c r="C10" s="973"/>
      <c r="D10" s="922"/>
      <c r="E10" s="973"/>
      <c r="F10" s="922"/>
      <c r="G10" s="920"/>
      <c r="H10" s="922"/>
      <c r="I10" s="920"/>
      <c r="J10" s="922"/>
      <c r="K10" s="920"/>
      <c r="L10" s="922"/>
      <c r="M10" s="920"/>
      <c r="N10" s="922"/>
      <c r="O10" s="920"/>
    </row>
    <row r="11" spans="1:15">
      <c r="A11" s="927" t="s">
        <v>648</v>
      </c>
      <c r="B11" s="920"/>
      <c r="C11" s="968">
        <v>8288817.8867431693</v>
      </c>
      <c r="D11" s="922"/>
      <c r="E11" s="974">
        <v>8511800.0101599023</v>
      </c>
      <c r="F11" s="922"/>
      <c r="G11" s="928"/>
      <c r="H11" s="929"/>
      <c r="I11" s="975"/>
      <c r="J11" s="922"/>
      <c r="K11" s="975"/>
      <c r="L11" s="922"/>
      <c r="M11" s="928"/>
      <c r="N11" s="929"/>
      <c r="O11" s="975"/>
    </row>
    <row r="12" spans="1:15">
      <c r="A12" s="927" t="s">
        <v>105</v>
      </c>
      <c r="B12" s="920"/>
      <c r="C12" s="968">
        <v>8178755.8094932465</v>
      </c>
      <c r="D12" s="922"/>
      <c r="E12" s="976">
        <v>8398777</v>
      </c>
      <c r="F12" s="922"/>
      <c r="G12" s="928">
        <v>5</v>
      </c>
      <c r="H12" s="929"/>
      <c r="I12" s="975">
        <f>C12*G12</f>
        <v>40893779.047466233</v>
      </c>
      <c r="J12" s="922"/>
      <c r="K12" s="975">
        <f>E12*G12</f>
        <v>41993885</v>
      </c>
      <c r="L12" s="922"/>
      <c r="M12" s="928">
        <v>8</v>
      </c>
      <c r="N12" s="929"/>
      <c r="O12" s="975">
        <v>67190216</v>
      </c>
    </row>
    <row r="13" spans="1:15">
      <c r="A13" s="927" t="s">
        <v>106</v>
      </c>
      <c r="B13" s="920"/>
      <c r="C13" s="968">
        <v>13724.723000000002</v>
      </c>
      <c r="D13" s="922"/>
      <c r="E13" s="976">
        <v>14094</v>
      </c>
      <c r="F13" s="922"/>
      <c r="G13" s="928">
        <v>10</v>
      </c>
      <c r="H13" s="929"/>
      <c r="I13" s="975">
        <f>C13*G13</f>
        <v>137247.23000000001</v>
      </c>
      <c r="J13" s="922"/>
      <c r="K13" s="975">
        <f>E13*G13</f>
        <v>140940</v>
      </c>
      <c r="L13" s="922"/>
      <c r="M13" s="928">
        <v>16</v>
      </c>
      <c r="N13" s="929"/>
      <c r="O13" s="975">
        <v>225504</v>
      </c>
    </row>
    <row r="14" spans="1:15">
      <c r="A14" s="927" t="s">
        <v>620</v>
      </c>
      <c r="B14" s="920"/>
      <c r="C14" s="968">
        <v>15270.940500000001</v>
      </c>
      <c r="D14" s="922"/>
      <c r="E14" s="976">
        <v>23932</v>
      </c>
      <c r="F14" s="922"/>
      <c r="G14" s="928"/>
      <c r="H14" s="929"/>
      <c r="I14" s="975">
        <f t="shared" ref="I14:I23" si="0">C14*G14</f>
        <v>0</v>
      </c>
      <c r="J14" s="922"/>
      <c r="K14" s="975"/>
      <c r="L14" s="922"/>
      <c r="M14" s="928">
        <v>4.25</v>
      </c>
      <c r="N14" s="929"/>
      <c r="O14" s="975">
        <v>101711</v>
      </c>
    </row>
    <row r="15" spans="1:15">
      <c r="A15" s="927" t="s">
        <v>107</v>
      </c>
      <c r="B15" s="920"/>
      <c r="C15" s="976">
        <v>1250372046</v>
      </c>
      <c r="D15" s="922"/>
      <c r="E15" s="974">
        <v>1274636742</v>
      </c>
      <c r="F15" s="922"/>
      <c r="G15" s="892">
        <v>8.8498000000000001</v>
      </c>
      <c r="H15" s="930" t="s">
        <v>108</v>
      </c>
      <c r="I15" s="975">
        <f>(C15*G15)/100</f>
        <v>110655425.32690799</v>
      </c>
      <c r="J15" s="922"/>
      <c r="K15" s="975">
        <f>(E15*G15)/100</f>
        <v>112802802.393516</v>
      </c>
      <c r="L15" s="922"/>
      <c r="M15" s="892">
        <v>8.9412000000000003</v>
      </c>
      <c r="N15" s="930" t="s">
        <v>108</v>
      </c>
      <c r="O15" s="975">
        <v>113967820</v>
      </c>
    </row>
    <row r="16" spans="1:15">
      <c r="A16" s="927" t="s">
        <v>110</v>
      </c>
      <c r="B16" s="920"/>
      <c r="C16" s="976">
        <v>1050489521</v>
      </c>
      <c r="D16" s="922"/>
      <c r="E16" s="974">
        <v>1040456011</v>
      </c>
      <c r="F16" s="922"/>
      <c r="G16" s="892">
        <v>11.542899999999999</v>
      </c>
      <c r="H16" s="930" t="s">
        <v>108</v>
      </c>
      <c r="I16" s="975">
        <f t="shared" ref="I16:I20" si="1">(C16*G16)/100</f>
        <v>121256954.91950899</v>
      </c>
      <c r="J16" s="922"/>
      <c r="K16" s="975">
        <f t="shared" ref="K16:K20" si="2">(E16*G16)/100</f>
        <v>120098796.89371899</v>
      </c>
      <c r="L16" s="922"/>
      <c r="M16" s="892">
        <v>11.662100000000001</v>
      </c>
      <c r="N16" s="930" t="s">
        <v>108</v>
      </c>
      <c r="O16" s="975">
        <v>121339020</v>
      </c>
    </row>
    <row r="17" spans="1:15">
      <c r="A17" s="927" t="s">
        <v>112</v>
      </c>
      <c r="B17" s="920"/>
      <c r="C17" s="976">
        <v>481216948.54129308</v>
      </c>
      <c r="D17" s="922"/>
      <c r="E17" s="974">
        <v>358873906</v>
      </c>
      <c r="F17" s="922"/>
      <c r="G17" s="892">
        <v>14.450799999999999</v>
      </c>
      <c r="H17" s="930" t="s">
        <v>108</v>
      </c>
      <c r="I17" s="975">
        <f t="shared" si="1"/>
        <v>69539698.799805179</v>
      </c>
      <c r="J17" s="922"/>
      <c r="K17" s="975">
        <f t="shared" si="2"/>
        <v>51860150.408247992</v>
      </c>
      <c r="L17" s="922"/>
      <c r="M17" s="892">
        <v>14.6</v>
      </c>
      <c r="N17" s="930" t="s">
        <v>108</v>
      </c>
      <c r="O17" s="975">
        <v>52395590</v>
      </c>
    </row>
    <row r="18" spans="1:15">
      <c r="A18" s="927" t="s">
        <v>114</v>
      </c>
      <c r="B18" s="920"/>
      <c r="C18" s="976"/>
      <c r="D18" s="922"/>
      <c r="E18" s="974"/>
      <c r="F18" s="922"/>
      <c r="G18" s="893"/>
      <c r="H18" s="930"/>
      <c r="I18" s="975"/>
      <c r="J18" s="922"/>
      <c r="K18" s="975"/>
      <c r="L18" s="922"/>
      <c r="M18" s="893"/>
      <c r="N18" s="930"/>
      <c r="O18" s="975"/>
    </row>
    <row r="19" spans="1:15">
      <c r="A19" s="931" t="s">
        <v>621</v>
      </c>
      <c r="B19" s="932"/>
      <c r="C19" s="976">
        <v>1684934772.2253675</v>
      </c>
      <c r="D19" s="933"/>
      <c r="E19" s="974">
        <v>1613094234</v>
      </c>
      <c r="F19" s="933"/>
      <c r="G19" s="893">
        <v>8.8498000000000001</v>
      </c>
      <c r="H19" s="930" t="s">
        <v>108</v>
      </c>
      <c r="I19" s="975">
        <f t="shared" si="1"/>
        <v>149113357.47240058</v>
      </c>
      <c r="J19" s="922"/>
      <c r="K19" s="975">
        <f t="shared" si="2"/>
        <v>142755613.52053201</v>
      </c>
      <c r="L19" s="933"/>
      <c r="M19" s="892">
        <v>8.9412000000000003</v>
      </c>
      <c r="N19" s="934" t="s">
        <v>108</v>
      </c>
      <c r="O19" s="977">
        <v>144229982</v>
      </c>
    </row>
    <row r="20" spans="1:15">
      <c r="A20" s="931" t="s">
        <v>622</v>
      </c>
      <c r="B20" s="932"/>
      <c r="C20" s="976">
        <v>1780869602.5173502</v>
      </c>
      <c r="D20" s="933"/>
      <c r="E20" s="974">
        <v>1704644903</v>
      </c>
      <c r="F20" s="933"/>
      <c r="G20" s="893">
        <v>9.8912999999999993</v>
      </c>
      <c r="H20" s="930" t="s">
        <v>108</v>
      </c>
      <c r="I20" s="975">
        <f t="shared" si="1"/>
        <v>176151154.99379864</v>
      </c>
      <c r="J20" s="922"/>
      <c r="K20" s="975">
        <f t="shared" si="2"/>
        <v>168611541.29043901</v>
      </c>
      <c r="L20" s="933"/>
      <c r="M20" s="892">
        <v>9.9933999999999994</v>
      </c>
      <c r="N20" s="934" t="s">
        <v>108</v>
      </c>
      <c r="O20" s="977">
        <v>170351984</v>
      </c>
    </row>
    <row r="21" spans="1:15">
      <c r="A21" s="927" t="s">
        <v>116</v>
      </c>
      <c r="B21" s="920"/>
      <c r="C21" s="968">
        <v>96175.656000001909</v>
      </c>
      <c r="D21" s="922"/>
      <c r="E21" s="976">
        <v>98763</v>
      </c>
      <c r="F21" s="922"/>
      <c r="G21" s="928">
        <v>7</v>
      </c>
      <c r="H21" s="929"/>
      <c r="I21" s="975">
        <f t="shared" si="0"/>
        <v>673229.59200001333</v>
      </c>
      <c r="J21" s="922"/>
      <c r="K21" s="975">
        <f>E21*G21</f>
        <v>691341</v>
      </c>
      <c r="L21" s="922"/>
      <c r="M21" s="928">
        <v>15</v>
      </c>
      <c r="N21" s="929"/>
      <c r="O21" s="975">
        <v>1481445</v>
      </c>
    </row>
    <row r="22" spans="1:15">
      <c r="A22" s="927" t="s">
        <v>118</v>
      </c>
      <c r="B22" s="920"/>
      <c r="C22" s="968">
        <v>161.69825</v>
      </c>
      <c r="D22" s="922"/>
      <c r="E22" s="974">
        <v>166.01015990227461</v>
      </c>
      <c r="F22" s="922"/>
      <c r="G22" s="928">
        <v>14</v>
      </c>
      <c r="H22" s="935"/>
      <c r="I22" s="975">
        <f t="shared" si="0"/>
        <v>2263.7755000000002</v>
      </c>
      <c r="J22" s="922"/>
      <c r="K22" s="975">
        <f t="shared" ref="K22:K23" si="3">E22*G22</f>
        <v>2324.1422386318445</v>
      </c>
      <c r="L22" s="922"/>
      <c r="M22" s="928">
        <v>30</v>
      </c>
      <c r="N22" s="935"/>
      <c r="O22" s="975">
        <v>4980</v>
      </c>
    </row>
    <row r="23" spans="1:15">
      <c r="A23" s="927" t="s">
        <v>120</v>
      </c>
      <c r="B23" s="920"/>
      <c r="C23" s="976">
        <v>0</v>
      </c>
      <c r="D23" s="922"/>
      <c r="E23" s="974">
        <v>0</v>
      </c>
      <c r="F23" s="922"/>
      <c r="G23" s="928">
        <v>84</v>
      </c>
      <c r="H23" s="935"/>
      <c r="I23" s="975">
        <f t="shared" si="0"/>
        <v>0</v>
      </c>
      <c r="J23" s="922"/>
      <c r="K23" s="975">
        <f t="shared" si="3"/>
        <v>0</v>
      </c>
      <c r="L23" s="922"/>
      <c r="M23" s="936">
        <v>180</v>
      </c>
      <c r="N23" s="935"/>
      <c r="O23" s="978">
        <v>0</v>
      </c>
    </row>
    <row r="24" spans="1:15">
      <c r="A24" s="958" t="s">
        <v>122</v>
      </c>
      <c r="B24" s="920"/>
      <c r="C24" s="976">
        <v>522914</v>
      </c>
      <c r="D24" s="922"/>
      <c r="E24" s="976">
        <v>501472</v>
      </c>
      <c r="F24" s="922"/>
      <c r="G24" s="893"/>
      <c r="H24" s="930"/>
      <c r="I24" s="978"/>
      <c r="J24" s="922"/>
      <c r="K24" s="978"/>
      <c r="L24" s="922"/>
      <c r="M24" s="893"/>
      <c r="N24" s="930"/>
      <c r="O24" s="978"/>
    </row>
    <row r="25" spans="1:15">
      <c r="A25" s="958" t="s">
        <v>649</v>
      </c>
      <c r="B25" s="922"/>
      <c r="C25" s="976">
        <v>232521</v>
      </c>
      <c r="D25" s="922"/>
      <c r="E25" s="974">
        <v>223485</v>
      </c>
      <c r="F25" s="922"/>
      <c r="G25" s="893"/>
      <c r="H25" s="930"/>
      <c r="I25" s="975"/>
      <c r="J25" s="922"/>
      <c r="K25" s="975"/>
      <c r="L25" s="922"/>
      <c r="M25" s="893"/>
      <c r="N25" s="930"/>
      <c r="O25" s="975"/>
    </row>
    <row r="26" spans="1:15">
      <c r="A26" s="958" t="s">
        <v>650</v>
      </c>
      <c r="B26" s="922"/>
      <c r="C26" s="976">
        <v>290393</v>
      </c>
      <c r="D26" s="922"/>
      <c r="E26" s="974">
        <v>277987</v>
      </c>
      <c r="F26" s="922"/>
      <c r="G26" s="893"/>
      <c r="H26" s="930"/>
      <c r="I26" s="975"/>
      <c r="J26" s="922"/>
      <c r="K26" s="975"/>
      <c r="L26" s="922"/>
      <c r="M26" s="893"/>
      <c r="N26" s="930"/>
      <c r="O26" s="975"/>
    </row>
    <row r="27" spans="1:15">
      <c r="A27" s="927" t="s">
        <v>132</v>
      </c>
      <c r="B27" s="920"/>
      <c r="C27" s="979">
        <v>-9826431</v>
      </c>
      <c r="D27" s="922"/>
      <c r="E27" s="979">
        <v>0</v>
      </c>
      <c r="F27" s="922"/>
      <c r="G27" s="920"/>
      <c r="H27" s="922"/>
      <c r="I27" s="980">
        <v>1515669</v>
      </c>
      <c r="J27" s="922"/>
      <c r="K27" s="980">
        <v>0</v>
      </c>
      <c r="L27" s="922"/>
      <c r="M27" s="920"/>
      <c r="N27" s="922"/>
      <c r="O27" s="980">
        <v>0</v>
      </c>
    </row>
    <row r="28" spans="1:15" ht="16.5" thickBot="1">
      <c r="A28" s="927" t="s">
        <v>134</v>
      </c>
      <c r="B28" s="920"/>
      <c r="C28" s="981">
        <v>6238579373.2840109</v>
      </c>
      <c r="D28" s="922"/>
      <c r="E28" s="981">
        <v>5992207268.7140274</v>
      </c>
      <c r="F28" s="922"/>
      <c r="G28" s="982"/>
      <c r="H28" s="922"/>
      <c r="I28" s="983">
        <f>SUM(I12:I27)</f>
        <v>669938780.15738761</v>
      </c>
      <c r="J28" s="983"/>
      <c r="K28" s="983">
        <f t="shared" ref="K28" si="4">SUM(K12:K27)</f>
        <v>638957394.64869261</v>
      </c>
      <c r="L28" s="922"/>
      <c r="M28" s="982"/>
      <c r="N28" s="922"/>
      <c r="O28" s="983">
        <v>671288252</v>
      </c>
    </row>
    <row r="29" spans="1:15" ht="16.5" thickTop="1">
      <c r="A29" s="920"/>
      <c r="B29" s="920"/>
      <c r="C29" s="984"/>
      <c r="D29" s="922"/>
      <c r="E29" s="984"/>
      <c r="F29" s="922"/>
      <c r="G29" s="920"/>
      <c r="H29" s="922"/>
      <c r="I29" s="920"/>
      <c r="J29" s="922"/>
      <c r="K29" s="920"/>
      <c r="L29" s="922"/>
      <c r="M29" s="920"/>
      <c r="N29" s="922"/>
      <c r="O29" s="920"/>
    </row>
    <row r="30" spans="1:15">
      <c r="A30" s="926" t="s">
        <v>623</v>
      </c>
      <c r="B30" s="920"/>
      <c r="C30" s="968"/>
      <c r="D30" s="922"/>
      <c r="E30" s="968"/>
      <c r="F30" s="922"/>
      <c r="G30" s="920"/>
      <c r="H30" s="922"/>
      <c r="I30" s="920"/>
      <c r="J30" s="922"/>
      <c r="K30" s="920"/>
      <c r="L30" s="922"/>
      <c r="M30" s="920"/>
      <c r="N30" s="922"/>
      <c r="O30" s="920"/>
    </row>
    <row r="31" spans="1:15">
      <c r="A31" s="927" t="s">
        <v>648</v>
      </c>
      <c r="B31" s="920"/>
      <c r="C31" s="968">
        <v>350394.52299999999</v>
      </c>
      <c r="D31" s="922"/>
      <c r="E31" s="976">
        <v>370465</v>
      </c>
      <c r="F31" s="922"/>
      <c r="G31" s="928"/>
      <c r="H31" s="929"/>
      <c r="I31" s="975"/>
      <c r="J31" s="922"/>
      <c r="K31" s="975"/>
      <c r="L31" s="922"/>
      <c r="M31" s="928"/>
      <c r="N31" s="929"/>
      <c r="O31" s="975"/>
    </row>
    <row r="32" spans="1:15">
      <c r="A32" s="927" t="s">
        <v>105</v>
      </c>
      <c r="B32" s="920"/>
      <c r="C32" s="968">
        <v>349441.29399999999</v>
      </c>
      <c r="D32" s="922"/>
      <c r="E32" s="976">
        <v>369457</v>
      </c>
      <c r="F32" s="922"/>
      <c r="G32" s="928">
        <v>5</v>
      </c>
      <c r="H32" s="929"/>
      <c r="I32" s="975">
        <v>1747206</v>
      </c>
      <c r="J32" s="922"/>
      <c r="K32" s="975">
        <v>1847285</v>
      </c>
      <c r="L32" s="922"/>
      <c r="M32" s="928">
        <v>8</v>
      </c>
      <c r="N32" s="929"/>
      <c r="O32" s="975">
        <v>2955656</v>
      </c>
    </row>
    <row r="33" spans="1:15">
      <c r="A33" s="927" t="s">
        <v>106</v>
      </c>
      <c r="B33" s="920"/>
      <c r="C33" s="968">
        <v>243.26849999999999</v>
      </c>
      <c r="D33" s="922"/>
      <c r="E33" s="976">
        <v>257</v>
      </c>
      <c r="F33" s="922"/>
      <c r="G33" s="928">
        <v>10</v>
      </c>
      <c r="H33" s="929"/>
      <c r="I33" s="975">
        <v>2433</v>
      </c>
      <c r="J33" s="922"/>
      <c r="K33" s="975">
        <v>2570</v>
      </c>
      <c r="L33" s="922"/>
      <c r="M33" s="928">
        <v>16</v>
      </c>
      <c r="N33" s="929"/>
      <c r="O33" s="975">
        <v>4112</v>
      </c>
    </row>
    <row r="34" spans="1:15">
      <c r="A34" s="927" t="s">
        <v>620</v>
      </c>
      <c r="B34" s="920"/>
      <c r="C34" s="968">
        <v>0</v>
      </c>
      <c r="D34" s="922"/>
      <c r="E34" s="976">
        <v>0</v>
      </c>
      <c r="F34" s="922"/>
      <c r="G34" s="928"/>
      <c r="H34" s="929"/>
      <c r="I34" s="975"/>
      <c r="J34" s="922"/>
      <c r="K34" s="975"/>
      <c r="L34" s="922"/>
      <c r="M34" s="928">
        <v>4.25</v>
      </c>
      <c r="N34" s="929"/>
      <c r="O34" s="975">
        <v>0</v>
      </c>
    </row>
    <row r="35" spans="1:15">
      <c r="A35" s="927" t="s">
        <v>107</v>
      </c>
      <c r="B35" s="920"/>
      <c r="C35" s="976">
        <v>50259519</v>
      </c>
      <c r="D35" s="922"/>
      <c r="E35" s="974">
        <v>47435117</v>
      </c>
      <c r="F35" s="922"/>
      <c r="G35" s="893">
        <v>8.8498000000000001</v>
      </c>
      <c r="H35" s="930" t="s">
        <v>108</v>
      </c>
      <c r="I35" s="975">
        <v>4447867</v>
      </c>
      <c r="J35" s="922"/>
      <c r="K35" s="975">
        <v>4197913</v>
      </c>
      <c r="L35" s="922"/>
      <c r="M35" s="893">
        <v>8.9412000000000003</v>
      </c>
      <c r="N35" s="930" t="s">
        <v>108</v>
      </c>
      <c r="O35" s="975">
        <v>4241269</v>
      </c>
    </row>
    <row r="36" spans="1:15">
      <c r="A36" s="927" t="s">
        <v>110</v>
      </c>
      <c r="B36" s="920"/>
      <c r="C36" s="976">
        <v>34562070</v>
      </c>
      <c r="D36" s="922"/>
      <c r="E36" s="974">
        <v>31907309</v>
      </c>
      <c r="F36" s="922"/>
      <c r="G36" s="893">
        <v>11.542899999999999</v>
      </c>
      <c r="H36" s="930" t="s">
        <v>108</v>
      </c>
      <c r="I36" s="975">
        <v>3989465</v>
      </c>
      <c r="J36" s="922"/>
      <c r="K36" s="975">
        <v>3683029</v>
      </c>
      <c r="L36" s="922"/>
      <c r="M36" s="893">
        <v>11.662100000000001</v>
      </c>
      <c r="N36" s="930" t="s">
        <v>108</v>
      </c>
      <c r="O36" s="975">
        <v>3721062</v>
      </c>
    </row>
    <row r="37" spans="1:15">
      <c r="A37" s="927" t="s">
        <v>112</v>
      </c>
      <c r="B37" s="920"/>
      <c r="C37" s="976">
        <v>11726556.633750122</v>
      </c>
      <c r="D37" s="922"/>
      <c r="E37" s="974">
        <v>10205740</v>
      </c>
      <c r="F37" s="922"/>
      <c r="G37" s="893">
        <v>14.450799999999999</v>
      </c>
      <c r="H37" s="930" t="s">
        <v>108</v>
      </c>
      <c r="I37" s="975">
        <v>1694581</v>
      </c>
      <c r="J37" s="922"/>
      <c r="K37" s="975">
        <v>1474811</v>
      </c>
      <c r="L37" s="922"/>
      <c r="M37" s="893">
        <v>14.6</v>
      </c>
      <c r="N37" s="930" t="s">
        <v>108</v>
      </c>
      <c r="O37" s="975">
        <v>1490038</v>
      </c>
    </row>
    <row r="38" spans="1:15">
      <c r="A38" s="927" t="s">
        <v>114</v>
      </c>
      <c r="B38" s="920"/>
      <c r="C38" s="976"/>
      <c r="D38" s="922"/>
      <c r="E38" s="974"/>
      <c r="F38" s="922"/>
      <c r="G38" s="893"/>
      <c r="H38" s="930"/>
      <c r="I38" s="975"/>
      <c r="J38" s="922"/>
      <c r="K38" s="975"/>
      <c r="L38" s="922"/>
      <c r="M38" s="893"/>
      <c r="N38" s="930"/>
      <c r="O38" s="975"/>
    </row>
    <row r="39" spans="1:15">
      <c r="A39" s="931" t="s">
        <v>621</v>
      </c>
      <c r="B39" s="932"/>
      <c r="C39" s="976">
        <v>69002024.708795607</v>
      </c>
      <c r="D39" s="933"/>
      <c r="E39" s="974">
        <v>64598419</v>
      </c>
      <c r="F39" s="933"/>
      <c r="G39" s="893">
        <v>8.8498000000000001</v>
      </c>
      <c r="H39" s="930" t="s">
        <v>108</v>
      </c>
      <c r="I39" s="975">
        <v>6106541</v>
      </c>
      <c r="J39" s="922"/>
      <c r="K39" s="975">
        <v>5716831</v>
      </c>
      <c r="L39" s="933"/>
      <c r="M39" s="937">
        <v>8.9412000000000003</v>
      </c>
      <c r="N39" s="934" t="s">
        <v>108</v>
      </c>
      <c r="O39" s="977">
        <v>5775874</v>
      </c>
    </row>
    <row r="40" spans="1:15">
      <c r="A40" s="931" t="s">
        <v>622</v>
      </c>
      <c r="B40" s="932"/>
      <c r="C40" s="976">
        <v>58012180.470918387</v>
      </c>
      <c r="D40" s="933"/>
      <c r="E40" s="974">
        <v>54308077</v>
      </c>
      <c r="F40" s="933"/>
      <c r="G40" s="893">
        <v>9.8912999999999993</v>
      </c>
      <c r="H40" s="930" t="s">
        <v>108</v>
      </c>
      <c r="I40" s="975">
        <v>5738159</v>
      </c>
      <c r="J40" s="922"/>
      <c r="K40" s="975">
        <v>5371775</v>
      </c>
      <c r="L40" s="933"/>
      <c r="M40" s="937">
        <v>9.9933999999999994</v>
      </c>
      <c r="N40" s="934" t="s">
        <v>108</v>
      </c>
      <c r="O40" s="977">
        <v>5427223</v>
      </c>
    </row>
    <row r="41" spans="1:15">
      <c r="A41" s="927" t="s">
        <v>116</v>
      </c>
      <c r="B41" s="920"/>
      <c r="C41" s="968">
        <v>709.96050000000002</v>
      </c>
      <c r="D41" s="922"/>
      <c r="E41" s="976">
        <v>751</v>
      </c>
      <c r="F41" s="922"/>
      <c r="G41" s="928">
        <v>7</v>
      </c>
      <c r="H41" s="929"/>
      <c r="I41" s="975">
        <v>4970</v>
      </c>
      <c r="J41" s="922"/>
      <c r="K41" s="975">
        <v>5257</v>
      </c>
      <c r="L41" s="922"/>
      <c r="M41" s="928">
        <v>15</v>
      </c>
      <c r="N41" s="929"/>
      <c r="O41" s="975">
        <v>11265</v>
      </c>
    </row>
    <row r="42" spans="1:15">
      <c r="A42" s="927" t="s">
        <v>118</v>
      </c>
      <c r="B42" s="920"/>
      <c r="C42" s="968">
        <v>0</v>
      </c>
      <c r="D42" s="922"/>
      <c r="E42" s="976">
        <v>0</v>
      </c>
      <c r="F42" s="922"/>
      <c r="G42" s="928">
        <v>14</v>
      </c>
      <c r="H42" s="929"/>
      <c r="I42" s="975">
        <v>0</v>
      </c>
      <c r="J42" s="922"/>
      <c r="K42" s="975">
        <v>0</v>
      </c>
      <c r="L42" s="922"/>
      <c r="M42" s="928">
        <v>30</v>
      </c>
      <c r="N42" s="935"/>
      <c r="O42" s="975">
        <v>0</v>
      </c>
    </row>
    <row r="43" spans="1:15">
      <c r="A43" s="927" t="s">
        <v>120</v>
      </c>
      <c r="B43" s="920"/>
      <c r="C43" s="976">
        <v>0</v>
      </c>
      <c r="D43" s="922"/>
      <c r="E43" s="976">
        <v>0</v>
      </c>
      <c r="F43" s="922"/>
      <c r="G43" s="928">
        <v>84</v>
      </c>
      <c r="H43" s="929"/>
      <c r="I43" s="975">
        <v>0</v>
      </c>
      <c r="J43" s="922"/>
      <c r="K43" s="975">
        <v>0</v>
      </c>
      <c r="L43" s="922"/>
      <c r="M43" s="936">
        <v>180</v>
      </c>
      <c r="N43" s="935"/>
      <c r="O43" s="978">
        <v>0</v>
      </c>
    </row>
    <row r="44" spans="1:15">
      <c r="A44" s="958" t="s">
        <v>122</v>
      </c>
      <c r="B44" s="922"/>
      <c r="C44" s="976">
        <v>4559</v>
      </c>
      <c r="D44" s="922"/>
      <c r="E44" s="976">
        <v>4249</v>
      </c>
      <c r="F44" s="922"/>
      <c r="G44" s="985"/>
      <c r="H44" s="930"/>
      <c r="I44" s="978"/>
      <c r="J44" s="922"/>
      <c r="K44" s="978"/>
      <c r="L44" s="922"/>
      <c r="M44" s="893"/>
      <c r="N44" s="930"/>
      <c r="O44" s="978"/>
    </row>
    <row r="45" spans="1:15">
      <c r="A45" s="958" t="s">
        <v>649</v>
      </c>
      <c r="B45" s="922"/>
      <c r="C45" s="976">
        <v>2203</v>
      </c>
      <c r="D45" s="922"/>
      <c r="E45" s="974">
        <v>2043</v>
      </c>
      <c r="F45" s="922"/>
      <c r="G45" s="985"/>
      <c r="H45" s="930"/>
      <c r="I45" s="975"/>
      <c r="J45" s="922"/>
      <c r="K45" s="975"/>
      <c r="L45" s="922"/>
      <c r="M45" s="893"/>
      <c r="N45" s="930"/>
      <c r="O45" s="975"/>
    </row>
    <row r="46" spans="1:15">
      <c r="A46" s="958" t="s">
        <v>650</v>
      </c>
      <c r="B46" s="920"/>
      <c r="C46" s="976">
        <v>2356</v>
      </c>
      <c r="D46" s="922"/>
      <c r="E46" s="974">
        <v>2206</v>
      </c>
      <c r="F46" s="922"/>
      <c r="G46" s="985"/>
      <c r="H46" s="930"/>
      <c r="I46" s="975"/>
      <c r="J46" s="922"/>
      <c r="K46" s="975"/>
      <c r="L46" s="922"/>
      <c r="M46" s="893"/>
      <c r="N46" s="930"/>
      <c r="O46" s="975"/>
    </row>
    <row r="47" spans="1:15">
      <c r="A47" s="927" t="s">
        <v>132</v>
      </c>
      <c r="B47" s="920"/>
      <c r="C47" s="979">
        <v>-351850</v>
      </c>
      <c r="D47" s="922"/>
      <c r="E47" s="979">
        <v>0</v>
      </c>
      <c r="F47" s="922"/>
      <c r="G47" s="920"/>
      <c r="H47" s="922"/>
      <c r="I47" s="980">
        <v>53425</v>
      </c>
      <c r="J47" s="922"/>
      <c r="K47" s="980">
        <v>0</v>
      </c>
      <c r="L47" s="922"/>
      <c r="M47" s="920"/>
      <c r="N47" s="922"/>
      <c r="O47" s="980">
        <v>0</v>
      </c>
    </row>
    <row r="48" spans="1:15" ht="16.5" thickBot="1">
      <c r="A48" s="927" t="s">
        <v>134</v>
      </c>
      <c r="B48" s="920"/>
      <c r="C48" s="981">
        <v>223215059.81346413</v>
      </c>
      <c r="D48" s="922"/>
      <c r="E48" s="981">
        <v>208458910.71085531</v>
      </c>
      <c r="F48" s="922"/>
      <c r="G48" s="982"/>
      <c r="H48" s="922"/>
      <c r="I48" s="983">
        <v>23784647</v>
      </c>
      <c r="J48" s="922"/>
      <c r="K48" s="983">
        <v>22299471</v>
      </c>
      <c r="L48" s="922"/>
      <c r="M48" s="982"/>
      <c r="N48" s="922"/>
      <c r="O48" s="983">
        <v>23626499</v>
      </c>
    </row>
    <row r="49" spans="1:15" ht="16.5" thickTop="1">
      <c r="A49" s="920"/>
      <c r="B49" s="920"/>
      <c r="C49" s="968"/>
      <c r="D49" s="922"/>
      <c r="E49" s="968"/>
      <c r="F49" s="922"/>
      <c r="G49" s="920"/>
      <c r="H49" s="922"/>
      <c r="I49" s="920"/>
      <c r="J49" s="922"/>
      <c r="K49" s="920"/>
      <c r="L49" s="922"/>
      <c r="M49" s="920"/>
      <c r="N49" s="922"/>
      <c r="O49" s="920"/>
    </row>
    <row r="50" spans="1:15">
      <c r="A50" s="926" t="s">
        <v>626</v>
      </c>
      <c r="B50" s="920"/>
      <c r="C50" s="968"/>
      <c r="D50" s="922"/>
      <c r="E50" s="968"/>
      <c r="F50" s="922"/>
      <c r="G50" s="920"/>
      <c r="H50" s="922"/>
      <c r="I50" s="920"/>
      <c r="J50" s="922"/>
      <c r="K50" s="920"/>
      <c r="L50" s="922"/>
      <c r="M50" s="920"/>
      <c r="N50" s="922"/>
      <c r="O50" s="920"/>
    </row>
    <row r="51" spans="1:15">
      <c r="A51" s="927" t="s">
        <v>648</v>
      </c>
      <c r="B51" s="920"/>
      <c r="C51" s="968">
        <v>5005.2725</v>
      </c>
      <c r="D51" s="922"/>
      <c r="E51" s="976">
        <v>5364</v>
      </c>
      <c r="F51" s="922"/>
      <c r="G51" s="928"/>
      <c r="H51" s="929"/>
      <c r="I51" s="975"/>
      <c r="J51" s="922"/>
      <c r="K51" s="975"/>
      <c r="L51" s="922"/>
      <c r="M51" s="928"/>
      <c r="N51" s="929"/>
      <c r="O51" s="975"/>
    </row>
    <row r="52" spans="1:15">
      <c r="A52" s="927" t="s">
        <v>105</v>
      </c>
      <c r="B52" s="920"/>
      <c r="C52" s="968">
        <v>4892.0110000000004</v>
      </c>
      <c r="D52" s="922"/>
      <c r="E52" s="976">
        <v>5243</v>
      </c>
      <c r="F52" s="922"/>
      <c r="G52" s="928">
        <v>5</v>
      </c>
      <c r="H52" s="929"/>
      <c r="I52" s="975">
        <v>24460</v>
      </c>
      <c r="J52" s="922"/>
      <c r="K52" s="975">
        <v>26215</v>
      </c>
      <c r="L52" s="922"/>
      <c r="M52" s="928">
        <v>8</v>
      </c>
      <c r="N52" s="929"/>
      <c r="O52" s="975">
        <v>41944</v>
      </c>
    </row>
    <row r="53" spans="1:15">
      <c r="A53" s="927" t="s">
        <v>106</v>
      </c>
      <c r="B53" s="920"/>
      <c r="C53" s="968">
        <v>0</v>
      </c>
      <c r="D53" s="922"/>
      <c r="E53" s="976">
        <v>0</v>
      </c>
      <c r="F53" s="922"/>
      <c r="G53" s="928">
        <v>10</v>
      </c>
      <c r="H53" s="929"/>
      <c r="I53" s="975">
        <v>0</v>
      </c>
      <c r="J53" s="922"/>
      <c r="K53" s="975">
        <v>0</v>
      </c>
      <c r="L53" s="922"/>
      <c r="M53" s="928">
        <v>16</v>
      </c>
      <c r="N53" s="929"/>
      <c r="O53" s="975">
        <v>0</v>
      </c>
    </row>
    <row r="54" spans="1:15">
      <c r="A54" s="927" t="s">
        <v>620</v>
      </c>
      <c r="B54" s="920"/>
      <c r="C54" s="968">
        <v>756.04100000000005</v>
      </c>
      <c r="D54" s="922"/>
      <c r="E54" s="976">
        <v>1185</v>
      </c>
      <c r="F54" s="922"/>
      <c r="G54" s="928"/>
      <c r="H54" s="929"/>
      <c r="I54" s="975"/>
      <c r="J54" s="922"/>
      <c r="K54" s="975"/>
      <c r="L54" s="922"/>
      <c r="M54" s="928">
        <v>4.25</v>
      </c>
      <c r="N54" s="929"/>
      <c r="O54" s="975">
        <v>5036</v>
      </c>
    </row>
    <row r="55" spans="1:15">
      <c r="A55" s="927" t="s">
        <v>143</v>
      </c>
      <c r="B55" s="920"/>
      <c r="C55" s="968">
        <v>278282</v>
      </c>
      <c r="D55" s="922"/>
      <c r="E55" s="976">
        <v>280149</v>
      </c>
      <c r="F55" s="922"/>
      <c r="G55" s="938">
        <v>4.3559999999999999</v>
      </c>
      <c r="H55" s="930" t="s">
        <v>108</v>
      </c>
      <c r="I55" s="975">
        <v>12122</v>
      </c>
      <c r="J55" s="922"/>
      <c r="K55" s="975">
        <v>12203</v>
      </c>
      <c r="L55" s="922"/>
      <c r="M55" s="938">
        <v>4.3559999999999999</v>
      </c>
      <c r="N55" s="930" t="s">
        <v>108</v>
      </c>
      <c r="O55" s="975">
        <v>12203</v>
      </c>
    </row>
    <row r="56" spans="1:15">
      <c r="A56" s="927" t="s">
        <v>144</v>
      </c>
      <c r="B56" s="920"/>
      <c r="C56" s="968">
        <v>948229.82009488053</v>
      </c>
      <c r="D56" s="922"/>
      <c r="E56" s="976">
        <v>954590</v>
      </c>
      <c r="F56" s="922"/>
      <c r="G56" s="938">
        <v>-1.6334</v>
      </c>
      <c r="H56" s="930" t="s">
        <v>108</v>
      </c>
      <c r="I56" s="975">
        <v>-15488</v>
      </c>
      <c r="J56" s="922"/>
      <c r="K56" s="975">
        <v>-15592</v>
      </c>
      <c r="L56" s="922"/>
      <c r="M56" s="938">
        <v>-1.6334</v>
      </c>
      <c r="N56" s="930" t="s">
        <v>108</v>
      </c>
      <c r="O56" s="975">
        <v>-15592</v>
      </c>
    </row>
    <row r="57" spans="1:15">
      <c r="A57" s="927" t="s">
        <v>107</v>
      </c>
      <c r="B57" s="920"/>
      <c r="C57" s="976">
        <v>666677</v>
      </c>
      <c r="D57" s="922"/>
      <c r="E57" s="976">
        <v>675062</v>
      </c>
      <c r="F57" s="922"/>
      <c r="G57" s="893">
        <v>8.8498000000000001</v>
      </c>
      <c r="H57" s="930" t="s">
        <v>108</v>
      </c>
      <c r="I57" s="975">
        <v>59000</v>
      </c>
      <c r="J57" s="922"/>
      <c r="K57" s="975">
        <v>59742</v>
      </c>
      <c r="L57" s="922"/>
      <c r="M57" s="893">
        <v>8.9412000000000003</v>
      </c>
      <c r="N57" s="930" t="s">
        <v>108</v>
      </c>
      <c r="O57" s="975">
        <v>60359</v>
      </c>
    </row>
    <row r="58" spans="1:15">
      <c r="A58" s="927" t="s">
        <v>110</v>
      </c>
      <c r="B58" s="920"/>
      <c r="C58" s="976">
        <v>463113</v>
      </c>
      <c r="D58" s="922"/>
      <c r="E58" s="976">
        <v>474415</v>
      </c>
      <c r="F58" s="922"/>
      <c r="G58" s="893">
        <v>11.542899999999999</v>
      </c>
      <c r="H58" s="930" t="s">
        <v>108</v>
      </c>
      <c r="I58" s="975">
        <v>53457</v>
      </c>
      <c r="J58" s="922"/>
      <c r="K58" s="975">
        <v>54761</v>
      </c>
      <c r="L58" s="922"/>
      <c r="M58" s="893">
        <v>11.662100000000001</v>
      </c>
      <c r="N58" s="930" t="s">
        <v>108</v>
      </c>
      <c r="O58" s="975">
        <v>55327</v>
      </c>
    </row>
    <row r="59" spans="1:15">
      <c r="A59" s="927" t="s">
        <v>112</v>
      </c>
      <c r="B59" s="920"/>
      <c r="C59" s="976">
        <v>195922.82009488047</v>
      </c>
      <c r="D59" s="922"/>
      <c r="E59" s="976">
        <v>185128</v>
      </c>
      <c r="F59" s="922"/>
      <c r="G59" s="893">
        <v>14.450799999999999</v>
      </c>
      <c r="H59" s="930" t="s">
        <v>108</v>
      </c>
      <c r="I59" s="975">
        <v>28312</v>
      </c>
      <c r="J59" s="922"/>
      <c r="K59" s="975">
        <v>26752</v>
      </c>
      <c r="L59" s="922"/>
      <c r="M59" s="893">
        <v>14.6</v>
      </c>
      <c r="N59" s="930" t="s">
        <v>108</v>
      </c>
      <c r="O59" s="975">
        <v>27029</v>
      </c>
    </row>
    <row r="60" spans="1:15">
      <c r="A60" s="927" t="s">
        <v>114</v>
      </c>
      <c r="B60" s="920"/>
      <c r="C60" s="976"/>
      <c r="D60" s="922"/>
      <c r="E60" s="976"/>
      <c r="F60" s="922"/>
      <c r="G60" s="893"/>
      <c r="H60" s="930"/>
      <c r="I60" s="975"/>
      <c r="J60" s="922"/>
      <c r="K60" s="975"/>
      <c r="L60" s="922"/>
      <c r="M60" s="893"/>
      <c r="N60" s="930"/>
      <c r="O60" s="975"/>
    </row>
    <row r="61" spans="1:15">
      <c r="A61" s="931" t="s">
        <v>621</v>
      </c>
      <c r="B61" s="932"/>
      <c r="C61" s="968">
        <v>962950.2051350039</v>
      </c>
      <c r="D61" s="933"/>
      <c r="E61" s="976">
        <v>912816</v>
      </c>
      <c r="F61" s="933"/>
      <c r="G61" s="893">
        <v>8.8498000000000001</v>
      </c>
      <c r="H61" s="930" t="s">
        <v>108</v>
      </c>
      <c r="I61" s="975">
        <v>85219</v>
      </c>
      <c r="J61" s="922"/>
      <c r="K61" s="975">
        <v>80782</v>
      </c>
      <c r="L61" s="933"/>
      <c r="M61" s="893">
        <v>8.9412000000000003</v>
      </c>
      <c r="N61" s="930" t="s">
        <v>108</v>
      </c>
      <c r="O61" s="975">
        <v>81617</v>
      </c>
    </row>
    <row r="62" spans="1:15">
      <c r="A62" s="931" t="s">
        <v>622</v>
      </c>
      <c r="B62" s="932"/>
      <c r="C62" s="968">
        <v>989937.20096924528</v>
      </c>
      <c r="D62" s="933"/>
      <c r="E62" s="976">
        <v>937823</v>
      </c>
      <c r="F62" s="933"/>
      <c r="G62" s="893">
        <v>9.8912999999999993</v>
      </c>
      <c r="H62" s="930" t="s">
        <v>108</v>
      </c>
      <c r="I62" s="975">
        <v>97918</v>
      </c>
      <c r="J62" s="922"/>
      <c r="K62" s="975">
        <v>92763</v>
      </c>
      <c r="L62" s="933"/>
      <c r="M62" s="893">
        <v>9.9933999999999994</v>
      </c>
      <c r="N62" s="930" t="s">
        <v>108</v>
      </c>
      <c r="O62" s="975">
        <v>93720</v>
      </c>
    </row>
    <row r="63" spans="1:15">
      <c r="A63" s="927" t="s">
        <v>116</v>
      </c>
      <c r="B63" s="920"/>
      <c r="C63" s="968">
        <v>113.2615</v>
      </c>
      <c r="D63" s="922"/>
      <c r="E63" s="976">
        <v>121</v>
      </c>
      <c r="F63" s="922"/>
      <c r="G63" s="928">
        <v>7</v>
      </c>
      <c r="H63" s="929"/>
      <c r="I63" s="975">
        <v>793</v>
      </c>
      <c r="J63" s="922"/>
      <c r="K63" s="975">
        <v>847</v>
      </c>
      <c r="L63" s="922"/>
      <c r="M63" s="928">
        <v>15</v>
      </c>
      <c r="N63" s="929"/>
      <c r="O63" s="975">
        <v>1815</v>
      </c>
    </row>
    <row r="64" spans="1:15">
      <c r="A64" s="927" t="s">
        <v>118</v>
      </c>
      <c r="B64" s="920"/>
      <c r="C64" s="968">
        <v>0</v>
      </c>
      <c r="D64" s="922"/>
      <c r="E64" s="976">
        <v>0</v>
      </c>
      <c r="F64" s="922"/>
      <c r="G64" s="928">
        <v>14</v>
      </c>
      <c r="H64" s="929"/>
      <c r="I64" s="975">
        <v>0</v>
      </c>
      <c r="J64" s="922"/>
      <c r="K64" s="975">
        <v>0</v>
      </c>
      <c r="L64" s="922"/>
      <c r="M64" s="928">
        <v>30</v>
      </c>
      <c r="N64" s="929"/>
      <c r="O64" s="975">
        <v>0</v>
      </c>
    </row>
    <row r="65" spans="1:15">
      <c r="A65" s="927" t="s">
        <v>120</v>
      </c>
      <c r="B65" s="920"/>
      <c r="C65" s="976">
        <v>0</v>
      </c>
      <c r="D65" s="922"/>
      <c r="E65" s="976">
        <v>0</v>
      </c>
      <c r="F65" s="922"/>
      <c r="G65" s="928">
        <v>84</v>
      </c>
      <c r="H65" s="929"/>
      <c r="I65" s="975">
        <v>0</v>
      </c>
      <c r="J65" s="922"/>
      <c r="K65" s="975">
        <v>0</v>
      </c>
      <c r="L65" s="922"/>
      <c r="M65" s="928">
        <v>180</v>
      </c>
      <c r="N65" s="929"/>
      <c r="O65" s="975">
        <v>0</v>
      </c>
    </row>
    <row r="66" spans="1:15">
      <c r="A66" s="958" t="s">
        <v>122</v>
      </c>
      <c r="B66" s="922"/>
      <c r="C66" s="976">
        <v>444</v>
      </c>
      <c r="D66" s="922"/>
      <c r="E66" s="976">
        <v>428</v>
      </c>
      <c r="F66" s="922"/>
      <c r="G66" s="985"/>
      <c r="H66" s="930"/>
      <c r="I66" s="978"/>
      <c r="J66" s="922"/>
      <c r="K66" s="978"/>
      <c r="L66" s="922"/>
      <c r="M66" s="985"/>
      <c r="N66" s="930"/>
      <c r="O66" s="978"/>
    </row>
    <row r="67" spans="1:15">
      <c r="A67" s="958" t="s">
        <v>649</v>
      </c>
      <c r="B67" s="922"/>
      <c r="C67" s="976">
        <v>117</v>
      </c>
      <c r="D67" s="922"/>
      <c r="E67" s="976">
        <v>118</v>
      </c>
      <c r="F67" s="922"/>
      <c r="G67" s="985"/>
      <c r="H67" s="930"/>
      <c r="I67" s="975"/>
      <c r="J67" s="922"/>
      <c r="K67" s="975"/>
      <c r="L67" s="922"/>
      <c r="M67" s="985"/>
      <c r="N67" s="930"/>
      <c r="O67" s="975"/>
    </row>
    <row r="68" spans="1:15">
      <c r="A68" s="958" t="s">
        <v>650</v>
      </c>
      <c r="B68" s="920"/>
      <c r="C68" s="976">
        <v>327</v>
      </c>
      <c r="D68" s="922"/>
      <c r="E68" s="976">
        <v>310</v>
      </c>
      <c r="F68" s="922"/>
      <c r="G68" s="985"/>
      <c r="H68" s="930"/>
      <c r="I68" s="975"/>
      <c r="J68" s="922"/>
      <c r="K68" s="975"/>
      <c r="L68" s="922"/>
      <c r="M68" s="985"/>
      <c r="N68" s="930"/>
      <c r="O68" s="975"/>
    </row>
    <row r="69" spans="1:15">
      <c r="A69" s="927" t="s">
        <v>132</v>
      </c>
      <c r="B69" s="920"/>
      <c r="C69" s="979">
        <v>-5126</v>
      </c>
      <c r="D69" s="922"/>
      <c r="E69" s="979">
        <v>0</v>
      </c>
      <c r="F69" s="922"/>
      <c r="G69" s="920"/>
      <c r="H69" s="922"/>
      <c r="I69" s="980">
        <v>774</v>
      </c>
      <c r="J69" s="922"/>
      <c r="K69" s="980">
        <v>0</v>
      </c>
      <c r="L69" s="922"/>
      <c r="M69" s="920"/>
      <c r="N69" s="922"/>
      <c r="O69" s="980">
        <v>0</v>
      </c>
    </row>
    <row r="70" spans="1:15" ht="16.5" thickBot="1">
      <c r="A70" s="927" t="s">
        <v>134</v>
      </c>
      <c r="B70" s="920"/>
      <c r="C70" s="981">
        <v>3273918.2261991296</v>
      </c>
      <c r="D70" s="922"/>
      <c r="E70" s="981">
        <v>3185670.6103628851</v>
      </c>
      <c r="F70" s="922"/>
      <c r="G70" s="986"/>
      <c r="H70" s="922"/>
      <c r="I70" s="987">
        <v>346567</v>
      </c>
      <c r="J70" s="922"/>
      <c r="K70" s="987">
        <v>338473</v>
      </c>
      <c r="L70" s="922"/>
      <c r="M70" s="986"/>
      <c r="N70" s="922"/>
      <c r="O70" s="987">
        <v>363458</v>
      </c>
    </row>
    <row r="71" spans="1:15" ht="16.5" thickTop="1">
      <c r="A71" s="920"/>
      <c r="B71" s="920"/>
      <c r="C71" s="968"/>
      <c r="D71" s="922"/>
      <c r="E71" s="968"/>
      <c r="F71" s="922"/>
      <c r="G71" s="920"/>
      <c r="H71" s="922"/>
      <c r="I71" s="920"/>
      <c r="J71" s="922"/>
      <c r="K71" s="920"/>
      <c r="L71" s="922"/>
      <c r="M71" s="920"/>
      <c r="N71" s="922"/>
      <c r="O71" s="920"/>
    </row>
    <row r="72" spans="1:15">
      <c r="A72" s="926" t="s">
        <v>165</v>
      </c>
      <c r="B72" s="920"/>
      <c r="C72" s="968"/>
      <c r="D72" s="922"/>
      <c r="E72" s="968"/>
      <c r="F72" s="922"/>
      <c r="G72" s="920"/>
      <c r="H72" s="922"/>
      <c r="I72" s="920"/>
      <c r="J72" s="922"/>
      <c r="K72" s="920"/>
      <c r="L72" s="922"/>
      <c r="M72" s="920"/>
      <c r="N72" s="922"/>
      <c r="O72" s="920"/>
    </row>
    <row r="73" spans="1:15">
      <c r="A73" s="927" t="s">
        <v>104</v>
      </c>
      <c r="B73" s="920"/>
      <c r="C73" s="968">
        <v>153104.14269056625</v>
      </c>
      <c r="D73" s="922"/>
      <c r="E73" s="968">
        <v>156864.35241617297</v>
      </c>
      <c r="F73" s="922"/>
      <c r="G73" s="928">
        <v>54</v>
      </c>
      <c r="H73" s="929"/>
      <c r="I73" s="975">
        <v>8267624</v>
      </c>
      <c r="J73" s="922"/>
      <c r="K73" s="975">
        <v>8470675</v>
      </c>
      <c r="L73" s="922"/>
      <c r="M73" s="928">
        <v>55</v>
      </c>
      <c r="N73" s="929"/>
      <c r="O73" s="975">
        <v>8627539</v>
      </c>
    </row>
    <row r="74" spans="1:15">
      <c r="A74" s="927" t="s">
        <v>161</v>
      </c>
      <c r="B74" s="920"/>
      <c r="C74" s="968">
        <v>7459750.5807309141</v>
      </c>
      <c r="D74" s="922"/>
      <c r="E74" s="968">
        <v>7568683</v>
      </c>
      <c r="F74" s="922"/>
      <c r="G74" s="928">
        <v>18.12</v>
      </c>
      <c r="H74" s="929"/>
      <c r="I74" s="975">
        <v>135170681</v>
      </c>
      <c r="J74" s="922"/>
      <c r="K74" s="975">
        <v>137144536</v>
      </c>
      <c r="L74" s="922"/>
      <c r="M74" s="928">
        <v>18.5</v>
      </c>
      <c r="N74" s="929"/>
      <c r="O74" s="975">
        <v>140020636</v>
      </c>
    </row>
    <row r="75" spans="1:15">
      <c r="A75" s="927" t="s">
        <v>162</v>
      </c>
      <c r="B75" s="920"/>
      <c r="C75" s="968">
        <v>8880074.9088611677</v>
      </c>
      <c r="D75" s="922"/>
      <c r="E75" s="968">
        <v>9009450</v>
      </c>
      <c r="F75" s="922"/>
      <c r="G75" s="928">
        <v>14.54</v>
      </c>
      <c r="H75" s="929"/>
      <c r="I75" s="975">
        <v>129116289</v>
      </c>
      <c r="J75" s="922"/>
      <c r="K75" s="975">
        <v>130997403</v>
      </c>
      <c r="L75" s="922"/>
      <c r="M75" s="928">
        <v>14.84</v>
      </c>
      <c r="N75" s="929"/>
      <c r="O75" s="975">
        <v>133700238</v>
      </c>
    </row>
    <row r="76" spans="1:15">
      <c r="A76" s="927" t="s">
        <v>154</v>
      </c>
      <c r="B76" s="920"/>
      <c r="C76" s="968">
        <v>668514.8999621066</v>
      </c>
      <c r="D76" s="922"/>
      <c r="E76" s="968">
        <v>679134</v>
      </c>
      <c r="F76" s="922"/>
      <c r="G76" s="928">
        <v>-0.93</v>
      </c>
      <c r="H76" s="929"/>
      <c r="I76" s="975">
        <v>-621719</v>
      </c>
      <c r="J76" s="922"/>
      <c r="K76" s="975">
        <v>-631595</v>
      </c>
      <c r="L76" s="922"/>
      <c r="M76" s="928">
        <v>-0.95</v>
      </c>
      <c r="N76" s="929"/>
      <c r="O76" s="975">
        <v>-645177</v>
      </c>
    </row>
    <row r="77" spans="1:15">
      <c r="A77" s="927" t="s">
        <v>149</v>
      </c>
      <c r="B77" s="920"/>
      <c r="C77" s="968">
        <v>5685942185.1879139</v>
      </c>
      <c r="D77" s="922"/>
      <c r="E77" s="968">
        <v>5783806261.2344303</v>
      </c>
      <c r="F77" s="922"/>
      <c r="G77" s="938"/>
      <c r="H77" s="930"/>
      <c r="I77" s="975"/>
      <c r="J77" s="922"/>
      <c r="K77" s="975"/>
      <c r="L77" s="922"/>
      <c r="M77" s="938"/>
      <c r="N77" s="930"/>
      <c r="O77" s="975"/>
    </row>
    <row r="78" spans="1:15">
      <c r="A78" s="927" t="s">
        <v>166</v>
      </c>
      <c r="B78" s="920"/>
      <c r="C78" s="968">
        <v>2510869935.6647911</v>
      </c>
      <c r="D78" s="922"/>
      <c r="E78" s="968">
        <v>2573577152.0915084</v>
      </c>
      <c r="F78" s="922"/>
      <c r="G78" s="939">
        <v>3.8127</v>
      </c>
      <c r="H78" s="930" t="s">
        <v>108</v>
      </c>
      <c r="I78" s="975">
        <v>95731938</v>
      </c>
      <c r="J78" s="922"/>
      <c r="K78" s="975">
        <v>98122776</v>
      </c>
      <c r="L78" s="922"/>
      <c r="M78" s="939">
        <v>3.8925999999999998</v>
      </c>
      <c r="N78" s="930" t="s">
        <v>108</v>
      </c>
      <c r="O78" s="975">
        <v>100179064</v>
      </c>
    </row>
    <row r="79" spans="1:15">
      <c r="A79" s="927" t="s">
        <v>167</v>
      </c>
      <c r="B79" s="920"/>
      <c r="C79" s="968">
        <v>3175072249.5231218</v>
      </c>
      <c r="D79" s="922"/>
      <c r="E79" s="968">
        <v>3210229109.1429219</v>
      </c>
      <c r="F79" s="922"/>
      <c r="G79" s="939">
        <v>3.5143</v>
      </c>
      <c r="H79" s="930" t="s">
        <v>108</v>
      </c>
      <c r="I79" s="975">
        <v>111581564</v>
      </c>
      <c r="J79" s="922"/>
      <c r="K79" s="975">
        <v>112817082</v>
      </c>
      <c r="L79" s="922"/>
      <c r="M79" s="939">
        <v>3.5891999999999999</v>
      </c>
      <c r="N79" s="930" t="s">
        <v>108</v>
      </c>
      <c r="O79" s="975">
        <v>115221543</v>
      </c>
    </row>
    <row r="80" spans="1:15">
      <c r="A80" s="927" t="s">
        <v>159</v>
      </c>
      <c r="B80" s="920"/>
      <c r="C80" s="968">
        <v>0</v>
      </c>
      <c r="D80" s="922"/>
      <c r="E80" s="968">
        <v>0</v>
      </c>
      <c r="F80" s="922"/>
      <c r="G80" s="928">
        <v>648</v>
      </c>
      <c r="H80" s="929"/>
      <c r="I80" s="975">
        <v>0</v>
      </c>
      <c r="J80" s="922"/>
      <c r="K80" s="975">
        <v>0</v>
      </c>
      <c r="L80" s="922"/>
      <c r="M80" s="928">
        <v>660</v>
      </c>
      <c r="N80" s="929"/>
      <c r="O80" s="975">
        <v>0</v>
      </c>
    </row>
    <row r="81" spans="1:15">
      <c r="A81" s="927" t="s">
        <v>132</v>
      </c>
      <c r="B81" s="920"/>
      <c r="C81" s="979">
        <v>16138170</v>
      </c>
      <c r="D81" s="922"/>
      <c r="E81" s="979">
        <v>0</v>
      </c>
      <c r="F81" s="922"/>
      <c r="G81" s="920"/>
      <c r="H81" s="922"/>
      <c r="I81" s="980">
        <v>3002117.4317299994</v>
      </c>
      <c r="J81" s="922"/>
      <c r="K81" s="980">
        <v>0</v>
      </c>
      <c r="L81" s="922"/>
      <c r="M81" s="920"/>
      <c r="N81" s="922"/>
      <c r="O81" s="980">
        <v>0</v>
      </c>
    </row>
    <row r="82" spans="1:15" ht="16.5" thickBot="1">
      <c r="A82" s="927" t="s">
        <v>134</v>
      </c>
      <c r="B82" s="920"/>
      <c r="C82" s="988">
        <v>5702080355.1879139</v>
      </c>
      <c r="D82" s="922"/>
      <c r="E82" s="988">
        <v>5783806261.2344303</v>
      </c>
      <c r="F82" s="922"/>
      <c r="G82" s="986"/>
      <c r="H82" s="922"/>
      <c r="I82" s="987">
        <v>482248494.43172997</v>
      </c>
      <c r="J82" s="922"/>
      <c r="K82" s="987">
        <v>486920877</v>
      </c>
      <c r="L82" s="922"/>
      <c r="M82" s="986"/>
      <c r="N82" s="922"/>
      <c r="O82" s="987">
        <v>497103843</v>
      </c>
    </row>
    <row r="83" spans="1:15" ht="16.5" thickTop="1">
      <c r="A83" s="920"/>
      <c r="B83" s="920"/>
      <c r="C83" s="968"/>
      <c r="D83" s="922"/>
      <c r="E83" s="968"/>
      <c r="F83" s="922"/>
      <c r="G83" s="920"/>
      <c r="H83" s="922"/>
      <c r="I83" s="920"/>
      <c r="J83" s="922"/>
      <c r="K83" s="920"/>
      <c r="L83" s="922"/>
      <c r="M83" s="920"/>
      <c r="N83" s="922"/>
      <c r="O83" s="920"/>
    </row>
    <row r="84" spans="1:15">
      <c r="A84" s="926" t="s">
        <v>651</v>
      </c>
      <c r="B84" s="920"/>
      <c r="C84" s="968"/>
      <c r="D84" s="935"/>
      <c r="E84" s="968"/>
      <c r="F84" s="935"/>
      <c r="G84" s="920"/>
      <c r="H84" s="922"/>
      <c r="I84" s="920"/>
      <c r="J84" s="935"/>
      <c r="K84" s="920"/>
      <c r="L84" s="935"/>
      <c r="M84" s="920"/>
      <c r="N84" s="922"/>
      <c r="O84" s="920"/>
    </row>
    <row r="85" spans="1:15">
      <c r="A85" s="927" t="s">
        <v>104</v>
      </c>
      <c r="B85" s="920"/>
      <c r="C85" s="968">
        <v>414.86710188679206</v>
      </c>
      <c r="D85" s="922"/>
      <c r="E85" s="968">
        <v>438</v>
      </c>
      <c r="F85" s="922"/>
      <c r="G85" s="928">
        <v>54</v>
      </c>
      <c r="H85" s="929"/>
      <c r="I85" s="975">
        <v>22403</v>
      </c>
      <c r="J85" s="922"/>
      <c r="K85" s="975">
        <v>23652</v>
      </c>
      <c r="L85" s="922"/>
      <c r="M85" s="928">
        <v>55</v>
      </c>
      <c r="N85" s="929"/>
      <c r="O85" s="975">
        <v>24090</v>
      </c>
    </row>
    <row r="86" spans="1:15">
      <c r="A86" s="927" t="s">
        <v>173</v>
      </c>
      <c r="B86" s="920"/>
      <c r="C86" s="968">
        <v>15093.20874516115</v>
      </c>
      <c r="D86" s="922"/>
      <c r="E86" s="968">
        <v>6224</v>
      </c>
      <c r="F86" s="922"/>
      <c r="G86" s="928">
        <v>18.12</v>
      </c>
      <c r="H86" s="929"/>
      <c r="I86" s="975">
        <v>273489</v>
      </c>
      <c r="J86" s="922"/>
      <c r="K86" s="975">
        <v>112779</v>
      </c>
      <c r="L86" s="922"/>
      <c r="M86" s="928">
        <v>18.5</v>
      </c>
      <c r="N86" s="929"/>
      <c r="O86" s="975">
        <v>115144</v>
      </c>
    </row>
    <row r="87" spans="1:15">
      <c r="A87" s="927" t="s">
        <v>174</v>
      </c>
      <c r="B87" s="920"/>
      <c r="C87" s="968">
        <v>10682.428219018249</v>
      </c>
      <c r="D87" s="922"/>
      <c r="E87" s="968">
        <v>4264</v>
      </c>
      <c r="F87" s="922"/>
      <c r="G87" s="928">
        <v>14.54</v>
      </c>
      <c r="H87" s="929"/>
      <c r="I87" s="975">
        <v>155323</v>
      </c>
      <c r="J87" s="922"/>
      <c r="K87" s="975">
        <v>61999</v>
      </c>
      <c r="L87" s="922"/>
      <c r="M87" s="928">
        <v>14.84</v>
      </c>
      <c r="N87" s="929"/>
      <c r="O87" s="975">
        <v>63278</v>
      </c>
    </row>
    <row r="88" spans="1:15">
      <c r="A88" s="927" t="s">
        <v>154</v>
      </c>
      <c r="B88" s="920"/>
      <c r="C88" s="968">
        <v>0</v>
      </c>
      <c r="D88" s="922"/>
      <c r="E88" s="968">
        <v>0</v>
      </c>
      <c r="F88" s="922"/>
      <c r="G88" s="928">
        <v>-0.93</v>
      </c>
      <c r="H88" s="929"/>
      <c r="I88" s="975">
        <v>0</v>
      </c>
      <c r="J88" s="922"/>
      <c r="K88" s="975">
        <v>0</v>
      </c>
      <c r="L88" s="922"/>
      <c r="M88" s="928">
        <v>-0.95</v>
      </c>
      <c r="N88" s="929"/>
      <c r="O88" s="975">
        <v>0</v>
      </c>
    </row>
    <row r="89" spans="1:15">
      <c r="A89" s="927" t="s">
        <v>149</v>
      </c>
      <c r="B89" s="920"/>
      <c r="C89" s="968">
        <v>9238803</v>
      </c>
      <c r="D89" s="922"/>
      <c r="E89" s="968">
        <v>3907497</v>
      </c>
      <c r="F89" s="922"/>
      <c r="G89" s="939"/>
      <c r="H89" s="930"/>
      <c r="I89" s="975"/>
      <c r="J89" s="922"/>
      <c r="K89" s="975"/>
      <c r="L89" s="922"/>
      <c r="M89" s="939"/>
      <c r="N89" s="930"/>
      <c r="O89" s="975"/>
    </row>
    <row r="90" spans="1:15">
      <c r="A90" s="927" t="s">
        <v>163</v>
      </c>
      <c r="B90" s="920"/>
      <c r="C90" s="968">
        <v>5798006</v>
      </c>
      <c r="D90" s="922"/>
      <c r="E90" s="968">
        <v>1628123.75</v>
      </c>
      <c r="F90" s="922"/>
      <c r="G90" s="939">
        <v>3.8127</v>
      </c>
      <c r="H90" s="930" t="s">
        <v>108</v>
      </c>
      <c r="I90" s="975">
        <v>221061</v>
      </c>
      <c r="J90" s="922"/>
      <c r="K90" s="975">
        <v>62075</v>
      </c>
      <c r="L90" s="922"/>
      <c r="M90" s="939">
        <v>3.8925999999999998</v>
      </c>
      <c r="N90" s="930" t="s">
        <v>108</v>
      </c>
      <c r="O90" s="975">
        <v>63376</v>
      </c>
    </row>
    <row r="91" spans="1:15">
      <c r="A91" s="927" t="s">
        <v>164</v>
      </c>
      <c r="B91" s="920"/>
      <c r="C91" s="968">
        <v>3440797</v>
      </c>
      <c r="D91" s="922"/>
      <c r="E91" s="968">
        <v>2279373.25</v>
      </c>
      <c r="F91" s="922"/>
      <c r="G91" s="939">
        <v>3.5143</v>
      </c>
      <c r="H91" s="930" t="s">
        <v>108</v>
      </c>
      <c r="I91" s="975">
        <v>120920</v>
      </c>
      <c r="J91" s="922"/>
      <c r="K91" s="975">
        <v>80104</v>
      </c>
      <c r="L91" s="922"/>
      <c r="M91" s="939">
        <v>3.5891999999999999</v>
      </c>
      <c r="N91" s="930" t="s">
        <v>108</v>
      </c>
      <c r="O91" s="975">
        <v>81811</v>
      </c>
    </row>
    <row r="92" spans="1:15">
      <c r="A92" s="927" t="s">
        <v>159</v>
      </c>
      <c r="B92" s="920"/>
      <c r="C92" s="968">
        <v>0</v>
      </c>
      <c r="D92" s="935"/>
      <c r="E92" s="968">
        <v>0</v>
      </c>
      <c r="F92" s="935"/>
      <c r="G92" s="928">
        <v>648</v>
      </c>
      <c r="H92" s="929"/>
      <c r="I92" s="975">
        <v>0</v>
      </c>
      <c r="J92" s="935"/>
      <c r="K92" s="975">
        <v>0</v>
      </c>
      <c r="L92" s="935"/>
      <c r="M92" s="928">
        <v>660</v>
      </c>
      <c r="N92" s="929"/>
      <c r="O92" s="975">
        <v>0</v>
      </c>
    </row>
    <row r="93" spans="1:15">
      <c r="A93" s="927" t="s">
        <v>132</v>
      </c>
      <c r="B93" s="920"/>
      <c r="C93" s="979">
        <v>39551</v>
      </c>
      <c r="D93" s="922"/>
      <c r="E93" s="979">
        <v>0</v>
      </c>
      <c r="F93" s="922"/>
      <c r="G93" s="920"/>
      <c r="H93" s="922"/>
      <c r="I93" s="980">
        <v>5559</v>
      </c>
      <c r="J93" s="922"/>
      <c r="K93" s="980">
        <v>0</v>
      </c>
      <c r="L93" s="922"/>
      <c r="M93" s="920"/>
      <c r="N93" s="922"/>
      <c r="O93" s="980">
        <v>0</v>
      </c>
    </row>
    <row r="94" spans="1:15" ht="16.5" thickBot="1">
      <c r="A94" s="927" t="s">
        <v>134</v>
      </c>
      <c r="B94" s="920"/>
      <c r="C94" s="988">
        <v>9278354</v>
      </c>
      <c r="D94" s="922"/>
      <c r="E94" s="988">
        <v>3907497</v>
      </c>
      <c r="F94" s="922"/>
      <c r="G94" s="986"/>
      <c r="H94" s="922"/>
      <c r="I94" s="987">
        <v>798755</v>
      </c>
      <c r="J94" s="922"/>
      <c r="K94" s="987">
        <v>340609</v>
      </c>
      <c r="L94" s="922"/>
      <c r="M94" s="986"/>
      <c r="N94" s="922"/>
      <c r="O94" s="987">
        <v>347699</v>
      </c>
    </row>
    <row r="95" spans="1:15" ht="16.5" thickTop="1">
      <c r="A95" s="920"/>
      <c r="B95" s="920"/>
      <c r="C95" s="968"/>
      <c r="D95" s="922"/>
      <c r="E95" s="968"/>
      <c r="F95" s="922"/>
      <c r="G95" s="920"/>
      <c r="H95" s="922"/>
      <c r="I95" s="920"/>
      <c r="J95" s="922"/>
      <c r="K95" s="920"/>
      <c r="L95" s="922"/>
      <c r="M95" s="920"/>
      <c r="N95" s="922"/>
      <c r="O95" s="920"/>
    </row>
    <row r="96" spans="1:15">
      <c r="A96" s="926" t="s">
        <v>176</v>
      </c>
      <c r="B96" s="920"/>
      <c r="C96" s="968"/>
      <c r="D96" s="922"/>
      <c r="E96" s="968"/>
      <c r="F96" s="922"/>
      <c r="G96" s="939"/>
      <c r="H96" s="940"/>
      <c r="I96" s="920"/>
      <c r="J96" s="922"/>
      <c r="K96" s="920"/>
      <c r="L96" s="922"/>
      <c r="M96" s="939"/>
      <c r="N96" s="940"/>
      <c r="O96" s="920"/>
    </row>
    <row r="97" spans="1:15">
      <c r="A97" s="927" t="s">
        <v>104</v>
      </c>
      <c r="B97" s="920"/>
      <c r="C97" s="968">
        <v>26414.113335849139</v>
      </c>
      <c r="D97" s="922"/>
      <c r="E97" s="968">
        <v>27307</v>
      </c>
      <c r="F97" s="922"/>
      <c r="G97" s="928">
        <v>54</v>
      </c>
      <c r="H97" s="929"/>
      <c r="I97" s="975">
        <v>1426362</v>
      </c>
      <c r="J97" s="922"/>
      <c r="K97" s="975">
        <v>1474578</v>
      </c>
      <c r="L97" s="922"/>
      <c r="M97" s="928">
        <v>55</v>
      </c>
      <c r="N97" s="929"/>
      <c r="O97" s="975">
        <v>1501885</v>
      </c>
    </row>
    <row r="98" spans="1:15">
      <c r="A98" s="927" t="s">
        <v>177</v>
      </c>
      <c r="B98" s="920"/>
      <c r="C98" s="968">
        <v>905589.39854085888</v>
      </c>
      <c r="D98" s="935"/>
      <c r="E98" s="968">
        <v>918610</v>
      </c>
      <c r="F98" s="935"/>
      <c r="G98" s="928">
        <v>6.41</v>
      </c>
      <c r="H98" s="929"/>
      <c r="I98" s="975">
        <v>5804828</v>
      </c>
      <c r="J98" s="935"/>
      <c r="K98" s="975">
        <v>5888290</v>
      </c>
      <c r="L98" s="935"/>
      <c r="M98" s="928">
        <v>6.54</v>
      </c>
      <c r="N98" s="929"/>
      <c r="O98" s="975">
        <v>6007709</v>
      </c>
    </row>
    <row r="99" spans="1:15">
      <c r="A99" s="927" t="s">
        <v>178</v>
      </c>
      <c r="B99" s="920"/>
      <c r="C99" s="968">
        <v>1045712.9517142838</v>
      </c>
      <c r="D99" s="935"/>
      <c r="E99" s="968">
        <v>1059783</v>
      </c>
      <c r="F99" s="935"/>
      <c r="G99" s="928">
        <v>5.38</v>
      </c>
      <c r="H99" s="929"/>
      <c r="I99" s="975">
        <v>5625936</v>
      </c>
      <c r="J99" s="935"/>
      <c r="K99" s="975">
        <v>5701633</v>
      </c>
      <c r="L99" s="935"/>
      <c r="M99" s="928">
        <v>5.49</v>
      </c>
      <c r="N99" s="929"/>
      <c r="O99" s="975">
        <v>5818209</v>
      </c>
    </row>
    <row r="100" spans="1:15">
      <c r="A100" s="927" t="s">
        <v>154</v>
      </c>
      <c r="B100" s="920"/>
      <c r="C100" s="968">
        <v>38013.047820823238</v>
      </c>
      <c r="D100" s="935"/>
      <c r="E100" s="968">
        <v>39296</v>
      </c>
      <c r="F100" s="935"/>
      <c r="G100" s="928">
        <v>-0.6</v>
      </c>
      <c r="H100" s="929"/>
      <c r="I100" s="975">
        <v>-22808</v>
      </c>
      <c r="J100" s="935"/>
      <c r="K100" s="975">
        <v>-23578</v>
      </c>
      <c r="L100" s="935"/>
      <c r="M100" s="928">
        <v>-0.61</v>
      </c>
      <c r="N100" s="929"/>
      <c r="O100" s="975">
        <v>-23971</v>
      </c>
    </row>
    <row r="101" spans="1:15">
      <c r="A101" s="927" t="s">
        <v>143</v>
      </c>
      <c r="B101" s="920"/>
      <c r="C101" s="968">
        <v>62998551</v>
      </c>
      <c r="D101" s="935"/>
      <c r="E101" s="968">
        <v>62251233</v>
      </c>
      <c r="F101" s="935"/>
      <c r="G101" s="938">
        <v>11.730700000000001</v>
      </c>
      <c r="H101" s="930" t="s">
        <v>108</v>
      </c>
      <c r="I101" s="975">
        <v>7390171</v>
      </c>
      <c r="J101" s="935"/>
      <c r="K101" s="975">
        <v>7302505</v>
      </c>
      <c r="L101" s="935"/>
      <c r="M101" s="938">
        <v>11.9773</v>
      </c>
      <c r="N101" s="930" t="s">
        <v>108</v>
      </c>
      <c r="O101" s="975">
        <v>7456017</v>
      </c>
    </row>
    <row r="102" spans="1:15">
      <c r="A102" s="927" t="s">
        <v>144</v>
      </c>
      <c r="B102" s="920"/>
      <c r="C102" s="968">
        <v>60383058.18145027</v>
      </c>
      <c r="D102" s="935"/>
      <c r="E102" s="968">
        <v>59556790.452555798</v>
      </c>
      <c r="F102" s="935"/>
      <c r="G102" s="938">
        <v>3.5318000000000001</v>
      </c>
      <c r="H102" s="930" t="s">
        <v>108</v>
      </c>
      <c r="I102" s="975">
        <v>2132609</v>
      </c>
      <c r="J102" s="935"/>
      <c r="K102" s="975">
        <v>2103427</v>
      </c>
      <c r="L102" s="935"/>
      <c r="M102" s="938">
        <v>3.6059999999999999</v>
      </c>
      <c r="N102" s="930" t="s">
        <v>108</v>
      </c>
      <c r="O102" s="975">
        <v>2147618</v>
      </c>
    </row>
    <row r="103" spans="1:15">
      <c r="A103" s="927" t="s">
        <v>179</v>
      </c>
      <c r="B103" s="920"/>
      <c r="C103" s="968">
        <v>88191644</v>
      </c>
      <c r="D103" s="935"/>
      <c r="E103" s="968">
        <v>90625426</v>
      </c>
      <c r="F103" s="935"/>
      <c r="G103" s="938">
        <v>9.8056000000000001</v>
      </c>
      <c r="H103" s="930" t="s">
        <v>108</v>
      </c>
      <c r="I103" s="975">
        <v>8647720</v>
      </c>
      <c r="J103" s="935"/>
      <c r="K103" s="975">
        <v>8886367</v>
      </c>
      <c r="L103" s="935"/>
      <c r="M103" s="938">
        <v>10.011699999999999</v>
      </c>
      <c r="N103" s="930" t="s">
        <v>108</v>
      </c>
      <c r="O103" s="975">
        <v>9073146</v>
      </c>
    </row>
    <row r="104" spans="1:15">
      <c r="A104" s="927" t="s">
        <v>180</v>
      </c>
      <c r="B104" s="920"/>
      <c r="C104" s="968">
        <v>78568336.570622593</v>
      </c>
      <c r="D104" s="935"/>
      <c r="E104" s="968">
        <v>79597650.39760986</v>
      </c>
      <c r="F104" s="935"/>
      <c r="G104" s="938">
        <v>2.9603000000000002</v>
      </c>
      <c r="H104" s="930" t="s">
        <v>108</v>
      </c>
      <c r="I104" s="975">
        <v>2325858</v>
      </c>
      <c r="J104" s="935"/>
      <c r="K104" s="975">
        <v>2356329</v>
      </c>
      <c r="L104" s="935"/>
      <c r="M104" s="938">
        <v>3.0320999999999998</v>
      </c>
      <c r="N104" s="930" t="s">
        <v>108</v>
      </c>
      <c r="O104" s="975">
        <v>2413480</v>
      </c>
    </row>
    <row r="105" spans="1:15">
      <c r="A105" s="927" t="s">
        <v>132</v>
      </c>
      <c r="B105" s="920"/>
      <c r="C105" s="979">
        <v>1010522</v>
      </c>
      <c r="D105" s="922"/>
      <c r="E105" s="979">
        <v>0</v>
      </c>
      <c r="F105" s="922"/>
      <c r="G105" s="920"/>
      <c r="H105" s="922"/>
      <c r="I105" s="980">
        <v>225646</v>
      </c>
      <c r="J105" s="922"/>
      <c r="K105" s="980">
        <v>0</v>
      </c>
      <c r="L105" s="922"/>
      <c r="M105" s="920"/>
      <c r="N105" s="922"/>
      <c r="O105" s="980">
        <v>0</v>
      </c>
    </row>
    <row r="106" spans="1:15" ht="16.5" thickBot="1">
      <c r="A106" s="927" t="s">
        <v>134</v>
      </c>
      <c r="B106" s="920"/>
      <c r="C106" s="988">
        <v>291152111.75207287</v>
      </c>
      <c r="D106" s="922"/>
      <c r="E106" s="988">
        <v>292031099.85016567</v>
      </c>
      <c r="F106" s="922"/>
      <c r="G106" s="986"/>
      <c r="H106" s="922"/>
      <c r="I106" s="987">
        <v>33556322</v>
      </c>
      <c r="J106" s="922"/>
      <c r="K106" s="987">
        <v>33689551</v>
      </c>
      <c r="L106" s="922"/>
      <c r="M106" s="986"/>
      <c r="N106" s="922"/>
      <c r="O106" s="987">
        <v>34394093</v>
      </c>
    </row>
    <row r="107" spans="1:15" ht="16.5" thickTop="1">
      <c r="A107" s="920"/>
      <c r="B107" s="920"/>
      <c r="C107" s="968"/>
      <c r="D107" s="922"/>
      <c r="E107" s="968"/>
      <c r="F107" s="922"/>
      <c r="G107" s="920"/>
      <c r="H107" s="922"/>
      <c r="I107" s="920"/>
      <c r="J107" s="922"/>
      <c r="K107" s="920"/>
      <c r="L107" s="922"/>
      <c r="M107" s="920"/>
      <c r="N107" s="922"/>
      <c r="O107" s="920"/>
    </row>
    <row r="108" spans="1:15">
      <c r="A108" s="926" t="s">
        <v>652</v>
      </c>
      <c r="B108" s="920"/>
      <c r="C108" s="968"/>
      <c r="D108" s="922"/>
      <c r="E108" s="968"/>
      <c r="F108" s="922"/>
      <c r="G108" s="920"/>
      <c r="H108" s="922"/>
      <c r="I108" s="920"/>
      <c r="J108" s="922"/>
      <c r="K108" s="920"/>
      <c r="L108" s="922"/>
      <c r="M108" s="920"/>
      <c r="N108" s="922"/>
      <c r="O108" s="920"/>
    </row>
    <row r="109" spans="1:15">
      <c r="A109" s="931" t="s">
        <v>187</v>
      </c>
      <c r="B109" s="920"/>
      <c r="C109" s="968"/>
      <c r="D109" s="922"/>
      <c r="E109" s="968"/>
      <c r="F109" s="922"/>
      <c r="G109" s="920"/>
      <c r="H109" s="922"/>
      <c r="I109" s="975"/>
      <c r="J109" s="922"/>
      <c r="K109" s="975"/>
      <c r="L109" s="922"/>
      <c r="M109" s="920"/>
      <c r="N109" s="922"/>
      <c r="O109" s="975"/>
    </row>
    <row r="110" spans="1:15">
      <c r="A110" s="927" t="s">
        <v>188</v>
      </c>
      <c r="B110" s="920"/>
      <c r="C110" s="968">
        <v>23.967394119533299</v>
      </c>
      <c r="D110" s="922"/>
      <c r="E110" s="968">
        <v>24</v>
      </c>
      <c r="F110" s="922"/>
      <c r="G110" s="928">
        <v>5.68</v>
      </c>
      <c r="H110" s="929"/>
      <c r="I110" s="975">
        <v>136</v>
      </c>
      <c r="J110" s="922"/>
      <c r="K110" s="975">
        <v>136</v>
      </c>
      <c r="L110" s="922"/>
      <c r="M110" s="928">
        <v>5.68</v>
      </c>
      <c r="N110" s="929"/>
      <c r="O110" s="936">
        <v>136</v>
      </c>
    </row>
    <row r="111" spans="1:15">
      <c r="A111" s="927" t="s">
        <v>189</v>
      </c>
      <c r="B111" s="920"/>
      <c r="C111" s="968">
        <v>44778.222765879611</v>
      </c>
      <c r="D111" s="922"/>
      <c r="E111" s="968">
        <v>45001</v>
      </c>
      <c r="F111" s="922"/>
      <c r="G111" s="928">
        <v>16.38</v>
      </c>
      <c r="H111" s="929"/>
      <c r="I111" s="975">
        <v>733467</v>
      </c>
      <c r="J111" s="922"/>
      <c r="K111" s="975">
        <v>737116</v>
      </c>
      <c r="L111" s="922"/>
      <c r="M111" s="928">
        <v>16.38</v>
      </c>
      <c r="N111" s="929"/>
      <c r="O111" s="975">
        <v>737116</v>
      </c>
    </row>
    <row r="112" spans="1:15">
      <c r="A112" s="927" t="s">
        <v>190</v>
      </c>
      <c r="B112" s="920"/>
      <c r="C112" s="968">
        <v>0</v>
      </c>
      <c r="D112" s="922"/>
      <c r="E112" s="968">
        <v>0</v>
      </c>
      <c r="F112" s="922"/>
      <c r="G112" s="928">
        <v>8.0500000000000007</v>
      </c>
      <c r="H112" s="929"/>
      <c r="I112" s="975">
        <v>0</v>
      </c>
      <c r="J112" s="922"/>
      <c r="K112" s="975">
        <v>0</v>
      </c>
      <c r="L112" s="922"/>
      <c r="M112" s="928">
        <v>8.0500000000000007</v>
      </c>
      <c r="N112" s="929"/>
      <c r="O112" s="975">
        <v>0</v>
      </c>
    </row>
    <row r="113" spans="1:15">
      <c r="A113" s="927" t="s">
        <v>191</v>
      </c>
      <c r="B113" s="920"/>
      <c r="C113" s="968">
        <v>10687.848879344563</v>
      </c>
      <c r="D113" s="922"/>
      <c r="E113" s="968">
        <v>10830</v>
      </c>
      <c r="F113" s="922"/>
      <c r="G113" s="928">
        <v>26.78</v>
      </c>
      <c r="H113" s="929"/>
      <c r="I113" s="975">
        <v>286221</v>
      </c>
      <c r="J113" s="922"/>
      <c r="K113" s="975">
        <v>290027</v>
      </c>
      <c r="L113" s="922"/>
      <c r="M113" s="928">
        <v>26.78</v>
      </c>
      <c r="N113" s="929"/>
      <c r="O113" s="975">
        <v>290027</v>
      </c>
    </row>
    <row r="114" spans="1:15">
      <c r="A114" s="931" t="s">
        <v>192</v>
      </c>
      <c r="B114" s="920"/>
      <c r="C114" s="968"/>
      <c r="D114" s="922"/>
      <c r="E114" s="968"/>
      <c r="F114" s="922"/>
      <c r="G114" s="920"/>
      <c r="H114" s="922"/>
      <c r="I114" s="975"/>
      <c r="J114" s="922"/>
      <c r="K114" s="975"/>
      <c r="L114" s="922"/>
      <c r="M114" s="920"/>
      <c r="N114" s="922"/>
      <c r="O114" s="975"/>
    </row>
    <row r="115" spans="1:15">
      <c r="A115" s="927" t="s">
        <v>193</v>
      </c>
      <c r="B115" s="920"/>
      <c r="C115" s="968">
        <v>3583.1677698030398</v>
      </c>
      <c r="D115" s="922"/>
      <c r="E115" s="968">
        <v>3563</v>
      </c>
      <c r="F115" s="922"/>
      <c r="G115" s="928">
        <v>14.6</v>
      </c>
      <c r="H115" s="929"/>
      <c r="I115" s="975">
        <v>52314</v>
      </c>
      <c r="J115" s="922"/>
      <c r="K115" s="975">
        <v>52020</v>
      </c>
      <c r="L115" s="922"/>
      <c r="M115" s="928">
        <v>14.6</v>
      </c>
      <c r="N115" s="929"/>
      <c r="O115" s="975">
        <v>52020</v>
      </c>
    </row>
    <row r="116" spans="1:15">
      <c r="A116" s="927" t="s">
        <v>194</v>
      </c>
      <c r="B116" s="920"/>
      <c r="C116" s="968">
        <v>1751.0726944449048</v>
      </c>
      <c r="D116" s="922"/>
      <c r="E116" s="968">
        <v>1746</v>
      </c>
      <c r="F116" s="922"/>
      <c r="G116" s="928">
        <v>12.23</v>
      </c>
      <c r="H116" s="929"/>
      <c r="I116" s="975">
        <v>21416</v>
      </c>
      <c r="J116" s="922"/>
      <c r="K116" s="975">
        <v>21354</v>
      </c>
      <c r="L116" s="922"/>
      <c r="M116" s="928">
        <v>12.23</v>
      </c>
      <c r="N116" s="929"/>
      <c r="O116" s="975">
        <v>21354</v>
      </c>
    </row>
    <row r="117" spans="1:15">
      <c r="A117" s="927" t="s">
        <v>195</v>
      </c>
      <c r="B117" s="920"/>
      <c r="C117" s="968">
        <v>23400.260480013312</v>
      </c>
      <c r="D117" s="922"/>
      <c r="E117" s="968">
        <v>23403</v>
      </c>
      <c r="F117" s="922"/>
      <c r="G117" s="928">
        <v>15.47</v>
      </c>
      <c r="H117" s="929"/>
      <c r="I117" s="975">
        <v>362002</v>
      </c>
      <c r="J117" s="922"/>
      <c r="K117" s="975">
        <v>362044</v>
      </c>
      <c r="L117" s="922"/>
      <c r="M117" s="928">
        <v>15.47</v>
      </c>
      <c r="N117" s="929"/>
      <c r="O117" s="975">
        <v>362044</v>
      </c>
    </row>
    <row r="118" spans="1:15">
      <c r="A118" s="927" t="s">
        <v>196</v>
      </c>
      <c r="B118" s="920"/>
      <c r="C118" s="968">
        <v>23149.788532480459</v>
      </c>
      <c r="D118" s="922"/>
      <c r="E118" s="968">
        <v>23123</v>
      </c>
      <c r="F118" s="922"/>
      <c r="G118" s="928">
        <v>13.31</v>
      </c>
      <c r="H118" s="929"/>
      <c r="I118" s="975">
        <v>308124</v>
      </c>
      <c r="J118" s="922"/>
      <c r="K118" s="975">
        <v>307767</v>
      </c>
      <c r="L118" s="922"/>
      <c r="M118" s="928">
        <v>13.31</v>
      </c>
      <c r="N118" s="929"/>
      <c r="O118" s="975">
        <v>307767</v>
      </c>
    </row>
    <row r="119" spans="1:15">
      <c r="A119" s="927" t="s">
        <v>197</v>
      </c>
      <c r="B119" s="920"/>
      <c r="C119" s="968">
        <v>2648.6008642891638</v>
      </c>
      <c r="D119" s="922"/>
      <c r="E119" s="968">
        <v>2646</v>
      </c>
      <c r="F119" s="922"/>
      <c r="G119" s="928">
        <v>19.46</v>
      </c>
      <c r="H119" s="929"/>
      <c r="I119" s="975">
        <v>51542</v>
      </c>
      <c r="J119" s="922"/>
      <c r="K119" s="975">
        <v>51491</v>
      </c>
      <c r="L119" s="922"/>
      <c r="M119" s="928">
        <v>19.46</v>
      </c>
      <c r="N119" s="929"/>
      <c r="O119" s="975">
        <v>51491</v>
      </c>
    </row>
    <row r="120" spans="1:15">
      <c r="A120" s="927" t="s">
        <v>198</v>
      </c>
      <c r="B120" s="920"/>
      <c r="C120" s="968">
        <v>2589.819816890224</v>
      </c>
      <c r="D120" s="922"/>
      <c r="E120" s="968">
        <v>2564</v>
      </c>
      <c r="F120" s="922"/>
      <c r="G120" s="928">
        <v>17.13</v>
      </c>
      <c r="H120" s="929"/>
      <c r="I120" s="975">
        <v>44364</v>
      </c>
      <c r="J120" s="922"/>
      <c r="K120" s="975">
        <v>43921</v>
      </c>
      <c r="L120" s="922"/>
      <c r="M120" s="928">
        <v>17.13</v>
      </c>
      <c r="N120" s="929"/>
      <c r="O120" s="975">
        <v>43921</v>
      </c>
    </row>
    <row r="121" spans="1:15">
      <c r="A121" s="927" t="s">
        <v>199</v>
      </c>
      <c r="B121" s="920"/>
      <c r="C121" s="968">
        <v>120.1674871425584</v>
      </c>
      <c r="D121" s="922"/>
      <c r="E121" s="968">
        <v>114</v>
      </c>
      <c r="F121" s="922"/>
      <c r="G121" s="928">
        <v>21.07</v>
      </c>
      <c r="H121" s="929"/>
      <c r="I121" s="975">
        <v>2532</v>
      </c>
      <c r="J121" s="922"/>
      <c r="K121" s="975">
        <v>2402</v>
      </c>
      <c r="L121" s="922"/>
      <c r="M121" s="928">
        <v>21.07</v>
      </c>
      <c r="N121" s="929"/>
      <c r="O121" s="975">
        <v>2402</v>
      </c>
    </row>
    <row r="122" spans="1:15">
      <c r="A122" s="927" t="s">
        <v>200</v>
      </c>
      <c r="B122" s="920"/>
      <c r="C122" s="968">
        <v>3111.8341373048643</v>
      </c>
      <c r="D122" s="922"/>
      <c r="E122" s="968">
        <v>3134</v>
      </c>
      <c r="F122" s="922"/>
      <c r="G122" s="928">
        <v>23.51</v>
      </c>
      <c r="H122" s="929"/>
      <c r="I122" s="975">
        <v>73159</v>
      </c>
      <c r="J122" s="922"/>
      <c r="K122" s="975">
        <v>73680</v>
      </c>
      <c r="L122" s="922"/>
      <c r="M122" s="928">
        <v>23.51</v>
      </c>
      <c r="N122" s="929"/>
      <c r="O122" s="975">
        <v>73680</v>
      </c>
    </row>
    <row r="123" spans="1:15">
      <c r="A123" s="927" t="s">
        <v>201</v>
      </c>
      <c r="B123" s="920"/>
      <c r="C123" s="968">
        <v>4148.574168240275</v>
      </c>
      <c r="D123" s="922"/>
      <c r="E123" s="968">
        <v>4178</v>
      </c>
      <c r="F123" s="922"/>
      <c r="G123" s="928">
        <v>21.23</v>
      </c>
      <c r="H123" s="929"/>
      <c r="I123" s="975">
        <v>88074</v>
      </c>
      <c r="J123" s="922"/>
      <c r="K123" s="975">
        <v>88699</v>
      </c>
      <c r="L123" s="922"/>
      <c r="M123" s="928">
        <v>21.23</v>
      </c>
      <c r="N123" s="929"/>
      <c r="O123" s="975">
        <v>88699</v>
      </c>
    </row>
    <row r="124" spans="1:15">
      <c r="A124" s="927" t="s">
        <v>202</v>
      </c>
      <c r="B124" s="920"/>
      <c r="C124" s="968">
        <v>1236.3328679101719</v>
      </c>
      <c r="D124" s="922"/>
      <c r="E124" s="968">
        <v>1248</v>
      </c>
      <c r="F124" s="922"/>
      <c r="G124" s="928">
        <v>28.3</v>
      </c>
      <c r="H124" s="929"/>
      <c r="I124" s="975">
        <v>34988</v>
      </c>
      <c r="J124" s="922"/>
      <c r="K124" s="975">
        <v>35318</v>
      </c>
      <c r="L124" s="922"/>
      <c r="M124" s="928">
        <v>28.3</v>
      </c>
      <c r="N124" s="929"/>
      <c r="O124" s="975">
        <v>35318</v>
      </c>
    </row>
    <row r="125" spans="1:15">
      <c r="A125" s="927" t="s">
        <v>203</v>
      </c>
      <c r="B125" s="920"/>
      <c r="C125" s="968">
        <v>2462.3102219882803</v>
      </c>
      <c r="D125" s="922"/>
      <c r="E125" s="968">
        <v>2456</v>
      </c>
      <c r="F125" s="922"/>
      <c r="G125" s="928">
        <v>25.99</v>
      </c>
      <c r="H125" s="929"/>
      <c r="I125" s="975">
        <v>63995</v>
      </c>
      <c r="J125" s="922"/>
      <c r="K125" s="975">
        <v>63831</v>
      </c>
      <c r="L125" s="922"/>
      <c r="M125" s="928">
        <v>25.99</v>
      </c>
      <c r="N125" s="929"/>
      <c r="O125" s="975">
        <v>63831</v>
      </c>
    </row>
    <row r="126" spans="1:15">
      <c r="A126" s="931" t="s">
        <v>204</v>
      </c>
      <c r="B126" s="920"/>
      <c r="C126" s="968"/>
      <c r="D126" s="922"/>
      <c r="E126" s="968"/>
      <c r="F126" s="922"/>
      <c r="G126" s="920"/>
      <c r="H126" s="922"/>
      <c r="I126" s="975"/>
      <c r="J126" s="922"/>
      <c r="K126" s="975"/>
      <c r="L126" s="922"/>
      <c r="M126" s="920"/>
      <c r="N126" s="922"/>
      <c r="O126" s="975"/>
    </row>
    <row r="127" spans="1:15">
      <c r="A127" s="927" t="s">
        <v>197</v>
      </c>
      <c r="B127" s="920"/>
      <c r="C127" s="968">
        <v>4643.5666806965919</v>
      </c>
      <c r="D127" s="922"/>
      <c r="E127" s="968">
        <v>4670</v>
      </c>
      <c r="F127" s="922"/>
      <c r="G127" s="928">
        <v>19.46</v>
      </c>
      <c r="H127" s="929"/>
      <c r="I127" s="975">
        <v>90364</v>
      </c>
      <c r="J127" s="922"/>
      <c r="K127" s="975">
        <v>90878</v>
      </c>
      <c r="L127" s="922"/>
      <c r="M127" s="928">
        <v>19.46</v>
      </c>
      <c r="N127" s="929"/>
      <c r="O127" s="975">
        <v>90878</v>
      </c>
    </row>
    <row r="128" spans="1:15">
      <c r="A128" s="927" t="s">
        <v>198</v>
      </c>
      <c r="B128" s="920"/>
      <c r="C128" s="968">
        <v>4959.4381175384869</v>
      </c>
      <c r="D128" s="922"/>
      <c r="E128" s="968">
        <v>4976</v>
      </c>
      <c r="F128" s="922"/>
      <c r="G128" s="928">
        <v>17.13</v>
      </c>
      <c r="H128" s="929"/>
      <c r="I128" s="975">
        <v>84955</v>
      </c>
      <c r="J128" s="922"/>
      <c r="K128" s="975">
        <v>85239</v>
      </c>
      <c r="L128" s="922"/>
      <c r="M128" s="928">
        <v>17.13</v>
      </c>
      <c r="N128" s="929"/>
      <c r="O128" s="975">
        <v>85239</v>
      </c>
    </row>
    <row r="129" spans="1:15">
      <c r="A129" s="927" t="s">
        <v>200</v>
      </c>
      <c r="B129" s="920"/>
      <c r="C129" s="968">
        <v>1093.3490484779243</v>
      </c>
      <c r="D129" s="922"/>
      <c r="E129" s="968">
        <v>1102</v>
      </c>
      <c r="F129" s="922"/>
      <c r="G129" s="928">
        <v>23.51</v>
      </c>
      <c r="H129" s="929"/>
      <c r="I129" s="975">
        <v>25705</v>
      </c>
      <c r="J129" s="922"/>
      <c r="K129" s="975">
        <v>25908</v>
      </c>
      <c r="L129" s="922"/>
      <c r="M129" s="928">
        <v>23.51</v>
      </c>
      <c r="N129" s="929"/>
      <c r="O129" s="975">
        <v>25908</v>
      </c>
    </row>
    <row r="130" spans="1:15">
      <c r="A130" s="927" t="s">
        <v>201</v>
      </c>
      <c r="B130" s="920"/>
      <c r="C130" s="968">
        <v>1563.7696317488133</v>
      </c>
      <c r="D130" s="922"/>
      <c r="E130" s="968">
        <v>1570</v>
      </c>
      <c r="F130" s="922"/>
      <c r="G130" s="928">
        <v>21.23</v>
      </c>
      <c r="H130" s="929"/>
      <c r="I130" s="975">
        <v>33199</v>
      </c>
      <c r="J130" s="922"/>
      <c r="K130" s="975">
        <v>33331</v>
      </c>
      <c r="L130" s="922"/>
      <c r="M130" s="928">
        <v>21.23</v>
      </c>
      <c r="N130" s="929"/>
      <c r="O130" s="975">
        <v>33331</v>
      </c>
    </row>
    <row r="131" spans="1:15">
      <c r="A131" s="927" t="s">
        <v>202</v>
      </c>
      <c r="B131" s="920"/>
      <c r="C131" s="968">
        <v>9583.6819700952256</v>
      </c>
      <c r="D131" s="922"/>
      <c r="E131" s="968">
        <v>9734</v>
      </c>
      <c r="F131" s="922"/>
      <c r="G131" s="928">
        <v>28.3</v>
      </c>
      <c r="H131" s="929"/>
      <c r="I131" s="975">
        <v>271218</v>
      </c>
      <c r="J131" s="922"/>
      <c r="K131" s="975">
        <v>275472</v>
      </c>
      <c r="L131" s="922"/>
      <c r="M131" s="928">
        <v>28.3</v>
      </c>
      <c r="N131" s="929"/>
      <c r="O131" s="975">
        <v>275472</v>
      </c>
    </row>
    <row r="132" spans="1:15">
      <c r="A132" s="927" t="s">
        <v>203</v>
      </c>
      <c r="B132" s="920"/>
      <c r="C132" s="968">
        <v>11642.680332962515</v>
      </c>
      <c r="D132" s="922"/>
      <c r="E132" s="968">
        <v>11772</v>
      </c>
      <c r="F132" s="922"/>
      <c r="G132" s="928">
        <v>25.99</v>
      </c>
      <c r="H132" s="929"/>
      <c r="I132" s="975">
        <v>302593</v>
      </c>
      <c r="J132" s="922"/>
      <c r="K132" s="975">
        <v>305954</v>
      </c>
      <c r="L132" s="922"/>
      <c r="M132" s="928">
        <v>25.99</v>
      </c>
      <c r="N132" s="929"/>
      <c r="O132" s="975">
        <v>305954</v>
      </c>
    </row>
    <row r="133" spans="1:15">
      <c r="A133" s="931" t="s">
        <v>205</v>
      </c>
      <c r="B133" s="920"/>
      <c r="C133" s="968"/>
      <c r="D133" s="922"/>
      <c r="E133" s="968"/>
      <c r="F133" s="922"/>
      <c r="G133" s="920"/>
      <c r="H133" s="922"/>
      <c r="I133" s="920"/>
      <c r="J133" s="922"/>
      <c r="K133" s="920"/>
      <c r="L133" s="922"/>
      <c r="M133" s="920"/>
      <c r="N133" s="922"/>
      <c r="O133" s="920"/>
    </row>
    <row r="134" spans="1:15">
      <c r="A134" s="927" t="s">
        <v>206</v>
      </c>
      <c r="B134" s="920"/>
      <c r="C134" s="968">
        <v>0</v>
      </c>
      <c r="D134" s="922"/>
      <c r="E134" s="968">
        <v>0</v>
      </c>
      <c r="F134" s="922"/>
      <c r="G134" s="928">
        <v>29.4</v>
      </c>
      <c r="H134" s="929"/>
      <c r="I134" s="975">
        <v>0</v>
      </c>
      <c r="J134" s="922"/>
      <c r="K134" s="975">
        <v>0</v>
      </c>
      <c r="L134" s="922"/>
      <c r="M134" s="928">
        <v>29.4</v>
      </c>
      <c r="N134" s="929"/>
      <c r="O134" s="975">
        <v>0</v>
      </c>
    </row>
    <row r="135" spans="1:15">
      <c r="A135" s="927" t="s">
        <v>207</v>
      </c>
      <c r="B135" s="920"/>
      <c r="C135" s="968">
        <v>264.00013757281602</v>
      </c>
      <c r="D135" s="922"/>
      <c r="E135" s="968">
        <v>265</v>
      </c>
      <c r="F135" s="922"/>
      <c r="G135" s="928">
        <v>21.79</v>
      </c>
      <c r="H135" s="929"/>
      <c r="I135" s="975">
        <v>5753</v>
      </c>
      <c r="J135" s="922"/>
      <c r="K135" s="975">
        <v>5774</v>
      </c>
      <c r="L135" s="922"/>
      <c r="M135" s="928">
        <v>21.79</v>
      </c>
      <c r="N135" s="929"/>
      <c r="O135" s="975">
        <v>5774</v>
      </c>
    </row>
    <row r="136" spans="1:15">
      <c r="A136" s="927" t="s">
        <v>208</v>
      </c>
      <c r="B136" s="920"/>
      <c r="C136" s="968">
        <v>107.9998614193032</v>
      </c>
      <c r="D136" s="922"/>
      <c r="E136" s="968">
        <v>110</v>
      </c>
      <c r="F136" s="922"/>
      <c r="G136" s="928">
        <v>34.340000000000003</v>
      </c>
      <c r="H136" s="929"/>
      <c r="I136" s="975">
        <v>3709</v>
      </c>
      <c r="J136" s="922"/>
      <c r="K136" s="975">
        <v>3777</v>
      </c>
      <c r="L136" s="922"/>
      <c r="M136" s="928">
        <v>34.340000000000003</v>
      </c>
      <c r="N136" s="929"/>
      <c r="O136" s="975">
        <v>3777</v>
      </c>
    </row>
    <row r="137" spans="1:15">
      <c r="A137" s="927" t="s">
        <v>209</v>
      </c>
      <c r="B137" s="920"/>
      <c r="C137" s="968">
        <v>95.999640603960302</v>
      </c>
      <c r="D137" s="922"/>
      <c r="E137" s="968">
        <v>97</v>
      </c>
      <c r="F137" s="922"/>
      <c r="G137" s="928">
        <v>27.43</v>
      </c>
      <c r="H137" s="929"/>
      <c r="I137" s="975">
        <v>2633</v>
      </c>
      <c r="J137" s="922"/>
      <c r="K137" s="975">
        <v>2661</v>
      </c>
      <c r="L137" s="922"/>
      <c r="M137" s="928">
        <v>27.43</v>
      </c>
      <c r="N137" s="929"/>
      <c r="O137" s="975">
        <v>2661</v>
      </c>
    </row>
    <row r="138" spans="1:15">
      <c r="A138" s="927" t="s">
        <v>210</v>
      </c>
      <c r="B138" s="920"/>
      <c r="C138" s="968">
        <v>456.00023390316397</v>
      </c>
      <c r="D138" s="922"/>
      <c r="E138" s="968">
        <v>469</v>
      </c>
      <c r="F138" s="922"/>
      <c r="G138" s="928">
        <v>36.69</v>
      </c>
      <c r="H138" s="929"/>
      <c r="I138" s="975">
        <v>16731</v>
      </c>
      <c r="J138" s="922"/>
      <c r="K138" s="975">
        <v>17208</v>
      </c>
      <c r="L138" s="922"/>
      <c r="M138" s="928">
        <v>36.69</v>
      </c>
      <c r="N138" s="929"/>
      <c r="O138" s="975">
        <v>17208</v>
      </c>
    </row>
    <row r="139" spans="1:15">
      <c r="A139" s="927" t="s">
        <v>211</v>
      </c>
      <c r="B139" s="920"/>
      <c r="C139" s="968">
        <v>625.26603752990434</v>
      </c>
      <c r="D139" s="922"/>
      <c r="E139" s="968">
        <v>630</v>
      </c>
      <c r="F139" s="922"/>
      <c r="G139" s="928">
        <v>29.72</v>
      </c>
      <c r="H139" s="929"/>
      <c r="I139" s="975">
        <v>18583</v>
      </c>
      <c r="J139" s="922"/>
      <c r="K139" s="975">
        <v>18724</v>
      </c>
      <c r="L139" s="922"/>
      <c r="M139" s="928">
        <v>29.72</v>
      </c>
      <c r="N139" s="929"/>
      <c r="O139" s="975">
        <v>18724</v>
      </c>
    </row>
    <row r="140" spans="1:15">
      <c r="A140" s="927" t="s">
        <v>212</v>
      </c>
      <c r="B140" s="920"/>
      <c r="C140" s="968">
        <v>23.999999609862002</v>
      </c>
      <c r="D140" s="922"/>
      <c r="E140" s="968">
        <v>24</v>
      </c>
      <c r="F140" s="922"/>
      <c r="G140" s="928">
        <v>57.58</v>
      </c>
      <c r="H140" s="929"/>
      <c r="I140" s="975">
        <v>1382</v>
      </c>
      <c r="J140" s="922"/>
      <c r="K140" s="975">
        <v>1382</v>
      </c>
      <c r="L140" s="922"/>
      <c r="M140" s="928">
        <v>57.58</v>
      </c>
      <c r="N140" s="929"/>
      <c r="O140" s="975">
        <v>1382</v>
      </c>
    </row>
    <row r="141" spans="1:15">
      <c r="A141" s="927" t="s">
        <v>213</v>
      </c>
      <c r="B141" s="920"/>
      <c r="C141" s="968">
        <v>60.000000164945099</v>
      </c>
      <c r="D141" s="922"/>
      <c r="E141" s="968">
        <v>60</v>
      </c>
      <c r="F141" s="922"/>
      <c r="G141" s="928">
        <v>49.1</v>
      </c>
      <c r="H141" s="929"/>
      <c r="I141" s="975">
        <v>2946</v>
      </c>
      <c r="J141" s="922"/>
      <c r="K141" s="975">
        <v>2946</v>
      </c>
      <c r="L141" s="922"/>
      <c r="M141" s="928">
        <v>49.1</v>
      </c>
      <c r="N141" s="929"/>
      <c r="O141" s="975">
        <v>2946</v>
      </c>
    </row>
    <row r="142" spans="1:15">
      <c r="A142" s="927" t="s">
        <v>214</v>
      </c>
      <c r="B142" s="920"/>
      <c r="C142" s="968">
        <v>158811.71977217452</v>
      </c>
      <c r="D142" s="922"/>
      <c r="E142" s="968">
        <v>159509</v>
      </c>
      <c r="F142" s="922"/>
      <c r="G142" s="920"/>
      <c r="H142" s="922"/>
      <c r="I142" s="975">
        <v>2982105</v>
      </c>
      <c r="J142" s="922"/>
      <c r="K142" s="975">
        <v>2999060</v>
      </c>
      <c r="L142" s="922"/>
      <c r="M142" s="920"/>
      <c r="N142" s="922"/>
      <c r="O142" s="975">
        <v>2999060</v>
      </c>
    </row>
    <row r="143" spans="1:15">
      <c r="A143" s="927" t="s">
        <v>215</v>
      </c>
      <c r="B143" s="920"/>
      <c r="C143" s="974">
        <v>12354480.624766648</v>
      </c>
      <c r="D143" s="922"/>
      <c r="E143" s="974">
        <v>12440930.563737754</v>
      </c>
      <c r="F143" s="922"/>
      <c r="G143" s="920"/>
      <c r="H143" s="922"/>
      <c r="I143" s="975"/>
      <c r="J143" s="922"/>
      <c r="K143" s="975"/>
      <c r="L143" s="922"/>
      <c r="M143" s="920"/>
      <c r="N143" s="922"/>
      <c r="O143" s="975"/>
    </row>
    <row r="144" spans="1:15">
      <c r="A144" s="927" t="s">
        <v>216</v>
      </c>
      <c r="B144" s="920"/>
      <c r="C144" s="989">
        <v>23732</v>
      </c>
      <c r="D144" s="922"/>
      <c r="E144" s="989">
        <v>0</v>
      </c>
      <c r="F144" s="922"/>
      <c r="G144" s="990"/>
      <c r="H144" s="922"/>
      <c r="I144" s="991">
        <v>16062</v>
      </c>
      <c r="J144" s="922"/>
      <c r="K144" s="991">
        <v>0</v>
      </c>
      <c r="L144" s="922"/>
      <c r="M144" s="990"/>
      <c r="N144" s="922"/>
      <c r="O144" s="991">
        <v>0</v>
      </c>
    </row>
    <row r="145" spans="1:15">
      <c r="A145" s="927" t="s">
        <v>11</v>
      </c>
      <c r="B145" s="920"/>
      <c r="C145" s="968">
        <v>7789.5833333333303</v>
      </c>
      <c r="D145" s="922"/>
      <c r="E145" s="968">
        <v>8046</v>
      </c>
      <c r="F145" s="922"/>
      <c r="G145" s="920"/>
      <c r="H145" s="922"/>
      <c r="I145" s="920"/>
      <c r="J145" s="922"/>
      <c r="K145" s="920"/>
      <c r="L145" s="922"/>
      <c r="M145" s="920"/>
      <c r="N145" s="922"/>
      <c r="O145" s="920"/>
    </row>
    <row r="146" spans="1:15" ht="16.5" thickBot="1">
      <c r="A146" s="927" t="s">
        <v>218</v>
      </c>
      <c r="B146" s="920"/>
      <c r="C146" s="992">
        <v>12378212.624766648</v>
      </c>
      <c r="D146" s="922"/>
      <c r="E146" s="992">
        <v>12440930.563737754</v>
      </c>
      <c r="F146" s="922"/>
      <c r="G146" s="982"/>
      <c r="H146" s="922"/>
      <c r="I146" s="983">
        <v>2998167</v>
      </c>
      <c r="J146" s="922"/>
      <c r="K146" s="983">
        <v>2999060</v>
      </c>
      <c r="L146" s="922"/>
      <c r="M146" s="982"/>
      <c r="N146" s="922"/>
      <c r="O146" s="983">
        <v>2999060</v>
      </c>
    </row>
    <row r="147" spans="1:15" ht="16.5" thickTop="1">
      <c r="A147" s="920"/>
      <c r="B147" s="920"/>
      <c r="C147" s="920"/>
      <c r="D147" s="935"/>
      <c r="E147" s="920"/>
      <c r="F147" s="935"/>
      <c r="G147" s="920"/>
      <c r="H147" s="922"/>
      <c r="I147" s="920"/>
      <c r="J147" s="935"/>
      <c r="K147" s="920"/>
      <c r="L147" s="935"/>
      <c r="M147" s="920"/>
      <c r="N147" s="922"/>
      <c r="O147" s="920"/>
    </row>
    <row r="148" spans="1:15">
      <c r="A148" s="926" t="s">
        <v>219</v>
      </c>
      <c r="B148" s="920"/>
      <c r="C148" s="968"/>
      <c r="D148" s="922"/>
      <c r="E148" s="968"/>
      <c r="F148" s="922"/>
      <c r="G148" s="920"/>
      <c r="H148" s="922"/>
      <c r="I148" s="920"/>
      <c r="J148" s="922"/>
      <c r="K148" s="920"/>
      <c r="L148" s="922"/>
      <c r="M148" s="920"/>
      <c r="N148" s="922"/>
      <c r="O148" s="920"/>
    </row>
    <row r="149" spans="1:15">
      <c r="A149" s="927" t="s">
        <v>104</v>
      </c>
      <c r="B149" s="920"/>
      <c r="C149" s="968">
        <v>3244.0755131964806</v>
      </c>
      <c r="D149" s="922"/>
      <c r="E149" s="968">
        <v>3282</v>
      </c>
      <c r="F149" s="922"/>
      <c r="G149" s="928">
        <v>68</v>
      </c>
      <c r="H149" s="929"/>
      <c r="I149" s="975">
        <v>220597</v>
      </c>
      <c r="J149" s="922"/>
      <c r="K149" s="975">
        <v>223176</v>
      </c>
      <c r="L149" s="922"/>
      <c r="M149" s="928">
        <v>71</v>
      </c>
      <c r="N149" s="929"/>
      <c r="O149" s="975">
        <v>233022</v>
      </c>
    </row>
    <row r="150" spans="1:15">
      <c r="A150" s="927" t="s">
        <v>220</v>
      </c>
      <c r="B150" s="920"/>
      <c r="C150" s="968">
        <v>4767329.8322084472</v>
      </c>
      <c r="D150" s="922"/>
      <c r="E150" s="968">
        <v>5010201</v>
      </c>
      <c r="F150" s="922"/>
      <c r="G150" s="928">
        <v>4.62</v>
      </c>
      <c r="H150" s="929"/>
      <c r="I150" s="975">
        <v>22025064</v>
      </c>
      <c r="J150" s="922"/>
      <c r="K150" s="975">
        <v>23147129</v>
      </c>
      <c r="L150" s="922"/>
      <c r="M150" s="928">
        <v>4.8099999999999996</v>
      </c>
      <c r="N150" s="929"/>
      <c r="O150" s="975">
        <v>24099067</v>
      </c>
    </row>
    <row r="151" spans="1:15">
      <c r="A151" s="927" t="s">
        <v>221</v>
      </c>
      <c r="B151" s="920"/>
      <c r="C151" s="968">
        <v>1996878.9322348891</v>
      </c>
      <c r="D151" s="922"/>
      <c r="E151" s="968">
        <v>2097818</v>
      </c>
      <c r="F151" s="922"/>
      <c r="G151" s="928">
        <v>15.1</v>
      </c>
      <c r="H151" s="929"/>
      <c r="I151" s="975">
        <v>30152872</v>
      </c>
      <c r="J151" s="922"/>
      <c r="K151" s="975">
        <v>31677052</v>
      </c>
      <c r="L151" s="922"/>
      <c r="M151" s="928">
        <v>15.72</v>
      </c>
      <c r="N151" s="929"/>
      <c r="O151" s="975">
        <v>32977699</v>
      </c>
    </row>
    <row r="152" spans="1:15">
      <c r="A152" s="927" t="s">
        <v>222</v>
      </c>
      <c r="B152" s="920"/>
      <c r="C152" s="968">
        <v>2627273.2843035478</v>
      </c>
      <c r="D152" s="922"/>
      <c r="E152" s="968">
        <v>2761958</v>
      </c>
      <c r="F152" s="922"/>
      <c r="G152" s="928">
        <v>10.87</v>
      </c>
      <c r="H152" s="929"/>
      <c r="I152" s="975">
        <v>28558461</v>
      </c>
      <c r="J152" s="922"/>
      <c r="K152" s="975">
        <v>30022483</v>
      </c>
      <c r="L152" s="922"/>
      <c r="M152" s="928">
        <v>11.31</v>
      </c>
      <c r="N152" s="929"/>
      <c r="O152" s="975">
        <v>31237745</v>
      </c>
    </row>
    <row r="153" spans="1:15">
      <c r="A153" s="927" t="s">
        <v>154</v>
      </c>
      <c r="B153" s="920"/>
      <c r="C153" s="968">
        <v>2023347.2075506593</v>
      </c>
      <c r="D153" s="922"/>
      <c r="E153" s="968">
        <v>2132830</v>
      </c>
      <c r="F153" s="922"/>
      <c r="G153" s="928">
        <v>-1.1000000000000001</v>
      </c>
      <c r="H153" s="929"/>
      <c r="I153" s="975">
        <v>-2225682</v>
      </c>
      <c r="J153" s="922"/>
      <c r="K153" s="975">
        <v>-2346113</v>
      </c>
      <c r="L153" s="922"/>
      <c r="M153" s="928">
        <v>-1.1399999999999999</v>
      </c>
      <c r="N153" s="929"/>
      <c r="O153" s="975">
        <v>-2431426</v>
      </c>
    </row>
    <row r="154" spans="1:15">
      <c r="A154" s="927" t="s">
        <v>143</v>
      </c>
      <c r="B154" s="920"/>
      <c r="C154" s="968">
        <v>246230057</v>
      </c>
      <c r="D154" s="922"/>
      <c r="E154" s="968">
        <v>260094535</v>
      </c>
      <c r="F154" s="922"/>
      <c r="G154" s="941">
        <v>4.8998999999999997</v>
      </c>
      <c r="H154" s="930" t="s">
        <v>108</v>
      </c>
      <c r="I154" s="975">
        <v>12065027</v>
      </c>
      <c r="J154" s="922"/>
      <c r="K154" s="975">
        <v>12744372</v>
      </c>
      <c r="L154" s="922"/>
      <c r="M154" s="941">
        <v>5.1002999999999998</v>
      </c>
      <c r="N154" s="930" t="s">
        <v>108</v>
      </c>
      <c r="O154" s="975">
        <v>13265602</v>
      </c>
    </row>
    <row r="155" spans="1:15">
      <c r="A155" s="927" t="s">
        <v>179</v>
      </c>
      <c r="B155" s="920"/>
      <c r="C155" s="968">
        <v>592357192</v>
      </c>
      <c r="D155" s="922"/>
      <c r="E155" s="968">
        <v>625992212</v>
      </c>
      <c r="F155" s="922"/>
      <c r="G155" s="941">
        <v>3.8355999999999999</v>
      </c>
      <c r="H155" s="930" t="s">
        <v>108</v>
      </c>
      <c r="I155" s="975">
        <v>22720452</v>
      </c>
      <c r="J155" s="922"/>
      <c r="K155" s="975">
        <v>24010557</v>
      </c>
      <c r="L155" s="922"/>
      <c r="M155" s="941">
        <v>3.9925000000000002</v>
      </c>
      <c r="N155" s="930" t="s">
        <v>108</v>
      </c>
      <c r="O155" s="975">
        <v>24992739</v>
      </c>
    </row>
    <row r="156" spans="1:15">
      <c r="A156" s="927" t="s">
        <v>223</v>
      </c>
      <c r="B156" s="920"/>
      <c r="C156" s="968">
        <v>1231736133.3947215</v>
      </c>
      <c r="D156" s="922"/>
      <c r="E156" s="968">
        <v>1300960578.5884075</v>
      </c>
      <c r="F156" s="922"/>
      <c r="G156" s="941">
        <v>3.3018999999999998</v>
      </c>
      <c r="H156" s="930" t="s">
        <v>108</v>
      </c>
      <c r="I156" s="975">
        <v>40670695</v>
      </c>
      <c r="J156" s="922"/>
      <c r="K156" s="975">
        <v>42956417</v>
      </c>
      <c r="L156" s="922"/>
      <c r="M156" s="941">
        <v>3.4363999999999999</v>
      </c>
      <c r="N156" s="930" t="s">
        <v>108</v>
      </c>
      <c r="O156" s="975">
        <v>44706209</v>
      </c>
    </row>
    <row r="157" spans="1:15">
      <c r="A157" s="927" t="s">
        <v>132</v>
      </c>
      <c r="B157" s="920"/>
      <c r="C157" s="979">
        <v>11359783</v>
      </c>
      <c r="D157" s="922"/>
      <c r="E157" s="979">
        <v>0</v>
      </c>
      <c r="F157" s="922"/>
      <c r="G157" s="920"/>
      <c r="H157" s="922"/>
      <c r="I157" s="980">
        <v>1252831</v>
      </c>
      <c r="J157" s="922"/>
      <c r="K157" s="980">
        <v>0</v>
      </c>
      <c r="L157" s="922"/>
      <c r="M157" s="920"/>
      <c r="N157" s="922"/>
      <c r="O157" s="980">
        <v>0</v>
      </c>
    </row>
    <row r="158" spans="1:15" ht="16.5" thickBot="1">
      <c r="A158" s="927" t="s">
        <v>134</v>
      </c>
      <c r="B158" s="920"/>
      <c r="C158" s="988">
        <v>2081683165.3947215</v>
      </c>
      <c r="D158" s="922"/>
      <c r="E158" s="988">
        <v>2187047325.5884075</v>
      </c>
      <c r="F158" s="922"/>
      <c r="G158" s="986"/>
      <c r="H158" s="922"/>
      <c r="I158" s="987">
        <v>155440317</v>
      </c>
      <c r="J158" s="922"/>
      <c r="K158" s="987">
        <v>162435073</v>
      </c>
      <c r="L158" s="922"/>
      <c r="M158" s="986"/>
      <c r="N158" s="922"/>
      <c r="O158" s="987">
        <v>169080657</v>
      </c>
    </row>
    <row r="159" spans="1:15" ht="16.5" thickTop="1">
      <c r="A159" s="920"/>
      <c r="B159" s="920"/>
      <c r="C159" s="920"/>
      <c r="D159" s="922"/>
      <c r="E159" s="920"/>
      <c r="F159" s="922"/>
      <c r="G159" s="920"/>
      <c r="H159" s="922"/>
      <c r="I159" s="920"/>
      <c r="J159" s="922"/>
      <c r="K159" s="920"/>
      <c r="L159" s="922"/>
      <c r="M159" s="920"/>
      <c r="N159" s="922"/>
      <c r="O159" s="920"/>
    </row>
    <row r="160" spans="1:15">
      <c r="A160" s="926" t="s">
        <v>226</v>
      </c>
      <c r="B160" s="920"/>
      <c r="C160" s="968"/>
      <c r="D160" s="922"/>
      <c r="E160" s="968"/>
      <c r="F160" s="922"/>
      <c r="G160" s="920"/>
      <c r="H160" s="922"/>
      <c r="I160" s="920"/>
      <c r="J160" s="922"/>
      <c r="K160" s="920"/>
      <c r="L160" s="922"/>
      <c r="M160" s="920"/>
      <c r="N160" s="922"/>
      <c r="O160" s="920"/>
    </row>
    <row r="161" spans="1:15">
      <c r="A161" s="927" t="s">
        <v>104</v>
      </c>
      <c r="B161" s="920"/>
      <c r="C161" s="968">
        <v>1798.3875224926248</v>
      </c>
      <c r="D161" s="922"/>
      <c r="E161" s="968">
        <v>1791</v>
      </c>
      <c r="F161" s="922"/>
      <c r="G161" s="928">
        <v>247</v>
      </c>
      <c r="H161" s="929"/>
      <c r="I161" s="975">
        <v>444202</v>
      </c>
      <c r="J161" s="922"/>
      <c r="K161" s="975">
        <v>442377</v>
      </c>
      <c r="L161" s="922"/>
      <c r="M161" s="928">
        <v>262</v>
      </c>
      <c r="N161" s="929"/>
      <c r="O161" s="975">
        <v>469242</v>
      </c>
    </row>
    <row r="162" spans="1:15">
      <c r="A162" s="927" t="s">
        <v>220</v>
      </c>
      <c r="B162" s="920"/>
      <c r="C162" s="968">
        <v>8488464.2656891234</v>
      </c>
      <c r="D162" s="922"/>
      <c r="E162" s="968">
        <v>9053509</v>
      </c>
      <c r="F162" s="922"/>
      <c r="G162" s="928">
        <v>2.12</v>
      </c>
      <c r="H162" s="929"/>
      <c r="I162" s="975">
        <v>17995544</v>
      </c>
      <c r="J162" s="922"/>
      <c r="K162" s="975">
        <v>19193439</v>
      </c>
      <c r="L162" s="922"/>
      <c r="M162" s="928">
        <v>2.2400000000000002</v>
      </c>
      <c r="N162" s="929"/>
      <c r="O162" s="975">
        <v>20279860</v>
      </c>
    </row>
    <row r="163" spans="1:15">
      <c r="A163" s="927" t="s">
        <v>221</v>
      </c>
      <c r="B163" s="920"/>
      <c r="C163" s="968">
        <v>3482091.0143030011</v>
      </c>
      <c r="D163" s="922"/>
      <c r="E163" s="968">
        <v>3715246</v>
      </c>
      <c r="F163" s="922"/>
      <c r="G163" s="928">
        <v>13.32</v>
      </c>
      <c r="H163" s="929"/>
      <c r="I163" s="975">
        <v>46381452</v>
      </c>
      <c r="J163" s="922"/>
      <c r="K163" s="975">
        <v>49487077</v>
      </c>
      <c r="L163" s="922"/>
      <c r="M163" s="928">
        <v>14.06</v>
      </c>
      <c r="N163" s="929"/>
      <c r="O163" s="975">
        <v>52236359</v>
      </c>
    </row>
    <row r="164" spans="1:15">
      <c r="A164" s="927" t="s">
        <v>222</v>
      </c>
      <c r="B164" s="920"/>
      <c r="C164" s="968">
        <v>4834536.455543031</v>
      </c>
      <c r="D164" s="922"/>
      <c r="E164" s="968">
        <v>5150021</v>
      </c>
      <c r="F164" s="922"/>
      <c r="G164" s="928">
        <v>9.0299999999999994</v>
      </c>
      <c r="H164" s="929"/>
      <c r="I164" s="975">
        <v>43655864</v>
      </c>
      <c r="J164" s="922"/>
      <c r="K164" s="975">
        <v>46504690</v>
      </c>
      <c r="L164" s="922"/>
      <c r="M164" s="928">
        <v>9.5299999999999994</v>
      </c>
      <c r="N164" s="929"/>
      <c r="O164" s="975">
        <v>49079700</v>
      </c>
    </row>
    <row r="165" spans="1:15">
      <c r="A165" s="927" t="s">
        <v>228</v>
      </c>
      <c r="B165" s="920"/>
      <c r="C165" s="968">
        <v>472106043</v>
      </c>
      <c r="D165" s="922"/>
      <c r="E165" s="968">
        <v>507349132</v>
      </c>
      <c r="F165" s="922"/>
      <c r="G165" s="942">
        <v>4.4379</v>
      </c>
      <c r="H165" s="930" t="s">
        <v>108</v>
      </c>
      <c r="I165" s="975">
        <v>20951594</v>
      </c>
      <c r="J165" s="922"/>
      <c r="K165" s="975">
        <v>22515647</v>
      </c>
      <c r="L165" s="922"/>
      <c r="M165" s="892">
        <v>4.6836000000000002</v>
      </c>
      <c r="N165" s="930" t="s">
        <v>108</v>
      </c>
      <c r="O165" s="975">
        <v>23762204</v>
      </c>
    </row>
    <row r="166" spans="1:15">
      <c r="A166" s="927" t="s">
        <v>229</v>
      </c>
      <c r="B166" s="920"/>
      <c r="C166" s="968">
        <v>1290306958</v>
      </c>
      <c r="D166" s="922"/>
      <c r="E166" s="968">
        <v>1382941034</v>
      </c>
      <c r="F166" s="922"/>
      <c r="G166" s="942">
        <v>3.3371</v>
      </c>
      <c r="H166" s="930" t="s">
        <v>108</v>
      </c>
      <c r="I166" s="975">
        <v>43058833</v>
      </c>
      <c r="J166" s="922"/>
      <c r="K166" s="975">
        <v>46150125</v>
      </c>
      <c r="L166" s="922"/>
      <c r="M166" s="892">
        <v>3.5219</v>
      </c>
      <c r="N166" s="930" t="s">
        <v>108</v>
      </c>
      <c r="O166" s="975">
        <v>48705800</v>
      </c>
    </row>
    <row r="167" spans="1:15">
      <c r="A167" s="927" t="s">
        <v>223</v>
      </c>
      <c r="B167" s="920"/>
      <c r="C167" s="968">
        <v>2925186125.5988102</v>
      </c>
      <c r="D167" s="922"/>
      <c r="E167" s="968">
        <v>3137145374.7653074</v>
      </c>
      <c r="F167" s="922"/>
      <c r="G167" s="943">
        <v>2.7873000000000001</v>
      </c>
      <c r="H167" s="930" t="s">
        <v>108</v>
      </c>
      <c r="I167" s="975">
        <v>81533713</v>
      </c>
      <c r="J167" s="922"/>
      <c r="K167" s="975">
        <v>87441653</v>
      </c>
      <c r="L167" s="922"/>
      <c r="M167" s="892">
        <v>2.9416000000000002</v>
      </c>
      <c r="N167" s="930" t="s">
        <v>108</v>
      </c>
      <c r="O167" s="975">
        <v>92282268</v>
      </c>
    </row>
    <row r="168" spans="1:15">
      <c r="A168" s="927" t="s">
        <v>132</v>
      </c>
      <c r="B168" s="920"/>
      <c r="C168" s="979">
        <v>33908361</v>
      </c>
      <c r="D168" s="922"/>
      <c r="E168" s="979">
        <v>0</v>
      </c>
      <c r="F168" s="922"/>
      <c r="G168" s="920"/>
      <c r="H168" s="922"/>
      <c r="I168" s="980">
        <v>2308597</v>
      </c>
      <c r="J168" s="922"/>
      <c r="K168" s="980">
        <v>0</v>
      </c>
      <c r="L168" s="922"/>
      <c r="M168" s="920"/>
      <c r="N168" s="922"/>
      <c r="O168" s="980">
        <v>0</v>
      </c>
    </row>
    <row r="169" spans="1:15" ht="16.5" thickBot="1">
      <c r="A169" s="927" t="s">
        <v>134</v>
      </c>
      <c r="B169" s="920"/>
      <c r="C169" s="988">
        <v>4721507487.5988102</v>
      </c>
      <c r="D169" s="922"/>
      <c r="E169" s="988">
        <v>5027435540.7653065</v>
      </c>
      <c r="F169" s="922"/>
      <c r="G169" s="986"/>
      <c r="H169" s="922"/>
      <c r="I169" s="987">
        <v>256329799</v>
      </c>
      <c r="J169" s="922"/>
      <c r="K169" s="987">
        <v>271735008</v>
      </c>
      <c r="L169" s="922"/>
      <c r="M169" s="986"/>
      <c r="N169" s="922"/>
      <c r="O169" s="987">
        <v>286815433</v>
      </c>
    </row>
    <row r="170" spans="1:15" ht="16.5" thickTop="1">
      <c r="A170" s="920"/>
      <c r="B170" s="920"/>
      <c r="C170" s="968"/>
      <c r="D170" s="922"/>
      <c r="E170" s="968"/>
      <c r="F170" s="922"/>
      <c r="G170" s="920"/>
      <c r="H170" s="922"/>
      <c r="I170" s="920"/>
      <c r="J170" s="922"/>
      <c r="K170" s="920"/>
      <c r="L170" s="922"/>
      <c r="M170" s="920"/>
      <c r="N170" s="922"/>
      <c r="O170" s="920"/>
    </row>
    <row r="171" spans="1:15">
      <c r="A171" s="926" t="s">
        <v>653</v>
      </c>
      <c r="B171" s="920"/>
      <c r="C171" s="968"/>
      <c r="D171" s="922"/>
      <c r="E171" s="968"/>
      <c r="F171" s="922"/>
      <c r="G171" s="939"/>
      <c r="H171" s="940"/>
      <c r="I171" s="920"/>
      <c r="J171" s="922"/>
      <c r="K171" s="920"/>
      <c r="L171" s="922"/>
      <c r="M171" s="939"/>
      <c r="N171" s="940"/>
      <c r="O171" s="920"/>
    </row>
    <row r="172" spans="1:15">
      <c r="A172" s="927" t="s">
        <v>104</v>
      </c>
      <c r="B172" s="920"/>
      <c r="C172" s="968">
        <v>108.13329646017691</v>
      </c>
      <c r="D172" s="922"/>
      <c r="E172" s="968">
        <v>108</v>
      </c>
      <c r="F172" s="922"/>
      <c r="G172" s="928">
        <v>247</v>
      </c>
      <c r="H172" s="929"/>
      <c r="I172" s="975">
        <v>26709</v>
      </c>
      <c r="J172" s="922"/>
      <c r="K172" s="975">
        <v>26676</v>
      </c>
      <c r="L172" s="922"/>
      <c r="M172" s="928">
        <v>262</v>
      </c>
      <c r="N172" s="929"/>
      <c r="O172" s="975">
        <v>28296</v>
      </c>
    </row>
    <row r="173" spans="1:15">
      <c r="A173" s="927" t="s">
        <v>235</v>
      </c>
      <c r="B173" s="920"/>
      <c r="C173" s="968">
        <v>222732.23886497872</v>
      </c>
      <c r="D173" s="922"/>
      <c r="E173" s="968">
        <v>235118</v>
      </c>
      <c r="F173" s="922"/>
      <c r="G173" s="928">
        <v>2.12</v>
      </c>
      <c r="H173" s="929"/>
      <c r="I173" s="975">
        <v>472192</v>
      </c>
      <c r="J173" s="922"/>
      <c r="K173" s="975">
        <v>498450</v>
      </c>
      <c r="L173" s="922"/>
      <c r="M173" s="928">
        <v>2.2400000000000002</v>
      </c>
      <c r="N173" s="929"/>
      <c r="O173" s="975">
        <v>526664</v>
      </c>
    </row>
    <row r="174" spans="1:15">
      <c r="A174" s="927" t="s">
        <v>236</v>
      </c>
      <c r="B174" s="920"/>
      <c r="C174" s="968">
        <v>22743800</v>
      </c>
      <c r="D174" s="922"/>
      <c r="E174" s="968">
        <v>23805248</v>
      </c>
      <c r="F174" s="922"/>
      <c r="G174" s="938">
        <v>8.2002000000000006</v>
      </c>
      <c r="H174" s="930" t="s">
        <v>108</v>
      </c>
      <c r="I174" s="975">
        <v>1865037</v>
      </c>
      <c r="J174" s="922"/>
      <c r="K174" s="975">
        <v>1952078</v>
      </c>
      <c r="L174" s="922"/>
      <c r="M174" s="938">
        <v>8.7064000000000004</v>
      </c>
      <c r="N174" s="930" t="s">
        <v>108</v>
      </c>
      <c r="O174" s="975">
        <v>2072580</v>
      </c>
    </row>
    <row r="175" spans="1:15">
      <c r="A175" s="927" t="s">
        <v>223</v>
      </c>
      <c r="B175" s="920"/>
      <c r="C175" s="968">
        <v>18365180</v>
      </c>
      <c r="D175" s="922"/>
      <c r="E175" s="968">
        <v>18785533.425473027</v>
      </c>
      <c r="F175" s="922"/>
      <c r="G175" s="938">
        <v>3.5251000000000001</v>
      </c>
      <c r="H175" s="930" t="s">
        <v>108</v>
      </c>
      <c r="I175" s="975">
        <v>647391</v>
      </c>
      <c r="J175" s="922"/>
      <c r="K175" s="975">
        <v>662209</v>
      </c>
      <c r="L175" s="922"/>
      <c r="M175" s="938">
        <v>3.7427999999999999</v>
      </c>
      <c r="N175" s="930" t="s">
        <v>108</v>
      </c>
      <c r="O175" s="975">
        <v>703105</v>
      </c>
    </row>
    <row r="176" spans="1:15">
      <c r="A176" s="927" t="s">
        <v>132</v>
      </c>
      <c r="B176" s="920"/>
      <c r="C176" s="979">
        <v>209700</v>
      </c>
      <c r="D176" s="922"/>
      <c r="E176" s="979">
        <v>0</v>
      </c>
      <c r="F176" s="922"/>
      <c r="G176" s="920"/>
      <c r="H176" s="922"/>
      <c r="I176" s="980">
        <v>24548</v>
      </c>
      <c r="J176" s="922"/>
      <c r="K176" s="980">
        <v>0</v>
      </c>
      <c r="L176" s="922"/>
      <c r="M176" s="920"/>
      <c r="N176" s="922"/>
      <c r="O176" s="980">
        <v>0</v>
      </c>
    </row>
    <row r="177" spans="1:15" ht="16.5" thickBot="1">
      <c r="A177" s="927" t="s">
        <v>134</v>
      </c>
      <c r="B177" s="920"/>
      <c r="C177" s="988">
        <v>41318680</v>
      </c>
      <c r="D177" s="922"/>
      <c r="E177" s="988">
        <v>42590781.425473027</v>
      </c>
      <c r="F177" s="922"/>
      <c r="G177" s="986"/>
      <c r="H177" s="922"/>
      <c r="I177" s="987">
        <v>3035877</v>
      </c>
      <c r="J177" s="922"/>
      <c r="K177" s="987">
        <v>3139413</v>
      </c>
      <c r="L177" s="922"/>
      <c r="M177" s="986"/>
      <c r="N177" s="922"/>
      <c r="O177" s="987">
        <v>3330645</v>
      </c>
    </row>
    <row r="178" spans="1:15" ht="16.5" thickTop="1">
      <c r="A178" s="920"/>
      <c r="B178" s="920"/>
      <c r="C178" s="968"/>
      <c r="D178" s="922"/>
      <c r="E178" s="968"/>
      <c r="F178" s="922"/>
      <c r="G178" s="920"/>
      <c r="H178" s="922"/>
      <c r="I178" s="920"/>
      <c r="J178" s="922"/>
      <c r="K178" s="920"/>
      <c r="L178" s="922"/>
      <c r="M178" s="920"/>
      <c r="N178" s="922"/>
      <c r="O178" s="920"/>
    </row>
    <row r="179" spans="1:15">
      <c r="A179" s="926" t="s">
        <v>238</v>
      </c>
      <c r="B179" s="920"/>
      <c r="C179" s="920"/>
      <c r="D179" s="922"/>
      <c r="E179" s="920"/>
      <c r="F179" s="922"/>
      <c r="G179" s="920"/>
      <c r="H179" s="922"/>
      <c r="I179" s="920"/>
      <c r="J179" s="922"/>
      <c r="K179" s="920"/>
      <c r="L179" s="922"/>
      <c r="M179" s="920"/>
      <c r="N179" s="922"/>
      <c r="O179" s="920"/>
    </row>
    <row r="180" spans="1:15">
      <c r="A180" s="927" t="s">
        <v>239</v>
      </c>
      <c r="B180" s="920"/>
      <c r="C180" s="968">
        <v>6.1478181818181898</v>
      </c>
      <c r="D180" s="922"/>
      <c r="E180" s="968">
        <v>6</v>
      </c>
      <c r="F180" s="922"/>
      <c r="G180" s="936">
        <v>121</v>
      </c>
      <c r="H180" s="935"/>
      <c r="I180" s="975">
        <v>744</v>
      </c>
      <c r="J180" s="922"/>
      <c r="K180" s="975">
        <v>726</v>
      </c>
      <c r="L180" s="922"/>
      <c r="M180" s="936">
        <v>128</v>
      </c>
      <c r="N180" s="935"/>
      <c r="O180" s="975">
        <v>768</v>
      </c>
    </row>
    <row r="181" spans="1:15">
      <c r="A181" s="927" t="s">
        <v>240</v>
      </c>
      <c r="B181" s="920"/>
      <c r="C181" s="968">
        <v>2705.9897058823508</v>
      </c>
      <c r="D181" s="922"/>
      <c r="E181" s="968">
        <v>2778.3333333333335</v>
      </c>
      <c r="F181" s="922"/>
      <c r="G181" s="936">
        <v>37</v>
      </c>
      <c r="H181" s="935"/>
      <c r="I181" s="975">
        <v>100122</v>
      </c>
      <c r="J181" s="922"/>
      <c r="K181" s="975">
        <v>102798</v>
      </c>
      <c r="L181" s="922"/>
      <c r="M181" s="936">
        <v>39</v>
      </c>
      <c r="N181" s="935"/>
      <c r="O181" s="975">
        <v>108355</v>
      </c>
    </row>
    <row r="182" spans="1:15">
      <c r="A182" s="927" t="s">
        <v>241</v>
      </c>
      <c r="B182" s="920"/>
      <c r="C182" s="968">
        <v>12239.252637362708</v>
      </c>
      <c r="D182" s="922"/>
      <c r="E182" s="968">
        <v>12565</v>
      </c>
      <c r="F182" s="922"/>
      <c r="G182" s="936">
        <v>14</v>
      </c>
      <c r="H182" s="935"/>
      <c r="I182" s="975">
        <v>171350</v>
      </c>
      <c r="J182" s="922"/>
      <c r="K182" s="975">
        <v>175910</v>
      </c>
      <c r="L182" s="922"/>
      <c r="M182" s="936">
        <v>15</v>
      </c>
      <c r="N182" s="935"/>
      <c r="O182" s="975">
        <v>188475</v>
      </c>
    </row>
    <row r="183" spans="1:15">
      <c r="A183" s="927" t="s">
        <v>242</v>
      </c>
      <c r="B183" s="920"/>
      <c r="C183" s="968">
        <v>418002.11517055839</v>
      </c>
      <c r="D183" s="922"/>
      <c r="E183" s="968">
        <v>323633</v>
      </c>
      <c r="F183" s="922"/>
      <c r="G183" s="936">
        <v>7.04</v>
      </c>
      <c r="H183" s="935"/>
      <c r="I183" s="975">
        <v>2942735</v>
      </c>
      <c r="J183" s="922"/>
      <c r="K183" s="975">
        <v>2278376</v>
      </c>
      <c r="L183" s="922"/>
      <c r="M183" s="936">
        <v>7.47</v>
      </c>
      <c r="N183" s="935"/>
      <c r="O183" s="975">
        <v>2417539</v>
      </c>
    </row>
    <row r="184" spans="1:15">
      <c r="A184" s="927" t="s">
        <v>154</v>
      </c>
      <c r="B184" s="920"/>
      <c r="C184" s="968">
        <v>13002.90956951718</v>
      </c>
      <c r="D184" s="922"/>
      <c r="E184" s="968">
        <v>10067</v>
      </c>
      <c r="F184" s="922"/>
      <c r="G184" s="936">
        <v>-1.97</v>
      </c>
      <c r="H184" s="935"/>
      <c r="I184" s="975">
        <v>-25616</v>
      </c>
      <c r="J184" s="922"/>
      <c r="K184" s="975">
        <v>-19832</v>
      </c>
      <c r="L184" s="922"/>
      <c r="M184" s="936">
        <v>-2.09</v>
      </c>
      <c r="N184" s="935"/>
      <c r="O184" s="975">
        <v>-21040</v>
      </c>
    </row>
    <row r="185" spans="1:15">
      <c r="A185" s="927" t="s">
        <v>243</v>
      </c>
      <c r="B185" s="920"/>
      <c r="C185" s="968">
        <v>86203505</v>
      </c>
      <c r="D185" s="922"/>
      <c r="E185" s="968">
        <v>71130178</v>
      </c>
      <c r="F185" s="922"/>
      <c r="G185" s="938">
        <v>7.0156000000000001</v>
      </c>
      <c r="H185" s="930" t="s">
        <v>108</v>
      </c>
      <c r="I185" s="975">
        <v>6047693</v>
      </c>
      <c r="J185" s="922"/>
      <c r="K185" s="975">
        <v>4990209</v>
      </c>
      <c r="L185" s="922"/>
      <c r="M185" s="938">
        <v>7.4417999999999997</v>
      </c>
      <c r="N185" s="930" t="s">
        <v>108</v>
      </c>
      <c r="O185" s="975">
        <v>5293366</v>
      </c>
    </row>
    <row r="186" spans="1:15">
      <c r="A186" s="927" t="s">
        <v>245</v>
      </c>
      <c r="B186" s="920"/>
      <c r="C186" s="979">
        <v>62813919.982138403</v>
      </c>
      <c r="D186" s="922"/>
      <c r="E186" s="979">
        <v>51830436</v>
      </c>
      <c r="F186" s="922"/>
      <c r="G186" s="938">
        <v>5.1855000000000002</v>
      </c>
      <c r="H186" s="930" t="s">
        <v>108</v>
      </c>
      <c r="I186" s="980">
        <v>3257216</v>
      </c>
      <c r="J186" s="922"/>
      <c r="K186" s="980">
        <v>2687667</v>
      </c>
      <c r="L186" s="922"/>
      <c r="M186" s="938">
        <v>5.5004999999999997</v>
      </c>
      <c r="N186" s="930" t="s">
        <v>108</v>
      </c>
      <c r="O186" s="980">
        <v>2850933</v>
      </c>
    </row>
    <row r="187" spans="1:15">
      <c r="A187" s="927" t="s">
        <v>246</v>
      </c>
      <c r="B187" s="920"/>
      <c r="C187" s="979">
        <v>149017424.9821384</v>
      </c>
      <c r="D187" s="922"/>
      <c r="E187" s="993">
        <v>122960614</v>
      </c>
      <c r="F187" s="922"/>
      <c r="G187" s="994"/>
      <c r="H187" s="922"/>
      <c r="I187" s="980">
        <v>12494244</v>
      </c>
      <c r="J187" s="922"/>
      <c r="K187" s="980">
        <v>10215854</v>
      </c>
      <c r="L187" s="922"/>
      <c r="M187" s="994"/>
      <c r="N187" s="922"/>
      <c r="O187" s="980">
        <v>10838396</v>
      </c>
    </row>
    <row r="188" spans="1:15">
      <c r="A188" s="927" t="s">
        <v>247</v>
      </c>
      <c r="B188" s="920"/>
      <c r="C188" s="968"/>
      <c r="D188" s="922"/>
      <c r="E188" s="968"/>
      <c r="F188" s="922"/>
      <c r="G188" s="920"/>
      <c r="H188" s="922"/>
      <c r="I188" s="920"/>
      <c r="J188" s="922"/>
      <c r="K188" s="920"/>
      <c r="L188" s="922"/>
      <c r="M188" s="920"/>
      <c r="N188" s="922"/>
      <c r="O188" s="920"/>
    </row>
    <row r="189" spans="1:15">
      <c r="A189" s="927" t="s">
        <v>632</v>
      </c>
      <c r="B189" s="920"/>
      <c r="C189" s="976">
        <v>5733.7065384615134</v>
      </c>
      <c r="D189" s="922"/>
      <c r="E189" s="976">
        <v>5886</v>
      </c>
      <c r="F189" s="922"/>
      <c r="G189" s="935">
        <v>14</v>
      </c>
      <c r="H189" s="935"/>
      <c r="I189" s="978">
        <v>80272</v>
      </c>
      <c r="J189" s="922"/>
      <c r="K189" s="978">
        <v>82404</v>
      </c>
      <c r="L189" s="922"/>
      <c r="M189" s="935">
        <v>15</v>
      </c>
      <c r="N189" s="935"/>
      <c r="O189" s="978">
        <v>88290</v>
      </c>
    </row>
    <row r="190" spans="1:15">
      <c r="A190" s="927" t="s">
        <v>249</v>
      </c>
      <c r="B190" s="920"/>
      <c r="C190" s="979">
        <v>60804983.670483433</v>
      </c>
      <c r="D190" s="922"/>
      <c r="E190" s="979">
        <v>50172778</v>
      </c>
      <c r="F190" s="922"/>
      <c r="G190" s="939">
        <v>4.8055000000000003</v>
      </c>
      <c r="H190" s="930" t="s">
        <v>108</v>
      </c>
      <c r="I190" s="991">
        <v>2921983</v>
      </c>
      <c r="J190" s="922"/>
      <c r="K190" s="991">
        <v>2411053</v>
      </c>
      <c r="L190" s="922"/>
      <c r="M190" s="938">
        <v>5.0974000000000004</v>
      </c>
      <c r="N190" s="930" t="s">
        <v>108</v>
      </c>
      <c r="O190" s="980">
        <v>2557507</v>
      </c>
    </row>
    <row r="191" spans="1:15">
      <c r="A191" s="927" t="s">
        <v>250</v>
      </c>
      <c r="B191" s="920"/>
      <c r="C191" s="979">
        <v>60804983.670483433</v>
      </c>
      <c r="D191" s="922"/>
      <c r="E191" s="979">
        <v>50172778</v>
      </c>
      <c r="F191" s="922"/>
      <c r="G191" s="994"/>
      <c r="H191" s="922"/>
      <c r="I191" s="980">
        <v>3002255</v>
      </c>
      <c r="J191" s="922"/>
      <c r="K191" s="980">
        <v>2493457</v>
      </c>
      <c r="L191" s="922"/>
      <c r="M191" s="994"/>
      <c r="N191" s="922"/>
      <c r="O191" s="980">
        <v>2645797</v>
      </c>
    </row>
    <row r="192" spans="1:15">
      <c r="A192" s="927" t="s">
        <v>132</v>
      </c>
      <c r="B192" s="920"/>
      <c r="C192" s="979">
        <v>13795784</v>
      </c>
      <c r="D192" s="922"/>
      <c r="E192" s="979">
        <v>0</v>
      </c>
      <c r="F192" s="922"/>
      <c r="G192" s="920"/>
      <c r="H192" s="922"/>
      <c r="I192" s="980">
        <v>1439663</v>
      </c>
      <c r="J192" s="922"/>
      <c r="K192" s="980">
        <v>0</v>
      </c>
      <c r="L192" s="922"/>
      <c r="M192" s="920"/>
      <c r="N192" s="922"/>
      <c r="O192" s="980">
        <v>0</v>
      </c>
    </row>
    <row r="193" spans="1:15" ht="16.5" thickBot="1">
      <c r="A193" s="927" t="s">
        <v>251</v>
      </c>
      <c r="B193" s="920"/>
      <c r="C193" s="988">
        <v>223618192.65262184</v>
      </c>
      <c r="D193" s="922"/>
      <c r="E193" s="988">
        <v>173133392</v>
      </c>
      <c r="F193" s="922"/>
      <c r="G193" s="986"/>
      <c r="H193" s="922"/>
      <c r="I193" s="987">
        <v>16936162</v>
      </c>
      <c r="J193" s="922"/>
      <c r="K193" s="987">
        <v>12709311</v>
      </c>
      <c r="L193" s="922"/>
      <c r="M193" s="986"/>
      <c r="N193" s="922"/>
      <c r="O193" s="987">
        <v>13484193</v>
      </c>
    </row>
    <row r="194" spans="1:15" ht="16.5" thickTop="1">
      <c r="A194" s="920"/>
      <c r="B194" s="920"/>
      <c r="C194" s="968"/>
      <c r="D194" s="922"/>
      <c r="E194" s="968"/>
      <c r="F194" s="922"/>
      <c r="G194" s="920"/>
      <c r="H194" s="922"/>
      <c r="I194" s="920"/>
      <c r="J194" s="922"/>
      <c r="K194" s="920"/>
      <c r="L194" s="922"/>
      <c r="M194" s="920"/>
      <c r="N194" s="922"/>
      <c r="O194" s="920"/>
    </row>
    <row r="195" spans="1:15">
      <c r="A195" s="926" t="s">
        <v>252</v>
      </c>
      <c r="B195" s="920"/>
      <c r="C195" s="968"/>
      <c r="D195" s="922"/>
      <c r="E195" s="968"/>
      <c r="F195" s="922"/>
      <c r="G195" s="920"/>
      <c r="H195" s="922"/>
      <c r="I195" s="920"/>
      <c r="J195" s="922"/>
      <c r="K195" s="920"/>
      <c r="L195" s="922"/>
      <c r="M195" s="920"/>
      <c r="N195" s="922"/>
      <c r="O195" s="920"/>
    </row>
    <row r="196" spans="1:15">
      <c r="A196" s="927" t="s">
        <v>239</v>
      </c>
      <c r="B196" s="920"/>
      <c r="C196" s="968">
        <v>5</v>
      </c>
      <c r="D196" s="922"/>
      <c r="E196" s="968">
        <v>5</v>
      </c>
      <c r="F196" s="922"/>
      <c r="G196" s="936">
        <v>121</v>
      </c>
      <c r="H196" s="935"/>
      <c r="I196" s="975">
        <v>605</v>
      </c>
      <c r="J196" s="922"/>
      <c r="K196" s="975">
        <v>605</v>
      </c>
      <c r="L196" s="922"/>
      <c r="M196" s="936">
        <v>128</v>
      </c>
      <c r="N196" s="935"/>
      <c r="O196" s="975">
        <v>640</v>
      </c>
    </row>
    <row r="197" spans="1:15">
      <c r="A197" s="927" t="s">
        <v>240</v>
      </c>
      <c r="B197" s="920"/>
      <c r="C197" s="968">
        <v>248.904117647059</v>
      </c>
      <c r="D197" s="922"/>
      <c r="E197" s="968">
        <v>256</v>
      </c>
      <c r="F197" s="922"/>
      <c r="G197" s="936">
        <v>37</v>
      </c>
      <c r="H197" s="935"/>
      <c r="I197" s="975">
        <v>9209</v>
      </c>
      <c r="J197" s="922"/>
      <c r="K197" s="975">
        <v>9472</v>
      </c>
      <c r="L197" s="922"/>
      <c r="M197" s="936">
        <v>39</v>
      </c>
      <c r="N197" s="935"/>
      <c r="O197" s="975">
        <v>9984</v>
      </c>
    </row>
    <row r="198" spans="1:15">
      <c r="A198" s="927" t="s">
        <v>253</v>
      </c>
      <c r="B198" s="920"/>
      <c r="C198" s="968">
        <v>1112.336208791213</v>
      </c>
      <c r="D198" s="922"/>
      <c r="E198" s="976">
        <v>1143</v>
      </c>
      <c r="F198" s="922"/>
      <c r="G198" s="936">
        <v>14</v>
      </c>
      <c r="H198" s="935"/>
      <c r="I198" s="975">
        <v>15573</v>
      </c>
      <c r="J198" s="922"/>
      <c r="K198" s="975">
        <v>16002</v>
      </c>
      <c r="L198" s="922"/>
      <c r="M198" s="936">
        <v>15</v>
      </c>
      <c r="N198" s="935"/>
      <c r="O198" s="975">
        <v>17145</v>
      </c>
    </row>
    <row r="199" spans="1:15">
      <c r="A199" s="927" t="s">
        <v>242</v>
      </c>
      <c r="B199" s="920"/>
      <c r="C199" s="968">
        <v>48487.952936442278</v>
      </c>
      <c r="D199" s="922"/>
      <c r="E199" s="976">
        <v>37541</v>
      </c>
      <c r="F199" s="922"/>
      <c r="G199" s="936">
        <v>7.04</v>
      </c>
      <c r="H199" s="935"/>
      <c r="I199" s="975">
        <v>341355</v>
      </c>
      <c r="J199" s="922"/>
      <c r="K199" s="975">
        <v>264289</v>
      </c>
      <c r="L199" s="922"/>
      <c r="M199" s="936">
        <v>7.47</v>
      </c>
      <c r="N199" s="935"/>
      <c r="O199" s="975">
        <v>280431</v>
      </c>
    </row>
    <row r="200" spans="1:15">
      <c r="A200" s="927" t="s">
        <v>254</v>
      </c>
      <c r="B200" s="920"/>
      <c r="C200" s="968">
        <v>1339.431588132637</v>
      </c>
      <c r="D200" s="922"/>
      <c r="E200" s="976">
        <v>1037</v>
      </c>
      <c r="F200" s="922"/>
      <c r="G200" s="936">
        <v>-1.97</v>
      </c>
      <c r="H200" s="935"/>
      <c r="I200" s="975">
        <v>-2639</v>
      </c>
      <c r="J200" s="922"/>
      <c r="K200" s="975">
        <v>-2043</v>
      </c>
      <c r="L200" s="922"/>
      <c r="M200" s="936">
        <v>-2.09</v>
      </c>
      <c r="N200" s="935"/>
      <c r="O200" s="975">
        <v>-2167</v>
      </c>
    </row>
    <row r="201" spans="1:15">
      <c r="A201" s="927" t="s">
        <v>236</v>
      </c>
      <c r="B201" s="920"/>
      <c r="C201" s="968">
        <v>2741707</v>
      </c>
      <c r="D201" s="922"/>
      <c r="E201" s="976">
        <v>2262299</v>
      </c>
      <c r="F201" s="922"/>
      <c r="G201" s="938">
        <v>13.860300000000001</v>
      </c>
      <c r="H201" s="930" t="s">
        <v>108</v>
      </c>
      <c r="I201" s="975">
        <v>380009</v>
      </c>
      <c r="J201" s="922"/>
      <c r="K201" s="975">
        <v>313561</v>
      </c>
      <c r="L201" s="922"/>
      <c r="M201" s="938">
        <v>14.702299999999999</v>
      </c>
      <c r="N201" s="930" t="s">
        <v>108</v>
      </c>
      <c r="O201" s="975">
        <v>332610</v>
      </c>
    </row>
    <row r="202" spans="1:15">
      <c r="A202" s="927" t="s">
        <v>223</v>
      </c>
      <c r="B202" s="920"/>
      <c r="C202" s="979">
        <v>10391193.195317743</v>
      </c>
      <c r="D202" s="922"/>
      <c r="E202" s="979">
        <v>8574215</v>
      </c>
      <c r="F202" s="922"/>
      <c r="G202" s="939">
        <v>4.0251999999999999</v>
      </c>
      <c r="H202" s="930" t="s">
        <v>108</v>
      </c>
      <c r="I202" s="991">
        <v>418266</v>
      </c>
      <c r="J202" s="922"/>
      <c r="K202" s="991">
        <v>345129</v>
      </c>
      <c r="L202" s="922"/>
      <c r="M202" s="939">
        <v>4.2603999999999997</v>
      </c>
      <c r="N202" s="930" t="s">
        <v>108</v>
      </c>
      <c r="O202" s="980">
        <v>365296</v>
      </c>
    </row>
    <row r="203" spans="1:15">
      <c r="A203" s="927" t="s">
        <v>246</v>
      </c>
      <c r="B203" s="920"/>
      <c r="C203" s="979">
        <v>13132900.195317743</v>
      </c>
      <c r="D203" s="922"/>
      <c r="E203" s="979">
        <v>10836514</v>
      </c>
      <c r="F203" s="922"/>
      <c r="G203" s="994"/>
      <c r="H203" s="922"/>
      <c r="I203" s="980">
        <v>1162378</v>
      </c>
      <c r="J203" s="922"/>
      <c r="K203" s="980">
        <v>947015</v>
      </c>
      <c r="L203" s="922"/>
      <c r="M203" s="994"/>
      <c r="N203" s="922"/>
      <c r="O203" s="980">
        <v>1003939</v>
      </c>
    </row>
    <row r="204" spans="1:15">
      <c r="A204" s="927" t="s">
        <v>247</v>
      </c>
      <c r="B204" s="920"/>
      <c r="C204" s="968"/>
      <c r="D204" s="922"/>
      <c r="E204" s="968"/>
      <c r="F204" s="922"/>
      <c r="G204" s="920"/>
      <c r="H204" s="922"/>
      <c r="I204" s="920"/>
      <c r="J204" s="922"/>
      <c r="K204" s="920"/>
      <c r="L204" s="922"/>
      <c r="M204" s="920"/>
      <c r="N204" s="922"/>
      <c r="O204" s="920"/>
    </row>
    <row r="205" spans="1:15">
      <c r="A205" s="927" t="s">
        <v>632</v>
      </c>
      <c r="B205" s="920"/>
      <c r="C205" s="976">
        <v>554.67543956043926</v>
      </c>
      <c r="D205" s="922"/>
      <c r="E205" s="976">
        <v>570</v>
      </c>
      <c r="F205" s="922"/>
      <c r="G205" s="935">
        <v>14</v>
      </c>
      <c r="H205" s="935"/>
      <c r="I205" s="978">
        <v>7765</v>
      </c>
      <c r="J205" s="922"/>
      <c r="K205" s="978">
        <v>7980</v>
      </c>
      <c r="L205" s="922"/>
      <c r="M205" s="935">
        <v>15</v>
      </c>
      <c r="N205" s="935"/>
      <c r="O205" s="978">
        <v>8550</v>
      </c>
    </row>
    <row r="206" spans="1:15">
      <c r="A206" s="927" t="s">
        <v>249</v>
      </c>
      <c r="B206" s="920"/>
      <c r="C206" s="979">
        <v>7174632.0726941908</v>
      </c>
      <c r="D206" s="922"/>
      <c r="E206" s="979">
        <v>5920094</v>
      </c>
      <c r="F206" s="922"/>
      <c r="G206" s="939">
        <v>4.8055000000000003</v>
      </c>
      <c r="H206" s="930" t="s">
        <v>108</v>
      </c>
      <c r="I206" s="991">
        <v>344777</v>
      </c>
      <c r="J206" s="922"/>
      <c r="K206" s="991">
        <v>284490</v>
      </c>
      <c r="L206" s="922"/>
      <c r="M206" s="939">
        <v>5.0974000000000004</v>
      </c>
      <c r="N206" s="930" t="s">
        <v>108</v>
      </c>
      <c r="O206" s="980">
        <v>301771</v>
      </c>
    </row>
    <row r="207" spans="1:15">
      <c r="A207" s="927" t="s">
        <v>250</v>
      </c>
      <c r="B207" s="920"/>
      <c r="C207" s="979">
        <v>7174632.0726941908</v>
      </c>
      <c r="D207" s="922"/>
      <c r="E207" s="979">
        <v>5920094</v>
      </c>
      <c r="F207" s="922"/>
      <c r="G207" s="994"/>
      <c r="H207" s="922"/>
      <c r="I207" s="980">
        <v>352542</v>
      </c>
      <c r="J207" s="922"/>
      <c r="K207" s="980">
        <v>292470</v>
      </c>
      <c r="L207" s="922"/>
      <c r="M207" s="994"/>
      <c r="N207" s="922"/>
      <c r="O207" s="980">
        <v>310321</v>
      </c>
    </row>
    <row r="208" spans="1:15">
      <c r="A208" s="927" t="s">
        <v>132</v>
      </c>
      <c r="B208" s="920"/>
      <c r="C208" s="979">
        <v>1335216</v>
      </c>
      <c r="D208" s="922"/>
      <c r="E208" s="979">
        <v>0</v>
      </c>
      <c r="F208" s="922"/>
      <c r="G208" s="920"/>
      <c r="H208" s="922"/>
      <c r="I208" s="980">
        <v>139337</v>
      </c>
      <c r="J208" s="922"/>
      <c r="K208" s="980">
        <v>0</v>
      </c>
      <c r="L208" s="922"/>
      <c r="M208" s="920"/>
      <c r="N208" s="922"/>
      <c r="O208" s="980">
        <v>0</v>
      </c>
    </row>
    <row r="209" spans="1:15" ht="16.5" thickBot="1">
      <c r="A209" s="927" t="s">
        <v>255</v>
      </c>
      <c r="B209" s="920"/>
      <c r="C209" s="988">
        <v>21642748.268011935</v>
      </c>
      <c r="D209" s="922"/>
      <c r="E209" s="988">
        <v>16756608</v>
      </c>
      <c r="F209" s="922"/>
      <c r="G209" s="986"/>
      <c r="H209" s="922"/>
      <c r="I209" s="987">
        <v>1654257</v>
      </c>
      <c r="J209" s="922"/>
      <c r="K209" s="987">
        <v>1239485</v>
      </c>
      <c r="L209" s="922"/>
      <c r="M209" s="986"/>
      <c r="N209" s="922"/>
      <c r="O209" s="987">
        <v>1314260</v>
      </c>
    </row>
    <row r="210" spans="1:15" ht="16.5" thickTop="1">
      <c r="A210" s="920"/>
      <c r="B210" s="920"/>
      <c r="C210" s="968" t="s">
        <v>256</v>
      </c>
      <c r="D210" s="922"/>
      <c r="E210" s="968"/>
      <c r="F210" s="922"/>
      <c r="G210" s="920"/>
      <c r="H210" s="922"/>
      <c r="I210" s="920"/>
      <c r="J210" s="922"/>
      <c r="K210" s="920"/>
      <c r="L210" s="922"/>
      <c r="M210" s="920"/>
      <c r="N210" s="922"/>
      <c r="O210" s="920"/>
    </row>
    <row r="211" spans="1:15">
      <c r="A211" s="926" t="s">
        <v>257</v>
      </c>
      <c r="B211" s="920"/>
      <c r="C211" s="968"/>
      <c r="D211" s="922"/>
      <c r="E211" s="968"/>
      <c r="F211" s="922"/>
      <c r="G211" s="920"/>
      <c r="H211" s="922"/>
      <c r="I211" s="920"/>
      <c r="J211" s="922"/>
      <c r="K211" s="920"/>
      <c r="L211" s="922"/>
      <c r="M211" s="920"/>
      <c r="N211" s="922"/>
      <c r="O211" s="920"/>
    </row>
    <row r="212" spans="1:15">
      <c r="A212" s="931" t="s">
        <v>633</v>
      </c>
      <c r="B212" s="920"/>
      <c r="C212" s="976"/>
      <c r="D212" s="922"/>
      <c r="E212" s="976"/>
      <c r="F212" s="922"/>
      <c r="G212" s="929"/>
      <c r="H212" s="929"/>
      <c r="I212" s="978"/>
      <c r="J212" s="922"/>
      <c r="K212" s="978"/>
      <c r="L212" s="922"/>
      <c r="M212" s="929"/>
      <c r="N212" s="929"/>
      <c r="O212" s="978"/>
    </row>
    <row r="213" spans="1:15">
      <c r="A213" s="927" t="s">
        <v>259</v>
      </c>
      <c r="B213" s="920"/>
      <c r="C213" s="968">
        <v>34631.758679456099</v>
      </c>
      <c r="D213" s="922"/>
      <c r="E213" s="968">
        <v>34757</v>
      </c>
      <c r="F213" s="922"/>
      <c r="G213" s="928">
        <v>11.8</v>
      </c>
      <c r="H213" s="929"/>
      <c r="I213" s="975">
        <v>408655</v>
      </c>
      <c r="J213" s="922"/>
      <c r="K213" s="975">
        <v>410133</v>
      </c>
      <c r="L213" s="922"/>
      <c r="M213" s="928">
        <v>11.8</v>
      </c>
      <c r="N213" s="929"/>
      <c r="O213" s="975">
        <v>410133</v>
      </c>
    </row>
    <row r="214" spans="1:15">
      <c r="A214" s="927" t="s">
        <v>260</v>
      </c>
      <c r="B214" s="920"/>
      <c r="C214" s="968">
        <v>217949.44919421201</v>
      </c>
      <c r="D214" s="922"/>
      <c r="E214" s="968">
        <v>218738</v>
      </c>
      <c r="F214" s="922"/>
      <c r="G214" s="928">
        <v>12.78</v>
      </c>
      <c r="H214" s="929"/>
      <c r="I214" s="975">
        <v>2785394</v>
      </c>
      <c r="J214" s="922"/>
      <c r="K214" s="975">
        <v>2795472</v>
      </c>
      <c r="L214" s="922"/>
      <c r="M214" s="928">
        <v>12.78</v>
      </c>
      <c r="N214" s="929"/>
      <c r="O214" s="975">
        <v>2795472</v>
      </c>
    </row>
    <row r="215" spans="1:15">
      <c r="A215" s="927" t="s">
        <v>261</v>
      </c>
      <c r="B215" s="920"/>
      <c r="C215" s="968">
        <v>131.99916509682799</v>
      </c>
      <c r="D215" s="922"/>
      <c r="E215" s="968">
        <v>132</v>
      </c>
      <c r="F215" s="922"/>
      <c r="G215" s="928">
        <v>11.5</v>
      </c>
      <c r="H215" s="929"/>
      <c r="I215" s="975">
        <v>1518</v>
      </c>
      <c r="J215" s="922"/>
      <c r="K215" s="975">
        <v>1518</v>
      </c>
      <c r="L215" s="922"/>
      <c r="M215" s="928">
        <v>11.5</v>
      </c>
      <c r="N215" s="929"/>
      <c r="O215" s="975">
        <v>1518</v>
      </c>
    </row>
    <row r="216" spans="1:15">
      <c r="A216" s="927" t="s">
        <v>262</v>
      </c>
      <c r="B216" s="920"/>
      <c r="C216" s="968">
        <v>407.80011404936499</v>
      </c>
      <c r="D216" s="922"/>
      <c r="E216" s="968">
        <v>409</v>
      </c>
      <c r="F216" s="922"/>
      <c r="G216" s="928">
        <v>46.54</v>
      </c>
      <c r="H216" s="929"/>
      <c r="I216" s="975">
        <v>18979</v>
      </c>
      <c r="J216" s="922"/>
      <c r="K216" s="975">
        <v>19035</v>
      </c>
      <c r="L216" s="922"/>
      <c r="M216" s="928">
        <v>46.54</v>
      </c>
      <c r="N216" s="929"/>
      <c r="O216" s="975">
        <v>19035</v>
      </c>
    </row>
    <row r="217" spans="1:15">
      <c r="A217" s="927" t="s">
        <v>263</v>
      </c>
      <c r="B217" s="920"/>
      <c r="C217" s="968">
        <v>60.100225656849098</v>
      </c>
      <c r="D217" s="922"/>
      <c r="E217" s="968">
        <v>60</v>
      </c>
      <c r="F217" s="922"/>
      <c r="G217" s="928">
        <v>38.049999999999997</v>
      </c>
      <c r="H217" s="929"/>
      <c r="I217" s="975">
        <v>2287</v>
      </c>
      <c r="J217" s="922"/>
      <c r="K217" s="975">
        <v>2283</v>
      </c>
      <c r="L217" s="922"/>
      <c r="M217" s="928">
        <v>38.049999999999997</v>
      </c>
      <c r="N217" s="929"/>
      <c r="O217" s="975">
        <v>2283</v>
      </c>
    </row>
    <row r="218" spans="1:15">
      <c r="A218" s="927" t="s">
        <v>264</v>
      </c>
      <c r="B218" s="920"/>
      <c r="C218" s="968">
        <v>21081.424778109598</v>
      </c>
      <c r="D218" s="922"/>
      <c r="E218" s="968">
        <v>21158</v>
      </c>
      <c r="F218" s="922"/>
      <c r="G218" s="928">
        <v>16.940000000000001</v>
      </c>
      <c r="H218" s="929"/>
      <c r="I218" s="975">
        <v>357119</v>
      </c>
      <c r="J218" s="922"/>
      <c r="K218" s="975">
        <v>358417</v>
      </c>
      <c r="L218" s="922"/>
      <c r="M218" s="928">
        <v>16.940000000000001</v>
      </c>
      <c r="N218" s="929"/>
      <c r="O218" s="975">
        <v>358417</v>
      </c>
    </row>
    <row r="219" spans="1:15">
      <c r="A219" s="927" t="s">
        <v>265</v>
      </c>
      <c r="B219" s="920"/>
      <c r="C219" s="968">
        <v>96.100079288545999</v>
      </c>
      <c r="D219" s="922"/>
      <c r="E219" s="968">
        <v>96</v>
      </c>
      <c r="F219" s="922"/>
      <c r="G219" s="928">
        <v>15.25</v>
      </c>
      <c r="H219" s="929"/>
      <c r="I219" s="975">
        <v>1466</v>
      </c>
      <c r="J219" s="922"/>
      <c r="K219" s="975">
        <v>1464</v>
      </c>
      <c r="L219" s="922"/>
      <c r="M219" s="928">
        <v>15.25</v>
      </c>
      <c r="N219" s="929"/>
      <c r="O219" s="975">
        <v>1464</v>
      </c>
    </row>
    <row r="220" spans="1:15">
      <c r="A220" s="927" t="s">
        <v>266</v>
      </c>
      <c r="B220" s="920"/>
      <c r="C220" s="968">
        <v>2412.0002478849601</v>
      </c>
      <c r="D220" s="922"/>
      <c r="E220" s="968">
        <v>2421</v>
      </c>
      <c r="F220" s="922"/>
      <c r="G220" s="928">
        <v>47.83</v>
      </c>
      <c r="H220" s="929"/>
      <c r="I220" s="975">
        <v>115366</v>
      </c>
      <c r="J220" s="922"/>
      <c r="K220" s="975">
        <v>115796</v>
      </c>
      <c r="L220" s="922"/>
      <c r="M220" s="928">
        <v>47.83</v>
      </c>
      <c r="N220" s="929"/>
      <c r="O220" s="975">
        <v>115796</v>
      </c>
    </row>
    <row r="221" spans="1:15">
      <c r="A221" s="927" t="s">
        <v>267</v>
      </c>
      <c r="B221" s="920"/>
      <c r="C221" s="968">
        <v>882.80299316901505</v>
      </c>
      <c r="D221" s="922"/>
      <c r="E221" s="968">
        <v>886</v>
      </c>
      <c r="F221" s="922"/>
      <c r="G221" s="928">
        <v>39.340000000000003</v>
      </c>
      <c r="H221" s="929"/>
      <c r="I221" s="975">
        <v>34729</v>
      </c>
      <c r="J221" s="922"/>
      <c r="K221" s="975">
        <v>34855</v>
      </c>
      <c r="L221" s="922"/>
      <c r="M221" s="928">
        <v>39.340000000000003</v>
      </c>
      <c r="N221" s="929"/>
      <c r="O221" s="975">
        <v>34855</v>
      </c>
    </row>
    <row r="222" spans="1:15">
      <c r="A222" s="927" t="s">
        <v>268</v>
      </c>
      <c r="B222" s="920"/>
      <c r="C222" s="968">
        <v>26083.377865614799</v>
      </c>
      <c r="D222" s="922"/>
      <c r="E222" s="968">
        <v>26178</v>
      </c>
      <c r="F222" s="922"/>
      <c r="G222" s="928">
        <v>21.14</v>
      </c>
      <c r="H222" s="929"/>
      <c r="I222" s="975">
        <v>551403</v>
      </c>
      <c r="J222" s="922"/>
      <c r="K222" s="975">
        <v>553403</v>
      </c>
      <c r="L222" s="922"/>
      <c r="M222" s="928">
        <v>21.14</v>
      </c>
      <c r="N222" s="929"/>
      <c r="O222" s="975">
        <v>553403</v>
      </c>
    </row>
    <row r="223" spans="1:15">
      <c r="A223" s="927" t="s">
        <v>269</v>
      </c>
      <c r="B223" s="920"/>
      <c r="C223" s="968">
        <v>11.9998818206004</v>
      </c>
      <c r="D223" s="922"/>
      <c r="E223" s="968">
        <v>12</v>
      </c>
      <c r="F223" s="922"/>
      <c r="G223" s="928">
        <v>19.03</v>
      </c>
      <c r="H223" s="929"/>
      <c r="I223" s="975">
        <v>228</v>
      </c>
      <c r="J223" s="922"/>
      <c r="K223" s="975">
        <v>228</v>
      </c>
      <c r="L223" s="922"/>
      <c r="M223" s="928">
        <v>19.03</v>
      </c>
      <c r="N223" s="929"/>
      <c r="O223" s="975">
        <v>228</v>
      </c>
    </row>
    <row r="224" spans="1:15">
      <c r="A224" s="927" t="s">
        <v>270</v>
      </c>
      <c r="B224" s="920"/>
      <c r="C224" s="968">
        <v>1247.9999936731199</v>
      </c>
      <c r="D224" s="922"/>
      <c r="E224" s="968">
        <v>1253</v>
      </c>
      <c r="F224" s="922"/>
      <c r="G224" s="928">
        <v>51.48</v>
      </c>
      <c r="H224" s="929"/>
      <c r="I224" s="975">
        <v>64247</v>
      </c>
      <c r="J224" s="922"/>
      <c r="K224" s="975">
        <v>64504</v>
      </c>
      <c r="L224" s="922"/>
      <c r="M224" s="928">
        <v>51.48</v>
      </c>
      <c r="N224" s="929"/>
      <c r="O224" s="975">
        <v>64504</v>
      </c>
    </row>
    <row r="225" spans="1:15">
      <c r="A225" s="927" t="s">
        <v>271</v>
      </c>
      <c r="B225" s="920"/>
      <c r="C225" s="968">
        <v>0</v>
      </c>
      <c r="D225" s="922"/>
      <c r="E225" s="968">
        <v>0</v>
      </c>
      <c r="F225" s="922"/>
      <c r="G225" s="928">
        <v>43.01</v>
      </c>
      <c r="H225" s="929"/>
      <c r="I225" s="975">
        <v>0</v>
      </c>
      <c r="J225" s="922"/>
      <c r="K225" s="975">
        <v>0</v>
      </c>
      <c r="L225" s="922"/>
      <c r="M225" s="928">
        <v>43.01</v>
      </c>
      <c r="N225" s="929"/>
      <c r="O225" s="975">
        <v>0</v>
      </c>
    </row>
    <row r="226" spans="1:15">
      <c r="A226" s="927" t="s">
        <v>272</v>
      </c>
      <c r="B226" s="920"/>
      <c r="C226" s="968">
        <v>11364.575808797001</v>
      </c>
      <c r="D226" s="922"/>
      <c r="E226" s="968">
        <v>11406</v>
      </c>
      <c r="F226" s="922"/>
      <c r="G226" s="928">
        <v>26.02</v>
      </c>
      <c r="H226" s="929"/>
      <c r="I226" s="975">
        <v>295706</v>
      </c>
      <c r="J226" s="922"/>
      <c r="K226" s="975">
        <v>296784</v>
      </c>
      <c r="L226" s="922"/>
      <c r="M226" s="928">
        <v>26.02</v>
      </c>
      <c r="N226" s="929"/>
      <c r="O226" s="975">
        <v>296784</v>
      </c>
    </row>
    <row r="227" spans="1:15">
      <c r="A227" s="927" t="s">
        <v>273</v>
      </c>
      <c r="B227" s="920"/>
      <c r="C227" s="968">
        <v>0</v>
      </c>
      <c r="D227" s="922"/>
      <c r="E227" s="968">
        <v>0</v>
      </c>
      <c r="F227" s="922"/>
      <c r="G227" s="928">
        <v>51.54</v>
      </c>
      <c r="H227" s="929"/>
      <c r="I227" s="975">
        <v>0</v>
      </c>
      <c r="J227" s="922"/>
      <c r="K227" s="975">
        <v>0</v>
      </c>
      <c r="L227" s="922"/>
      <c r="M227" s="928">
        <v>51.54</v>
      </c>
      <c r="N227" s="929"/>
      <c r="O227" s="975">
        <v>0</v>
      </c>
    </row>
    <row r="228" spans="1:15">
      <c r="A228" s="931" t="s">
        <v>634</v>
      </c>
      <c r="B228" s="920"/>
      <c r="C228" s="968"/>
      <c r="D228" s="922"/>
      <c r="E228" s="968"/>
      <c r="F228" s="922"/>
      <c r="G228" s="936"/>
      <c r="H228" s="935"/>
      <c r="I228" s="975"/>
      <c r="J228" s="922"/>
      <c r="K228" s="975"/>
      <c r="L228" s="922"/>
      <c r="M228" s="936"/>
      <c r="N228" s="935"/>
      <c r="O228" s="975"/>
    </row>
    <row r="229" spans="1:15">
      <c r="A229" s="927" t="s">
        <v>275</v>
      </c>
      <c r="B229" s="920"/>
      <c r="C229" s="968">
        <v>36.000106076153102</v>
      </c>
      <c r="D229" s="922"/>
      <c r="E229" s="968">
        <v>36</v>
      </c>
      <c r="F229" s="922"/>
      <c r="G229" s="928">
        <v>48.74</v>
      </c>
      <c r="H229" s="929"/>
      <c r="I229" s="975">
        <v>1755</v>
      </c>
      <c r="J229" s="922"/>
      <c r="K229" s="975">
        <v>1755</v>
      </c>
      <c r="L229" s="922"/>
      <c r="M229" s="928">
        <v>48.74</v>
      </c>
      <c r="N229" s="929"/>
      <c r="O229" s="975">
        <v>1755</v>
      </c>
    </row>
    <row r="230" spans="1:15">
      <c r="A230" s="927" t="s">
        <v>276</v>
      </c>
      <c r="B230" s="920"/>
      <c r="C230" s="968">
        <v>599.99987599210203</v>
      </c>
      <c r="D230" s="922"/>
      <c r="E230" s="968">
        <v>602</v>
      </c>
      <c r="F230" s="922"/>
      <c r="G230" s="928">
        <v>40.270000000000003</v>
      </c>
      <c r="H230" s="929"/>
      <c r="I230" s="975">
        <v>24162</v>
      </c>
      <c r="J230" s="922"/>
      <c r="K230" s="975">
        <v>24243</v>
      </c>
      <c r="L230" s="922"/>
      <c r="M230" s="928">
        <v>40.270000000000003</v>
      </c>
      <c r="N230" s="929"/>
      <c r="O230" s="975">
        <v>24243</v>
      </c>
    </row>
    <row r="231" spans="1:15">
      <c r="A231" s="927" t="s">
        <v>277</v>
      </c>
      <c r="B231" s="920"/>
      <c r="C231" s="968">
        <v>126.432780983016</v>
      </c>
      <c r="D231" s="922"/>
      <c r="E231" s="968">
        <v>127</v>
      </c>
      <c r="F231" s="922"/>
      <c r="G231" s="928">
        <v>20.13</v>
      </c>
      <c r="H231" s="929"/>
      <c r="I231" s="975">
        <v>2545</v>
      </c>
      <c r="J231" s="922"/>
      <c r="K231" s="975">
        <v>2557</v>
      </c>
      <c r="L231" s="922"/>
      <c r="M231" s="928">
        <v>20.13</v>
      </c>
      <c r="N231" s="929"/>
      <c r="O231" s="975">
        <v>2557</v>
      </c>
    </row>
    <row r="232" spans="1:15">
      <c r="A232" s="927" t="s">
        <v>278</v>
      </c>
      <c r="B232" s="920"/>
      <c r="C232" s="968">
        <v>0</v>
      </c>
      <c r="D232" s="922"/>
      <c r="E232" s="968">
        <v>0</v>
      </c>
      <c r="F232" s="922"/>
      <c r="G232" s="928">
        <v>50.65</v>
      </c>
      <c r="H232" s="929"/>
      <c r="I232" s="975">
        <v>0</v>
      </c>
      <c r="J232" s="922"/>
      <c r="K232" s="975">
        <v>0</v>
      </c>
      <c r="L232" s="922"/>
      <c r="M232" s="928">
        <v>50.65</v>
      </c>
      <c r="N232" s="929"/>
      <c r="O232" s="975">
        <v>0</v>
      </c>
    </row>
    <row r="233" spans="1:15">
      <c r="A233" s="927" t="s">
        <v>279</v>
      </c>
      <c r="B233" s="920"/>
      <c r="C233" s="968">
        <v>1592.29414996389</v>
      </c>
      <c r="D233" s="922"/>
      <c r="E233" s="968">
        <v>1598</v>
      </c>
      <c r="F233" s="922"/>
      <c r="G233" s="928">
        <v>42.17</v>
      </c>
      <c r="H233" s="929"/>
      <c r="I233" s="975">
        <v>67147</v>
      </c>
      <c r="J233" s="922"/>
      <c r="K233" s="975">
        <v>67388</v>
      </c>
      <c r="L233" s="922"/>
      <c r="M233" s="928">
        <v>42.17</v>
      </c>
      <c r="N233" s="929"/>
      <c r="O233" s="975">
        <v>67388</v>
      </c>
    </row>
    <row r="234" spans="1:15">
      <c r="A234" s="927" t="s">
        <v>280</v>
      </c>
      <c r="B234" s="920"/>
      <c r="C234" s="968">
        <v>384.19996254031201</v>
      </c>
      <c r="D234" s="922"/>
      <c r="E234" s="968">
        <v>386</v>
      </c>
      <c r="F234" s="922"/>
      <c r="G234" s="928">
        <v>22.13</v>
      </c>
      <c r="H234" s="929"/>
      <c r="I234" s="975">
        <v>8502</v>
      </c>
      <c r="J234" s="922"/>
      <c r="K234" s="975">
        <v>8542</v>
      </c>
      <c r="L234" s="922"/>
      <c r="M234" s="928">
        <v>22.13</v>
      </c>
      <c r="N234" s="929"/>
      <c r="O234" s="975">
        <v>8542</v>
      </c>
    </row>
    <row r="235" spans="1:15">
      <c r="A235" s="927" t="s">
        <v>281</v>
      </c>
      <c r="B235" s="920"/>
      <c r="C235" s="968">
        <v>41.066679083628202</v>
      </c>
      <c r="D235" s="922"/>
      <c r="E235" s="968">
        <v>41</v>
      </c>
      <c r="F235" s="922"/>
      <c r="G235" s="928">
        <v>53.69</v>
      </c>
      <c r="H235" s="929"/>
      <c r="I235" s="975">
        <v>2205</v>
      </c>
      <c r="J235" s="922"/>
      <c r="K235" s="975">
        <v>2201</v>
      </c>
      <c r="L235" s="922"/>
      <c r="M235" s="928">
        <v>53.69</v>
      </c>
      <c r="N235" s="929"/>
      <c r="O235" s="975">
        <v>2201</v>
      </c>
    </row>
    <row r="236" spans="1:15">
      <c r="A236" s="927" t="s">
        <v>282</v>
      </c>
      <c r="B236" s="920"/>
      <c r="C236" s="968">
        <v>363.70592587201099</v>
      </c>
      <c r="D236" s="922"/>
      <c r="E236" s="968">
        <v>365</v>
      </c>
      <c r="F236" s="922"/>
      <c r="G236" s="928">
        <v>45.2</v>
      </c>
      <c r="H236" s="929"/>
      <c r="I236" s="975">
        <v>16440</v>
      </c>
      <c r="J236" s="922"/>
      <c r="K236" s="975">
        <v>16498</v>
      </c>
      <c r="L236" s="922"/>
      <c r="M236" s="928">
        <v>45.2</v>
      </c>
      <c r="N236" s="929"/>
      <c r="O236" s="975">
        <v>16498</v>
      </c>
    </row>
    <row r="237" spans="1:15">
      <c r="A237" s="927" t="s">
        <v>283</v>
      </c>
      <c r="B237" s="920"/>
      <c r="C237" s="968">
        <v>60.402472701314103</v>
      </c>
      <c r="D237" s="922"/>
      <c r="E237" s="968">
        <v>61</v>
      </c>
      <c r="F237" s="922"/>
      <c r="G237" s="929">
        <v>25.78</v>
      </c>
      <c r="H237" s="929"/>
      <c r="I237" s="975">
        <v>1557</v>
      </c>
      <c r="J237" s="922"/>
      <c r="K237" s="975">
        <v>1573</v>
      </c>
      <c r="L237" s="922"/>
      <c r="M237" s="928">
        <v>25.78</v>
      </c>
      <c r="N237" s="929"/>
      <c r="O237" s="975">
        <v>1573</v>
      </c>
    </row>
    <row r="238" spans="1:15">
      <c r="A238" s="927" t="s">
        <v>284</v>
      </c>
      <c r="B238" s="920"/>
      <c r="C238" s="968">
        <v>0</v>
      </c>
      <c r="D238" s="922"/>
      <c r="E238" s="968">
        <v>0</v>
      </c>
      <c r="F238" s="922"/>
      <c r="G238" s="929">
        <v>55.33</v>
      </c>
      <c r="H238" s="929"/>
      <c r="I238" s="975">
        <v>0</v>
      </c>
      <c r="J238" s="922"/>
      <c r="K238" s="975">
        <v>0</v>
      </c>
      <c r="L238" s="922"/>
      <c r="M238" s="928">
        <v>55.33</v>
      </c>
      <c r="N238" s="929"/>
      <c r="O238" s="975">
        <v>0</v>
      </c>
    </row>
    <row r="239" spans="1:15">
      <c r="A239" s="927" t="s">
        <v>285</v>
      </c>
      <c r="B239" s="920"/>
      <c r="C239" s="968">
        <v>0</v>
      </c>
      <c r="D239" s="922"/>
      <c r="E239" s="968">
        <v>0</v>
      </c>
      <c r="F239" s="922"/>
      <c r="G239" s="929">
        <v>46.86</v>
      </c>
      <c r="H239" s="929"/>
      <c r="I239" s="975">
        <v>0</v>
      </c>
      <c r="J239" s="922"/>
      <c r="K239" s="975">
        <v>0</v>
      </c>
      <c r="L239" s="922"/>
      <c r="M239" s="928">
        <v>46.86</v>
      </c>
      <c r="N239" s="929"/>
      <c r="O239" s="975">
        <v>0</v>
      </c>
    </row>
    <row r="240" spans="1:15">
      <c r="A240" s="931" t="s">
        <v>635</v>
      </c>
      <c r="B240" s="920"/>
      <c r="C240" s="976"/>
      <c r="D240" s="922"/>
      <c r="E240" s="976"/>
      <c r="F240" s="922"/>
      <c r="G240" s="929"/>
      <c r="H240" s="929"/>
      <c r="I240" s="978"/>
      <c r="J240" s="922"/>
      <c r="K240" s="978"/>
      <c r="L240" s="922"/>
      <c r="M240" s="929"/>
      <c r="N240" s="929"/>
      <c r="O240" s="978"/>
    </row>
    <row r="241" spans="1:15">
      <c r="A241" s="927" t="s">
        <v>287</v>
      </c>
      <c r="B241" s="920"/>
      <c r="C241" s="968">
        <v>3267.5546208955998</v>
      </c>
      <c r="D241" s="922"/>
      <c r="E241" s="968">
        <v>3279</v>
      </c>
      <c r="F241" s="922"/>
      <c r="G241" s="928">
        <v>11.09</v>
      </c>
      <c r="H241" s="929"/>
      <c r="I241" s="975">
        <v>36237</v>
      </c>
      <c r="J241" s="922"/>
      <c r="K241" s="975">
        <v>36364</v>
      </c>
      <c r="L241" s="922"/>
      <c r="M241" s="928">
        <v>11.09</v>
      </c>
      <c r="N241" s="929"/>
      <c r="O241" s="975">
        <v>36364</v>
      </c>
    </row>
    <row r="242" spans="1:15">
      <c r="A242" s="927" t="s">
        <v>189</v>
      </c>
      <c r="B242" s="920"/>
      <c r="C242" s="968">
        <v>9119.3955596477208</v>
      </c>
      <c r="D242" s="922"/>
      <c r="E242" s="968">
        <v>9152</v>
      </c>
      <c r="F242" s="922"/>
      <c r="G242" s="928">
        <v>13.83</v>
      </c>
      <c r="H242" s="929"/>
      <c r="I242" s="975">
        <v>126121</v>
      </c>
      <c r="J242" s="922"/>
      <c r="K242" s="975">
        <v>126572</v>
      </c>
      <c r="L242" s="922"/>
      <c r="M242" s="928">
        <v>13.83</v>
      </c>
      <c r="N242" s="929"/>
      <c r="O242" s="975">
        <v>126572</v>
      </c>
    </row>
    <row r="243" spans="1:15">
      <c r="A243" s="927" t="s">
        <v>288</v>
      </c>
      <c r="B243" s="920"/>
      <c r="C243" s="968">
        <v>185.142342094545</v>
      </c>
      <c r="D243" s="922"/>
      <c r="E243" s="968">
        <v>186</v>
      </c>
      <c r="F243" s="922"/>
      <c r="G243" s="928">
        <v>19.399999999999999</v>
      </c>
      <c r="H243" s="929"/>
      <c r="I243" s="975">
        <v>3592</v>
      </c>
      <c r="J243" s="922"/>
      <c r="K243" s="975">
        <v>3608</v>
      </c>
      <c r="L243" s="922"/>
      <c r="M243" s="928">
        <v>19.399999999999999</v>
      </c>
      <c r="N243" s="929"/>
      <c r="O243" s="975">
        <v>3608</v>
      </c>
    </row>
    <row r="244" spans="1:15">
      <c r="A244" s="927" t="s">
        <v>289</v>
      </c>
      <c r="B244" s="920"/>
      <c r="C244" s="968">
        <v>0</v>
      </c>
      <c r="D244" s="922"/>
      <c r="E244" s="968">
        <v>0</v>
      </c>
      <c r="F244" s="922"/>
      <c r="G244" s="928">
        <v>17.46</v>
      </c>
      <c r="H244" s="929"/>
      <c r="I244" s="975">
        <v>0</v>
      </c>
      <c r="J244" s="922"/>
      <c r="K244" s="975">
        <v>0</v>
      </c>
      <c r="L244" s="922"/>
      <c r="M244" s="928">
        <v>17.46</v>
      </c>
      <c r="N244" s="929"/>
      <c r="O244" s="975">
        <v>0</v>
      </c>
    </row>
    <row r="245" spans="1:15">
      <c r="A245" s="927" t="s">
        <v>191</v>
      </c>
      <c r="B245" s="920"/>
      <c r="C245" s="968">
        <v>992.62004408404198</v>
      </c>
      <c r="D245" s="922"/>
      <c r="E245" s="968">
        <v>996</v>
      </c>
      <c r="F245" s="922"/>
      <c r="G245" s="928">
        <v>24.43</v>
      </c>
      <c r="H245" s="929"/>
      <c r="I245" s="975">
        <v>24250</v>
      </c>
      <c r="J245" s="922"/>
      <c r="K245" s="975">
        <v>24332</v>
      </c>
      <c r="L245" s="922"/>
      <c r="M245" s="928">
        <v>24.43</v>
      </c>
      <c r="N245" s="929"/>
      <c r="O245" s="975">
        <v>24332</v>
      </c>
    </row>
    <row r="246" spans="1:15">
      <c r="A246" s="931" t="s">
        <v>636</v>
      </c>
      <c r="B246" s="920"/>
      <c r="C246" s="968"/>
      <c r="D246" s="922"/>
      <c r="E246" s="968"/>
      <c r="F246" s="922"/>
      <c r="G246" s="920"/>
      <c r="H246" s="922"/>
      <c r="I246" s="975"/>
      <c r="J246" s="922"/>
      <c r="K246" s="975"/>
      <c r="L246" s="922"/>
      <c r="M246" s="920"/>
      <c r="N246" s="922"/>
      <c r="O246" s="975"/>
    </row>
    <row r="247" spans="1:15">
      <c r="A247" s="927" t="s">
        <v>291</v>
      </c>
      <c r="B247" s="920"/>
      <c r="C247" s="968">
        <v>0</v>
      </c>
      <c r="D247" s="922"/>
      <c r="E247" s="968">
        <v>0</v>
      </c>
      <c r="F247" s="922"/>
      <c r="G247" s="928">
        <v>11.99</v>
      </c>
      <c r="H247" s="929"/>
      <c r="I247" s="975">
        <v>0</v>
      </c>
      <c r="J247" s="922"/>
      <c r="K247" s="975">
        <v>0</v>
      </c>
      <c r="L247" s="922"/>
      <c r="M247" s="928">
        <v>11.99</v>
      </c>
      <c r="N247" s="929"/>
      <c r="O247" s="975">
        <v>0</v>
      </c>
    </row>
    <row r="248" spans="1:15">
      <c r="A248" s="927" t="s">
        <v>292</v>
      </c>
      <c r="B248" s="920"/>
      <c r="C248" s="968">
        <v>144.00007750908</v>
      </c>
      <c r="D248" s="922"/>
      <c r="E248" s="968">
        <v>145</v>
      </c>
      <c r="F248" s="922"/>
      <c r="G248" s="928">
        <v>4.24</v>
      </c>
      <c r="H248" s="929"/>
      <c r="I248" s="975">
        <v>611</v>
      </c>
      <c r="J248" s="922"/>
      <c r="K248" s="975">
        <v>615</v>
      </c>
      <c r="L248" s="922"/>
      <c r="M248" s="928">
        <v>4.24</v>
      </c>
      <c r="N248" s="929"/>
      <c r="O248" s="975">
        <v>615</v>
      </c>
    </row>
    <row r="249" spans="1:15">
      <c r="A249" s="927" t="s">
        <v>293</v>
      </c>
      <c r="B249" s="920"/>
      <c r="C249" s="968">
        <v>31.895282119600001</v>
      </c>
      <c r="D249" s="922"/>
      <c r="E249" s="968">
        <v>32</v>
      </c>
      <c r="F249" s="922"/>
      <c r="G249" s="928">
        <v>17.11</v>
      </c>
      <c r="H249" s="929"/>
      <c r="I249" s="975">
        <v>546</v>
      </c>
      <c r="J249" s="922"/>
      <c r="K249" s="975">
        <v>548</v>
      </c>
      <c r="L249" s="922"/>
      <c r="M249" s="928">
        <v>17.11</v>
      </c>
      <c r="N249" s="929"/>
      <c r="O249" s="975">
        <v>548</v>
      </c>
    </row>
    <row r="250" spans="1:15">
      <c r="A250" s="927" t="s">
        <v>287</v>
      </c>
      <c r="B250" s="920"/>
      <c r="C250" s="968">
        <v>161.04379703877601</v>
      </c>
      <c r="D250" s="922"/>
      <c r="E250" s="968">
        <v>162</v>
      </c>
      <c r="F250" s="922"/>
      <c r="G250" s="928">
        <v>20.43</v>
      </c>
      <c r="H250" s="929"/>
      <c r="I250" s="975">
        <v>3290</v>
      </c>
      <c r="J250" s="922"/>
      <c r="K250" s="975">
        <v>3310</v>
      </c>
      <c r="L250" s="922"/>
      <c r="M250" s="928">
        <v>20.43</v>
      </c>
      <c r="N250" s="929"/>
      <c r="O250" s="975">
        <v>3310</v>
      </c>
    </row>
    <row r="251" spans="1:15">
      <c r="A251" s="927" t="s">
        <v>294</v>
      </c>
      <c r="B251" s="920"/>
      <c r="C251" s="968">
        <v>160.52629277174799</v>
      </c>
      <c r="D251" s="922"/>
      <c r="E251" s="968">
        <v>161</v>
      </c>
      <c r="F251" s="922"/>
      <c r="G251" s="928">
        <v>23.82</v>
      </c>
      <c r="H251" s="929"/>
      <c r="I251" s="975">
        <v>3824</v>
      </c>
      <c r="J251" s="922"/>
      <c r="K251" s="975">
        <v>3835</v>
      </c>
      <c r="L251" s="922"/>
      <c r="M251" s="928">
        <v>23.82</v>
      </c>
      <c r="N251" s="929"/>
      <c r="O251" s="975">
        <v>3835</v>
      </c>
    </row>
    <row r="252" spans="1:15">
      <c r="A252" s="927" t="s">
        <v>288</v>
      </c>
      <c r="B252" s="920"/>
      <c r="C252" s="968">
        <v>24.000055367786501</v>
      </c>
      <c r="D252" s="922"/>
      <c r="E252" s="968">
        <v>24</v>
      </c>
      <c r="F252" s="922"/>
      <c r="G252" s="928">
        <v>31.47</v>
      </c>
      <c r="H252" s="929"/>
      <c r="I252" s="975">
        <v>755</v>
      </c>
      <c r="J252" s="922"/>
      <c r="K252" s="975">
        <v>755</v>
      </c>
      <c r="L252" s="922"/>
      <c r="M252" s="928">
        <v>31.47</v>
      </c>
      <c r="N252" s="929"/>
      <c r="O252" s="975">
        <v>755</v>
      </c>
    </row>
    <row r="253" spans="1:15">
      <c r="A253" s="931" t="s">
        <v>637</v>
      </c>
      <c r="B253" s="920"/>
      <c r="C253" s="976"/>
      <c r="D253" s="922"/>
      <c r="E253" s="976"/>
      <c r="F253" s="922"/>
      <c r="G253" s="929"/>
      <c r="H253" s="929"/>
      <c r="I253" s="978"/>
      <c r="J253" s="922"/>
      <c r="K253" s="978"/>
      <c r="L253" s="922"/>
      <c r="M253" s="929"/>
      <c r="N253" s="929"/>
      <c r="O253" s="978"/>
    </row>
    <row r="254" spans="1:15">
      <c r="A254" s="927" t="s">
        <v>296</v>
      </c>
      <c r="B254" s="920"/>
      <c r="C254" s="968">
        <v>11.9999870525851</v>
      </c>
      <c r="D254" s="922"/>
      <c r="E254" s="968">
        <v>12</v>
      </c>
      <c r="F254" s="922"/>
      <c r="G254" s="928">
        <v>27.85</v>
      </c>
      <c r="H254" s="929"/>
      <c r="I254" s="975">
        <v>334</v>
      </c>
      <c r="J254" s="922"/>
      <c r="K254" s="975">
        <v>334</v>
      </c>
      <c r="L254" s="922"/>
      <c r="M254" s="928">
        <v>27.85</v>
      </c>
      <c r="N254" s="929"/>
      <c r="O254" s="975">
        <v>334</v>
      </c>
    </row>
    <row r="255" spans="1:15">
      <c r="A255" s="931" t="s">
        <v>297</v>
      </c>
      <c r="B255" s="920"/>
      <c r="C255" s="968"/>
      <c r="D255" s="922"/>
      <c r="E255" s="968"/>
      <c r="F255" s="922"/>
      <c r="G255" s="928"/>
      <c r="H255" s="929"/>
      <c r="I255" s="975"/>
      <c r="J255" s="922"/>
      <c r="K255" s="975"/>
      <c r="L255" s="922"/>
      <c r="M255" s="928"/>
      <c r="N255" s="929"/>
      <c r="O255" s="975"/>
    </row>
    <row r="256" spans="1:15">
      <c r="A256" s="927" t="s">
        <v>298</v>
      </c>
      <c r="B256" s="920"/>
      <c r="C256" s="968">
        <v>12.000105687821801</v>
      </c>
      <c r="D256" s="922"/>
      <c r="E256" s="968">
        <v>12</v>
      </c>
      <c r="F256" s="922"/>
      <c r="G256" s="928">
        <v>39.04</v>
      </c>
      <c r="H256" s="929"/>
      <c r="I256" s="975">
        <v>468</v>
      </c>
      <c r="J256" s="922"/>
      <c r="K256" s="975">
        <v>468</v>
      </c>
      <c r="L256" s="922"/>
      <c r="M256" s="928">
        <v>39.04</v>
      </c>
      <c r="N256" s="929"/>
      <c r="O256" s="975">
        <v>468</v>
      </c>
    </row>
    <row r="257" spans="1:15">
      <c r="A257" s="927" t="s">
        <v>299</v>
      </c>
      <c r="B257" s="920"/>
      <c r="C257" s="979">
        <v>333675.66914431046</v>
      </c>
      <c r="D257" s="922"/>
      <c r="E257" s="979">
        <v>334883</v>
      </c>
      <c r="F257" s="922"/>
      <c r="G257" s="994"/>
      <c r="H257" s="922"/>
      <c r="I257" s="980">
        <v>4961438</v>
      </c>
      <c r="J257" s="922"/>
      <c r="K257" s="980">
        <v>4979390</v>
      </c>
      <c r="L257" s="922"/>
      <c r="M257" s="994"/>
      <c r="N257" s="922"/>
      <c r="O257" s="980">
        <v>4979390</v>
      </c>
    </row>
    <row r="258" spans="1:15" ht="16.5" thickBot="1">
      <c r="A258" s="927" t="s">
        <v>215</v>
      </c>
      <c r="B258" s="920"/>
      <c r="C258" s="995">
        <v>16436738.855048295</v>
      </c>
      <c r="D258" s="922"/>
      <c r="E258" s="995">
        <v>16496197.391013095</v>
      </c>
      <c r="F258" s="922"/>
      <c r="G258" s="986"/>
      <c r="H258" s="922"/>
      <c r="I258" s="986"/>
      <c r="J258" s="922"/>
      <c r="K258" s="986"/>
      <c r="L258" s="922"/>
      <c r="M258" s="986"/>
      <c r="N258" s="922"/>
      <c r="O258" s="986"/>
    </row>
    <row r="259" spans="1:15" ht="16.5" thickTop="1">
      <c r="A259" s="927" t="s">
        <v>11</v>
      </c>
      <c r="B259" s="920"/>
      <c r="C259" s="974">
        <v>816.66666666666697</v>
      </c>
      <c r="D259" s="922"/>
      <c r="E259" s="974">
        <v>809.41666666666663</v>
      </c>
      <c r="F259" s="922"/>
      <c r="G259" s="920"/>
      <c r="H259" s="922"/>
      <c r="I259" s="920"/>
      <c r="J259" s="922"/>
      <c r="K259" s="920"/>
      <c r="L259" s="922"/>
      <c r="M259" s="920"/>
      <c r="N259" s="922"/>
      <c r="O259" s="920"/>
    </row>
    <row r="260" spans="1:15">
      <c r="A260" s="927" t="s">
        <v>216</v>
      </c>
      <c r="B260" s="920"/>
      <c r="C260" s="996">
        <v>-154687</v>
      </c>
      <c r="D260" s="922"/>
      <c r="E260" s="996">
        <v>0</v>
      </c>
      <c r="F260" s="922"/>
      <c r="G260" s="994"/>
      <c r="H260" s="922"/>
      <c r="I260" s="980">
        <v>-51241</v>
      </c>
      <c r="J260" s="922"/>
      <c r="K260" s="980">
        <v>0</v>
      </c>
      <c r="L260" s="922"/>
      <c r="M260" s="994"/>
      <c r="N260" s="922"/>
      <c r="O260" s="980">
        <v>0</v>
      </c>
    </row>
    <row r="261" spans="1:15" ht="16.5" thickBot="1">
      <c r="A261" s="927" t="s">
        <v>300</v>
      </c>
      <c r="B261" s="920"/>
      <c r="C261" s="995">
        <v>16282051.855048295</v>
      </c>
      <c r="D261" s="922"/>
      <c r="E261" s="995">
        <v>16496197.391013095</v>
      </c>
      <c r="F261" s="922"/>
      <c r="G261" s="997"/>
      <c r="H261" s="998"/>
      <c r="I261" s="997">
        <v>4910197</v>
      </c>
      <c r="J261" s="922"/>
      <c r="K261" s="997">
        <v>4979390</v>
      </c>
      <c r="L261" s="922"/>
      <c r="M261" s="997"/>
      <c r="N261" s="998"/>
      <c r="O261" s="997">
        <v>4979390</v>
      </c>
    </row>
    <row r="262" spans="1:15" ht="16.5" thickTop="1">
      <c r="A262" s="920"/>
      <c r="B262" s="920"/>
      <c r="C262" s="968"/>
      <c r="D262" s="922"/>
      <c r="E262" s="968"/>
      <c r="F262" s="922"/>
      <c r="G262" s="920"/>
      <c r="H262" s="922"/>
      <c r="I262" s="920"/>
      <c r="J262" s="922"/>
      <c r="K262" s="920"/>
      <c r="L262" s="922"/>
      <c r="M262" s="920"/>
      <c r="N262" s="922"/>
      <c r="O262" s="920"/>
    </row>
    <row r="263" spans="1:15">
      <c r="A263" s="926" t="s">
        <v>301</v>
      </c>
      <c r="B263" s="920"/>
      <c r="C263" s="968"/>
      <c r="D263" s="922"/>
      <c r="E263" s="968"/>
      <c r="F263" s="922"/>
      <c r="G263" s="920"/>
      <c r="H263" s="922"/>
      <c r="I263" s="920"/>
      <c r="J263" s="922"/>
      <c r="K263" s="920"/>
      <c r="L263" s="922"/>
      <c r="M263" s="920"/>
      <c r="N263" s="922"/>
      <c r="O263" s="920"/>
    </row>
    <row r="264" spans="1:15">
      <c r="A264" s="944" t="s">
        <v>302</v>
      </c>
      <c r="B264" s="920"/>
      <c r="C264" s="968"/>
      <c r="D264" s="922"/>
      <c r="E264" s="968"/>
      <c r="F264" s="922"/>
      <c r="G264" s="920"/>
      <c r="H264" s="922"/>
      <c r="I264" s="975"/>
      <c r="J264" s="922"/>
      <c r="K264" s="975"/>
      <c r="L264" s="922"/>
      <c r="M264" s="920"/>
      <c r="N264" s="922"/>
      <c r="O264" s="975"/>
    </row>
    <row r="265" spans="1:15">
      <c r="A265" s="931" t="s">
        <v>303</v>
      </c>
      <c r="B265" s="920"/>
      <c r="C265" s="968"/>
      <c r="D265" s="922"/>
      <c r="E265" s="968"/>
      <c r="F265" s="922"/>
      <c r="G265" s="920"/>
      <c r="H265" s="922"/>
      <c r="I265" s="975"/>
      <c r="J265" s="922"/>
      <c r="K265" s="975"/>
      <c r="L265" s="922"/>
      <c r="M265" s="920"/>
      <c r="N265" s="922"/>
      <c r="O265" s="975"/>
    </row>
    <row r="266" spans="1:15">
      <c r="A266" s="927" t="s">
        <v>304</v>
      </c>
      <c r="B266" s="920"/>
      <c r="C266" s="968">
        <v>106050.349726776</v>
      </c>
      <c r="D266" s="922"/>
      <c r="E266" s="968">
        <v>103438</v>
      </c>
      <c r="F266" s="922"/>
      <c r="G266" s="928">
        <v>1.83</v>
      </c>
      <c r="H266" s="929"/>
      <c r="I266" s="975">
        <v>194072</v>
      </c>
      <c r="J266" s="975"/>
      <c r="K266" s="975">
        <v>189292</v>
      </c>
      <c r="L266" s="922"/>
      <c r="M266" s="928">
        <v>1.83</v>
      </c>
      <c r="N266" s="929"/>
      <c r="O266" s="975">
        <v>189292</v>
      </c>
    </row>
    <row r="267" spans="1:15">
      <c r="A267" s="927" t="s">
        <v>305</v>
      </c>
      <c r="B267" s="920"/>
      <c r="C267" s="968">
        <v>163021.40618326701</v>
      </c>
      <c r="D267" s="922"/>
      <c r="E267" s="968">
        <v>159006</v>
      </c>
      <c r="F267" s="922"/>
      <c r="G267" s="928">
        <v>2.5</v>
      </c>
      <c r="H267" s="929"/>
      <c r="I267" s="975">
        <v>407554</v>
      </c>
      <c r="J267" s="975"/>
      <c r="K267" s="975">
        <v>397515</v>
      </c>
      <c r="L267" s="922"/>
      <c r="M267" s="928">
        <v>2.5</v>
      </c>
      <c r="N267" s="929"/>
      <c r="O267" s="975">
        <v>397515</v>
      </c>
    </row>
    <row r="268" spans="1:15">
      <c r="A268" s="927" t="s">
        <v>306</v>
      </c>
      <c r="B268" s="920"/>
      <c r="C268" s="968">
        <v>137723.94153601001</v>
      </c>
      <c r="D268" s="922"/>
      <c r="E268" s="968">
        <v>134332</v>
      </c>
      <c r="F268" s="922"/>
      <c r="G268" s="928">
        <v>3.66</v>
      </c>
      <c r="H268" s="929"/>
      <c r="I268" s="975">
        <v>504070</v>
      </c>
      <c r="J268" s="975"/>
      <c r="K268" s="975">
        <v>491655</v>
      </c>
      <c r="L268" s="922"/>
      <c r="M268" s="928">
        <v>3.66</v>
      </c>
      <c r="N268" s="929"/>
      <c r="O268" s="975">
        <v>491655</v>
      </c>
    </row>
    <row r="269" spans="1:15">
      <c r="A269" s="927" t="s">
        <v>307</v>
      </c>
      <c r="B269" s="920"/>
      <c r="C269" s="968">
        <v>49512.169743532002</v>
      </c>
      <c r="D269" s="922"/>
      <c r="E269" s="968">
        <v>48293</v>
      </c>
      <c r="F269" s="922"/>
      <c r="G269" s="928">
        <v>6.52</v>
      </c>
      <c r="H269" s="929"/>
      <c r="I269" s="975">
        <v>322819</v>
      </c>
      <c r="J269" s="975"/>
      <c r="K269" s="975">
        <v>314870</v>
      </c>
      <c r="L269" s="922"/>
      <c r="M269" s="928">
        <v>6.52</v>
      </c>
      <c r="N269" s="929"/>
      <c r="O269" s="975">
        <v>314870</v>
      </c>
    </row>
    <row r="270" spans="1:15">
      <c r="A270" s="927" t="s">
        <v>308</v>
      </c>
      <c r="B270" s="920"/>
      <c r="C270" s="968">
        <v>67208.516650595397</v>
      </c>
      <c r="D270" s="922"/>
      <c r="E270" s="968">
        <v>65553</v>
      </c>
      <c r="F270" s="922"/>
      <c r="G270" s="928">
        <v>10.02</v>
      </c>
      <c r="H270" s="929"/>
      <c r="I270" s="975">
        <v>673429</v>
      </c>
      <c r="J270" s="975"/>
      <c r="K270" s="975">
        <v>656841</v>
      </c>
      <c r="L270" s="922"/>
      <c r="M270" s="928">
        <v>10.02</v>
      </c>
      <c r="N270" s="929"/>
      <c r="O270" s="975">
        <v>656841</v>
      </c>
    </row>
    <row r="271" spans="1:15">
      <c r="A271" s="931" t="s">
        <v>274</v>
      </c>
      <c r="B271" s="920"/>
      <c r="C271" s="968"/>
      <c r="D271" s="922"/>
      <c r="E271" s="968"/>
      <c r="F271" s="922"/>
      <c r="G271" s="936"/>
      <c r="H271" s="935"/>
      <c r="I271" s="975"/>
      <c r="J271" s="922"/>
      <c r="K271" s="975"/>
      <c r="L271" s="922"/>
      <c r="M271" s="936"/>
      <c r="N271" s="935"/>
      <c r="O271" s="975"/>
    </row>
    <row r="272" spans="1:15">
      <c r="A272" s="927" t="s">
        <v>309</v>
      </c>
      <c r="B272" s="920"/>
      <c r="C272" s="968">
        <v>6749.6025122548999</v>
      </c>
      <c r="D272" s="922"/>
      <c r="E272" s="968">
        <v>6583</v>
      </c>
      <c r="F272" s="922"/>
      <c r="G272" s="928">
        <v>2.5499999999999998</v>
      </c>
      <c r="H272" s="929"/>
      <c r="I272" s="975">
        <v>17211</v>
      </c>
      <c r="J272" s="975"/>
      <c r="K272" s="975">
        <v>16787</v>
      </c>
      <c r="L272" s="922"/>
      <c r="M272" s="928">
        <v>2.5499999999999998</v>
      </c>
      <c r="N272" s="929"/>
      <c r="O272" s="975">
        <v>16787</v>
      </c>
    </row>
    <row r="273" spans="1:15">
      <c r="A273" s="927" t="s">
        <v>310</v>
      </c>
      <c r="B273" s="920"/>
      <c r="C273" s="968">
        <v>19293.6548586643</v>
      </c>
      <c r="D273" s="922"/>
      <c r="E273" s="968">
        <v>18818</v>
      </c>
      <c r="F273" s="922"/>
      <c r="G273" s="928">
        <v>4.46</v>
      </c>
      <c r="H273" s="929"/>
      <c r="I273" s="975">
        <v>86050</v>
      </c>
      <c r="J273" s="975"/>
      <c r="K273" s="975">
        <v>83928</v>
      </c>
      <c r="L273" s="922"/>
      <c r="M273" s="928">
        <v>4.46</v>
      </c>
      <c r="N273" s="929"/>
      <c r="O273" s="975">
        <v>83928</v>
      </c>
    </row>
    <row r="274" spans="1:15">
      <c r="A274" s="927" t="s">
        <v>311</v>
      </c>
      <c r="B274" s="920"/>
      <c r="C274" s="968">
        <v>28995.554014814501</v>
      </c>
      <c r="D274" s="922"/>
      <c r="E274" s="968">
        <v>28281</v>
      </c>
      <c r="F274" s="922"/>
      <c r="G274" s="928">
        <v>6.17</v>
      </c>
      <c r="H274" s="929"/>
      <c r="I274" s="975">
        <v>178903</v>
      </c>
      <c r="J274" s="975"/>
      <c r="K274" s="975">
        <v>174494</v>
      </c>
      <c r="L274" s="922"/>
      <c r="M274" s="928">
        <v>6.17</v>
      </c>
      <c r="N274" s="929"/>
      <c r="O274" s="975">
        <v>174494</v>
      </c>
    </row>
    <row r="275" spans="1:15">
      <c r="A275" s="927" t="s">
        <v>312</v>
      </c>
      <c r="B275" s="920"/>
      <c r="C275" s="968">
        <v>28619.4198210211</v>
      </c>
      <c r="D275" s="922"/>
      <c r="E275" s="968">
        <v>27914</v>
      </c>
      <c r="F275" s="922"/>
      <c r="G275" s="929">
        <v>9.77</v>
      </c>
      <c r="H275" s="929"/>
      <c r="I275" s="975">
        <v>279612</v>
      </c>
      <c r="J275" s="975"/>
      <c r="K275" s="975">
        <v>272720</v>
      </c>
      <c r="L275" s="922"/>
      <c r="M275" s="929">
        <v>9.77</v>
      </c>
      <c r="N275" s="929"/>
      <c r="O275" s="975">
        <v>272720</v>
      </c>
    </row>
    <row r="276" spans="1:15">
      <c r="A276" s="931" t="s">
        <v>313</v>
      </c>
      <c r="B276" s="920"/>
      <c r="C276" s="968">
        <v>10313587.2584714</v>
      </c>
      <c r="D276" s="922"/>
      <c r="E276" s="968">
        <v>10059553</v>
      </c>
      <c r="F276" s="922"/>
      <c r="G276" s="945">
        <v>6.5278999999999998</v>
      </c>
      <c r="H276" s="930" t="s">
        <v>108</v>
      </c>
      <c r="I276" s="975">
        <v>673261</v>
      </c>
      <c r="J276" s="975"/>
      <c r="K276" s="975">
        <v>656678</v>
      </c>
      <c r="L276" s="922"/>
      <c r="M276" s="945">
        <v>6.5278999999999998</v>
      </c>
      <c r="N276" s="930" t="s">
        <v>108</v>
      </c>
      <c r="O276" s="975">
        <v>656678</v>
      </c>
    </row>
    <row r="277" spans="1:15">
      <c r="A277" s="931" t="s">
        <v>314</v>
      </c>
      <c r="B277" s="920"/>
      <c r="C277" s="979">
        <v>50907472.282911919</v>
      </c>
      <c r="D277" s="922"/>
      <c r="E277" s="979">
        <v>49653569.797972836</v>
      </c>
      <c r="F277" s="922"/>
      <c r="G277" s="994"/>
      <c r="H277" s="922"/>
      <c r="I277" s="980">
        <v>3336981</v>
      </c>
      <c r="J277" s="922"/>
      <c r="K277" s="980">
        <v>3254780</v>
      </c>
      <c r="L277" s="922"/>
      <c r="M277" s="994"/>
      <c r="N277" s="922"/>
      <c r="O277" s="980">
        <v>3254780</v>
      </c>
    </row>
    <row r="278" spans="1:15">
      <c r="A278" s="931" t="s">
        <v>216</v>
      </c>
      <c r="B278" s="920"/>
      <c r="C278" s="976">
        <v>-479191</v>
      </c>
      <c r="D278" s="922"/>
      <c r="E278" s="976"/>
      <c r="F278" s="922"/>
      <c r="G278" s="945"/>
      <c r="H278" s="930"/>
      <c r="I278" s="978">
        <v>-34370</v>
      </c>
      <c r="J278" s="922"/>
      <c r="K278" s="978"/>
      <c r="L278" s="922"/>
      <c r="M278" s="945"/>
      <c r="N278" s="929"/>
      <c r="O278" s="978"/>
    </row>
    <row r="279" spans="1:15">
      <c r="A279" s="931" t="s">
        <v>300</v>
      </c>
      <c r="B279" s="920"/>
      <c r="C279" s="976">
        <v>50428281.282911919</v>
      </c>
      <c r="D279" s="922"/>
      <c r="E279" s="976">
        <v>49653569.797972836</v>
      </c>
      <c r="F279" s="922"/>
      <c r="G279" s="945"/>
      <c r="H279" s="930"/>
      <c r="I279" s="978">
        <v>3302611</v>
      </c>
      <c r="J279" s="922"/>
      <c r="K279" s="978">
        <v>3254780</v>
      </c>
      <c r="L279" s="922"/>
      <c r="M279" s="945"/>
      <c r="N279" s="929"/>
      <c r="O279" s="978">
        <v>3254780</v>
      </c>
    </row>
    <row r="280" spans="1:15">
      <c r="A280" s="931" t="s">
        <v>654</v>
      </c>
      <c r="B280" s="920"/>
      <c r="C280" s="979">
        <v>529.66666666666697</v>
      </c>
      <c r="D280" s="922"/>
      <c r="E280" s="979">
        <v>519</v>
      </c>
      <c r="F280" s="922"/>
      <c r="G280" s="994"/>
      <c r="H280" s="922"/>
      <c r="I280" s="980"/>
      <c r="J280" s="922"/>
      <c r="K280" s="980"/>
      <c r="L280" s="922"/>
      <c r="M280" s="994"/>
      <c r="N280" s="922"/>
      <c r="O280" s="980"/>
    </row>
    <row r="281" spans="1:15">
      <c r="A281" s="946" t="s">
        <v>315</v>
      </c>
      <c r="B281" s="920"/>
      <c r="C281" s="968"/>
      <c r="D281" s="922"/>
      <c r="E281" s="968"/>
      <c r="F281" s="922"/>
      <c r="G281" s="920"/>
      <c r="H281" s="922"/>
      <c r="I281" s="920"/>
      <c r="J281" s="922"/>
      <c r="K281" s="920"/>
      <c r="L281" s="922"/>
      <c r="M281" s="920"/>
      <c r="N281" s="922"/>
      <c r="O281" s="920"/>
    </row>
    <row r="282" spans="1:15">
      <c r="A282" s="931" t="s">
        <v>316</v>
      </c>
      <c r="B282" s="920"/>
      <c r="C282" s="968"/>
      <c r="D282" s="922"/>
      <c r="E282" s="968"/>
      <c r="F282" s="922"/>
      <c r="G282" s="920"/>
      <c r="H282" s="922"/>
      <c r="I282" s="975"/>
      <c r="J282" s="922"/>
      <c r="K282" s="975"/>
      <c r="L282" s="922"/>
      <c r="M282" s="920"/>
      <c r="N282" s="922"/>
      <c r="O282" s="975"/>
    </row>
    <row r="283" spans="1:15">
      <c r="A283" s="927" t="s">
        <v>317</v>
      </c>
      <c r="B283" s="920"/>
      <c r="C283" s="968">
        <v>77.266452732262195</v>
      </c>
      <c r="D283" s="922"/>
      <c r="E283" s="968">
        <v>76</v>
      </c>
      <c r="F283" s="922"/>
      <c r="G283" s="928">
        <v>8.9600000000000009</v>
      </c>
      <c r="H283" s="929"/>
      <c r="I283" s="975">
        <v>692</v>
      </c>
      <c r="J283" s="922"/>
      <c r="K283" s="975">
        <v>681</v>
      </c>
      <c r="L283" s="922"/>
      <c r="M283" s="928">
        <v>8.9600000000000009</v>
      </c>
      <c r="N283" s="929"/>
      <c r="O283" s="975">
        <v>681</v>
      </c>
    </row>
    <row r="284" spans="1:15">
      <c r="A284" s="927" t="s">
        <v>287</v>
      </c>
      <c r="B284" s="920"/>
      <c r="C284" s="968">
        <v>92.000075248639604</v>
      </c>
      <c r="D284" s="922"/>
      <c r="E284" s="968">
        <v>91</v>
      </c>
      <c r="F284" s="922"/>
      <c r="G284" s="928">
        <v>12.19</v>
      </c>
      <c r="H284" s="929"/>
      <c r="I284" s="975">
        <v>1121</v>
      </c>
      <c r="J284" s="922"/>
      <c r="K284" s="975">
        <v>1109</v>
      </c>
      <c r="L284" s="922"/>
      <c r="M284" s="928">
        <v>12.19</v>
      </c>
      <c r="N284" s="929"/>
      <c r="O284" s="975">
        <v>1109</v>
      </c>
    </row>
    <row r="285" spans="1:15">
      <c r="A285" s="931" t="s">
        <v>319</v>
      </c>
      <c r="B285" s="920"/>
      <c r="C285" s="968"/>
      <c r="D285" s="922"/>
      <c r="E285" s="968"/>
      <c r="F285" s="922"/>
      <c r="G285" s="928"/>
      <c r="H285" s="929"/>
      <c r="I285" s="920"/>
      <c r="J285" s="922"/>
      <c r="K285" s="920"/>
      <c r="L285" s="922"/>
      <c r="M285" s="928"/>
      <c r="N285" s="929"/>
      <c r="O285" s="920"/>
    </row>
    <row r="286" spans="1:15">
      <c r="A286" s="927" t="s">
        <v>287</v>
      </c>
      <c r="B286" s="920"/>
      <c r="C286" s="968">
        <v>48.000815721171698</v>
      </c>
      <c r="D286" s="922"/>
      <c r="E286" s="968">
        <v>47</v>
      </c>
      <c r="F286" s="922"/>
      <c r="G286" s="928">
        <v>4.6399999999999997</v>
      </c>
      <c r="H286" s="929"/>
      <c r="I286" s="975">
        <v>223</v>
      </c>
      <c r="J286" s="922"/>
      <c r="K286" s="975">
        <v>218</v>
      </c>
      <c r="L286" s="922"/>
      <c r="M286" s="928">
        <v>4.6399999999999997</v>
      </c>
      <c r="N286" s="929"/>
      <c r="O286" s="975">
        <v>218</v>
      </c>
    </row>
    <row r="287" spans="1:15">
      <c r="A287" s="927" t="s">
        <v>189</v>
      </c>
      <c r="B287" s="920"/>
      <c r="C287" s="968">
        <v>552.16802197802201</v>
      </c>
      <c r="D287" s="922"/>
      <c r="E287" s="976">
        <v>546</v>
      </c>
      <c r="F287" s="922"/>
      <c r="G287" s="928">
        <v>7</v>
      </c>
      <c r="H287" s="922"/>
      <c r="I287" s="975">
        <v>3865</v>
      </c>
      <c r="J287" s="930"/>
      <c r="K287" s="975">
        <v>3822</v>
      </c>
      <c r="L287" s="922"/>
      <c r="M287" s="935">
        <v>7</v>
      </c>
      <c r="N287" s="922"/>
      <c r="O287" s="975">
        <v>3822</v>
      </c>
    </row>
    <row r="288" spans="1:15">
      <c r="A288" s="927" t="s">
        <v>191</v>
      </c>
      <c r="B288" s="920"/>
      <c r="C288" s="968">
        <v>141.51535135092701</v>
      </c>
      <c r="D288" s="922"/>
      <c r="E288" s="968">
        <v>140</v>
      </c>
      <c r="F288" s="922"/>
      <c r="G288" s="928">
        <v>13.33</v>
      </c>
      <c r="H288" s="929"/>
      <c r="I288" s="975">
        <v>1886</v>
      </c>
      <c r="J288" s="922"/>
      <c r="K288" s="975">
        <v>1866</v>
      </c>
      <c r="L288" s="922"/>
      <c r="M288" s="928">
        <v>13.33</v>
      </c>
      <c r="N288" s="929"/>
      <c r="O288" s="975">
        <v>1866</v>
      </c>
    </row>
    <row r="289" spans="1:15">
      <c r="A289" s="927" t="s">
        <v>320</v>
      </c>
      <c r="B289" s="920"/>
      <c r="C289" s="968">
        <v>0</v>
      </c>
      <c r="D289" s="922"/>
      <c r="E289" s="968">
        <v>0</v>
      </c>
      <c r="F289" s="922"/>
      <c r="G289" s="928">
        <v>28.38</v>
      </c>
      <c r="H289" s="929"/>
      <c r="I289" s="975">
        <v>0</v>
      </c>
      <c r="J289" s="922"/>
      <c r="K289" s="975">
        <v>0</v>
      </c>
      <c r="L289" s="922"/>
      <c r="M289" s="928">
        <v>28.38</v>
      </c>
      <c r="N289" s="929"/>
      <c r="O289" s="975">
        <v>0</v>
      </c>
    </row>
    <row r="290" spans="1:15">
      <c r="A290" s="931" t="s">
        <v>321</v>
      </c>
      <c r="B290" s="920"/>
      <c r="C290" s="968"/>
      <c r="D290" s="922"/>
      <c r="E290" s="968"/>
      <c r="F290" s="922"/>
      <c r="G290" s="928"/>
      <c r="H290" s="929"/>
      <c r="I290" s="975"/>
      <c r="J290" s="922"/>
      <c r="K290" s="975"/>
      <c r="L290" s="922"/>
      <c r="M290" s="928"/>
      <c r="N290" s="929"/>
      <c r="O290" s="975"/>
    </row>
    <row r="291" spans="1:15">
      <c r="A291" s="927" t="s">
        <v>304</v>
      </c>
      <c r="B291" s="920"/>
      <c r="C291" s="968">
        <v>35021.818591495299</v>
      </c>
      <c r="D291" s="922"/>
      <c r="E291" s="968">
        <v>34609</v>
      </c>
      <c r="F291" s="922"/>
      <c r="G291" s="928">
        <v>4.08</v>
      </c>
      <c r="H291" s="929"/>
      <c r="I291" s="975">
        <v>142889</v>
      </c>
      <c r="J291" s="922"/>
      <c r="K291" s="975">
        <v>141205</v>
      </c>
      <c r="L291" s="922"/>
      <c r="M291" s="928">
        <v>4.08</v>
      </c>
      <c r="N291" s="929"/>
      <c r="O291" s="975">
        <v>141205</v>
      </c>
    </row>
    <row r="292" spans="1:15">
      <c r="A292" s="927" t="s">
        <v>305</v>
      </c>
      <c r="B292" s="920"/>
      <c r="C292" s="968">
        <v>15818.6701003094</v>
      </c>
      <c r="D292" s="922"/>
      <c r="E292" s="968">
        <v>15632</v>
      </c>
      <c r="F292" s="922"/>
      <c r="G292" s="928">
        <v>5.37</v>
      </c>
      <c r="H292" s="929"/>
      <c r="I292" s="975">
        <v>84946</v>
      </c>
      <c r="J292" s="922"/>
      <c r="K292" s="975">
        <v>83944</v>
      </c>
      <c r="L292" s="922"/>
      <c r="M292" s="928">
        <v>5.37</v>
      </c>
      <c r="N292" s="929"/>
      <c r="O292" s="975">
        <v>83944</v>
      </c>
    </row>
    <row r="293" spans="1:15">
      <c r="A293" s="927" t="s">
        <v>323</v>
      </c>
      <c r="B293" s="920"/>
      <c r="C293" s="968">
        <v>8922.3612526591805</v>
      </c>
      <c r="D293" s="922"/>
      <c r="E293" s="968">
        <v>8817</v>
      </c>
      <c r="F293" s="922"/>
      <c r="G293" s="928">
        <v>6.96</v>
      </c>
      <c r="H293" s="929"/>
      <c r="I293" s="975">
        <v>62100</v>
      </c>
      <c r="J293" s="922"/>
      <c r="K293" s="975">
        <v>61366</v>
      </c>
      <c r="L293" s="922"/>
      <c r="M293" s="928">
        <v>6.96</v>
      </c>
      <c r="N293" s="929"/>
      <c r="O293" s="975">
        <v>61366</v>
      </c>
    </row>
    <row r="294" spans="1:15">
      <c r="A294" s="927" t="s">
        <v>306</v>
      </c>
      <c r="B294" s="920"/>
      <c r="C294" s="968">
        <v>2578.7681841242402</v>
      </c>
      <c r="D294" s="922"/>
      <c r="E294" s="968">
        <v>2548</v>
      </c>
      <c r="F294" s="922"/>
      <c r="G294" s="928">
        <v>6.52</v>
      </c>
      <c r="H294" s="929"/>
      <c r="I294" s="975">
        <v>16814</v>
      </c>
      <c r="J294" s="922"/>
      <c r="K294" s="975">
        <v>16613</v>
      </c>
      <c r="L294" s="922"/>
      <c r="M294" s="928">
        <v>6.52</v>
      </c>
      <c r="N294" s="929"/>
      <c r="O294" s="975">
        <v>16613</v>
      </c>
    </row>
    <row r="295" spans="1:15">
      <c r="A295" s="927" t="s">
        <v>325</v>
      </c>
      <c r="B295" s="920"/>
      <c r="C295" s="968">
        <v>808.41067183054997</v>
      </c>
      <c r="D295" s="922"/>
      <c r="E295" s="968">
        <v>799</v>
      </c>
      <c r="F295" s="922"/>
      <c r="G295" s="928">
        <v>8.27</v>
      </c>
      <c r="H295" s="929"/>
      <c r="I295" s="975">
        <v>6686</v>
      </c>
      <c r="J295" s="922"/>
      <c r="K295" s="975">
        <v>6608</v>
      </c>
      <c r="L295" s="922"/>
      <c r="M295" s="928">
        <v>8.27</v>
      </c>
      <c r="N295" s="929"/>
      <c r="O295" s="975">
        <v>6608</v>
      </c>
    </row>
    <row r="296" spans="1:15">
      <c r="A296" s="927" t="s">
        <v>326</v>
      </c>
      <c r="B296" s="920"/>
      <c r="C296" s="968">
        <v>0</v>
      </c>
      <c r="D296" s="922"/>
      <c r="E296" s="968">
        <v>0</v>
      </c>
      <c r="F296" s="922"/>
      <c r="G296" s="928">
        <v>8.26</v>
      </c>
      <c r="H296" s="929"/>
      <c r="I296" s="975">
        <v>0</v>
      </c>
      <c r="J296" s="922"/>
      <c r="K296" s="975">
        <v>0</v>
      </c>
      <c r="L296" s="922"/>
      <c r="M296" s="928">
        <v>8.26</v>
      </c>
      <c r="N296" s="929"/>
      <c r="O296" s="975">
        <v>0</v>
      </c>
    </row>
    <row r="297" spans="1:15">
      <c r="A297" s="927" t="s">
        <v>307</v>
      </c>
      <c r="B297" s="920"/>
      <c r="C297" s="968">
        <v>5667.95357850866</v>
      </c>
      <c r="D297" s="922"/>
      <c r="E297" s="968">
        <v>5601</v>
      </c>
      <c r="F297" s="922"/>
      <c r="G297" s="928">
        <v>9.59</v>
      </c>
      <c r="H297" s="929"/>
      <c r="I297" s="975">
        <v>54356</v>
      </c>
      <c r="J297" s="922"/>
      <c r="K297" s="975">
        <v>53714</v>
      </c>
      <c r="L297" s="922"/>
      <c r="M297" s="928">
        <v>9.59</v>
      </c>
      <c r="N297" s="929"/>
      <c r="O297" s="975">
        <v>53714</v>
      </c>
    </row>
    <row r="298" spans="1:15">
      <c r="A298" s="927" t="s">
        <v>328</v>
      </c>
      <c r="B298" s="920"/>
      <c r="C298" s="968">
        <v>144.59918562605401</v>
      </c>
      <c r="D298" s="922"/>
      <c r="E298" s="968">
        <v>143</v>
      </c>
      <c r="F298" s="922"/>
      <c r="G298" s="928">
        <v>11.93</v>
      </c>
      <c r="H298" s="929"/>
      <c r="I298" s="975">
        <v>1725</v>
      </c>
      <c r="J298" s="922"/>
      <c r="K298" s="975">
        <v>1706</v>
      </c>
      <c r="L298" s="922"/>
      <c r="M298" s="928">
        <v>11.93</v>
      </c>
      <c r="N298" s="929"/>
      <c r="O298" s="975">
        <v>1706</v>
      </c>
    </row>
    <row r="299" spans="1:15">
      <c r="A299" s="927" t="s">
        <v>308</v>
      </c>
      <c r="B299" s="920"/>
      <c r="C299" s="968">
        <v>10253.4562067562</v>
      </c>
      <c r="D299" s="922"/>
      <c r="E299" s="968">
        <v>10133</v>
      </c>
      <c r="F299" s="922"/>
      <c r="G299" s="928">
        <v>14</v>
      </c>
      <c r="H299" s="929"/>
      <c r="I299" s="975">
        <v>143548</v>
      </c>
      <c r="J299" s="922"/>
      <c r="K299" s="975">
        <v>141862</v>
      </c>
      <c r="L299" s="922"/>
      <c r="M299" s="928">
        <v>14</v>
      </c>
      <c r="N299" s="929"/>
      <c r="O299" s="975">
        <v>141862</v>
      </c>
    </row>
    <row r="300" spans="1:15">
      <c r="A300" s="927" t="s">
        <v>330</v>
      </c>
      <c r="B300" s="920"/>
      <c r="C300" s="968">
        <v>159.272427658032</v>
      </c>
      <c r="D300" s="922"/>
      <c r="E300" s="968">
        <v>157</v>
      </c>
      <c r="F300" s="922"/>
      <c r="G300" s="928">
        <v>15.56</v>
      </c>
      <c r="H300" s="929"/>
      <c r="I300" s="975">
        <v>2478</v>
      </c>
      <c r="J300" s="922"/>
      <c r="K300" s="975">
        <v>2443</v>
      </c>
      <c r="L300" s="922"/>
      <c r="M300" s="928">
        <v>15.56</v>
      </c>
      <c r="N300" s="929"/>
      <c r="O300" s="975">
        <v>2443</v>
      </c>
    </row>
    <row r="301" spans="1:15">
      <c r="A301" s="931" t="s">
        <v>274</v>
      </c>
      <c r="B301" s="920"/>
      <c r="C301" s="968"/>
      <c r="D301" s="922"/>
      <c r="E301" s="968"/>
      <c r="F301" s="922"/>
      <c r="G301" s="928"/>
      <c r="H301" s="929"/>
      <c r="I301" s="920"/>
      <c r="J301" s="922"/>
      <c r="K301" s="920"/>
      <c r="L301" s="922"/>
      <c r="M301" s="928"/>
      <c r="N301" s="929"/>
      <c r="O301" s="920"/>
    </row>
    <row r="302" spans="1:15">
      <c r="A302" s="927" t="s">
        <v>331</v>
      </c>
      <c r="B302" s="920"/>
      <c r="C302" s="968">
        <v>710.72033046316903</v>
      </c>
      <c r="D302" s="922"/>
      <c r="E302" s="968">
        <v>702</v>
      </c>
      <c r="F302" s="922"/>
      <c r="G302" s="928">
        <v>9.19</v>
      </c>
      <c r="H302" s="929"/>
      <c r="I302" s="975">
        <v>6532</v>
      </c>
      <c r="J302" s="922"/>
      <c r="K302" s="975">
        <v>6451</v>
      </c>
      <c r="L302" s="922"/>
      <c r="M302" s="928">
        <v>9.19</v>
      </c>
      <c r="N302" s="929"/>
      <c r="O302" s="975">
        <v>6451</v>
      </c>
    </row>
    <row r="303" spans="1:15">
      <c r="A303" s="927" t="s">
        <v>310</v>
      </c>
      <c r="B303" s="920"/>
      <c r="C303" s="968">
        <v>1636.3094026937999</v>
      </c>
      <c r="D303" s="922"/>
      <c r="E303" s="968">
        <v>1617</v>
      </c>
      <c r="F303" s="922"/>
      <c r="G303" s="928">
        <v>13.57</v>
      </c>
      <c r="H303" s="929"/>
      <c r="I303" s="975">
        <v>22205</v>
      </c>
      <c r="J303" s="922"/>
      <c r="K303" s="975">
        <v>21943</v>
      </c>
      <c r="L303" s="922"/>
      <c r="M303" s="928">
        <v>13.57</v>
      </c>
      <c r="N303" s="929"/>
      <c r="O303" s="975">
        <v>21943</v>
      </c>
    </row>
    <row r="304" spans="1:15">
      <c r="A304" s="927" t="s">
        <v>333</v>
      </c>
      <c r="B304" s="920"/>
      <c r="C304" s="968">
        <v>227.99940995001199</v>
      </c>
      <c r="D304" s="922"/>
      <c r="E304" s="968">
        <v>225</v>
      </c>
      <c r="F304" s="922"/>
      <c r="G304" s="928">
        <v>11.09</v>
      </c>
      <c r="H304" s="929"/>
      <c r="I304" s="975">
        <v>2529</v>
      </c>
      <c r="J304" s="922"/>
      <c r="K304" s="975">
        <v>2495</v>
      </c>
      <c r="L304" s="922"/>
      <c r="M304" s="928">
        <v>11.09</v>
      </c>
      <c r="N304" s="929"/>
      <c r="O304" s="975">
        <v>2495</v>
      </c>
    </row>
    <row r="305" spans="1:15">
      <c r="A305" s="927" t="s">
        <v>311</v>
      </c>
      <c r="B305" s="920"/>
      <c r="C305" s="968">
        <v>523.95083572259205</v>
      </c>
      <c r="D305" s="922"/>
      <c r="E305" s="968">
        <v>518</v>
      </c>
      <c r="F305" s="922"/>
      <c r="G305" s="928">
        <v>13.71</v>
      </c>
      <c r="H305" s="929"/>
      <c r="I305" s="975">
        <v>7183</v>
      </c>
      <c r="J305" s="922"/>
      <c r="K305" s="975">
        <v>7102</v>
      </c>
      <c r="L305" s="922"/>
      <c r="M305" s="928">
        <v>13.71</v>
      </c>
      <c r="N305" s="929"/>
      <c r="O305" s="975">
        <v>7102</v>
      </c>
    </row>
    <row r="306" spans="1:15">
      <c r="A306" s="927" t="s">
        <v>334</v>
      </c>
      <c r="B306" s="920"/>
      <c r="C306" s="968">
        <v>6106.4204136751396</v>
      </c>
      <c r="D306" s="922"/>
      <c r="E306" s="968">
        <v>6034</v>
      </c>
      <c r="F306" s="922"/>
      <c r="G306" s="928">
        <v>14.13</v>
      </c>
      <c r="H306" s="929"/>
      <c r="I306" s="975">
        <v>86284</v>
      </c>
      <c r="J306" s="922"/>
      <c r="K306" s="975">
        <v>85260</v>
      </c>
      <c r="L306" s="922"/>
      <c r="M306" s="928">
        <v>14.13</v>
      </c>
      <c r="N306" s="929"/>
      <c r="O306" s="975">
        <v>85260</v>
      </c>
    </row>
    <row r="307" spans="1:15">
      <c r="A307" s="927" t="s">
        <v>312</v>
      </c>
      <c r="B307" s="920"/>
      <c r="C307" s="968">
        <v>550.30053725002301</v>
      </c>
      <c r="D307" s="922"/>
      <c r="E307" s="968">
        <v>544</v>
      </c>
      <c r="F307" s="922"/>
      <c r="G307" s="928">
        <v>14.58</v>
      </c>
      <c r="H307" s="929"/>
      <c r="I307" s="975">
        <v>8023</v>
      </c>
      <c r="J307" s="922"/>
      <c r="K307" s="975">
        <v>7932</v>
      </c>
      <c r="L307" s="922"/>
      <c r="M307" s="928">
        <v>14.58</v>
      </c>
      <c r="N307" s="929"/>
      <c r="O307" s="975">
        <v>7932</v>
      </c>
    </row>
    <row r="308" spans="1:15">
      <c r="A308" s="927" t="s">
        <v>335</v>
      </c>
      <c r="B308" s="920"/>
      <c r="C308" s="968">
        <v>677.19172797419697</v>
      </c>
      <c r="D308" s="922"/>
      <c r="E308" s="976">
        <v>669</v>
      </c>
      <c r="F308" s="922"/>
      <c r="G308" s="929">
        <v>15.79</v>
      </c>
      <c r="H308" s="929"/>
      <c r="I308" s="975">
        <v>10693</v>
      </c>
      <c r="J308" s="922"/>
      <c r="K308" s="975">
        <v>10564</v>
      </c>
      <c r="L308" s="922"/>
      <c r="M308" s="929">
        <v>15.79</v>
      </c>
      <c r="N308" s="929"/>
      <c r="O308" s="978">
        <v>10564</v>
      </c>
    </row>
    <row r="309" spans="1:15">
      <c r="A309" s="931" t="s">
        <v>336</v>
      </c>
      <c r="B309" s="920"/>
      <c r="C309" s="968"/>
      <c r="D309" s="922"/>
      <c r="E309" s="968"/>
      <c r="F309" s="922"/>
      <c r="G309" s="928"/>
      <c r="H309" s="929"/>
      <c r="I309" s="975"/>
      <c r="J309" s="922"/>
      <c r="K309" s="975"/>
      <c r="L309" s="922"/>
      <c r="M309" s="928"/>
      <c r="N309" s="929"/>
      <c r="O309" s="975"/>
    </row>
    <row r="310" spans="1:15">
      <c r="A310" s="927" t="s">
        <v>337</v>
      </c>
      <c r="B310" s="920"/>
      <c r="C310" s="968">
        <v>0</v>
      </c>
      <c r="D310" s="922"/>
      <c r="E310" s="968">
        <v>0</v>
      </c>
      <c r="F310" s="922"/>
      <c r="G310" s="928">
        <v>3.75</v>
      </c>
      <c r="H310" s="929"/>
      <c r="I310" s="975">
        <v>0</v>
      </c>
      <c r="J310" s="922"/>
      <c r="K310" s="975">
        <v>0</v>
      </c>
      <c r="L310" s="922"/>
      <c r="M310" s="928">
        <v>3.75</v>
      </c>
      <c r="N310" s="929"/>
      <c r="O310" s="975">
        <v>0</v>
      </c>
    </row>
    <row r="311" spans="1:15">
      <c r="A311" s="927" t="s">
        <v>338</v>
      </c>
      <c r="B311" s="920"/>
      <c r="C311" s="968">
        <v>83.999718823384001</v>
      </c>
      <c r="D311" s="922"/>
      <c r="E311" s="968">
        <v>83</v>
      </c>
      <c r="F311" s="922"/>
      <c r="G311" s="928">
        <v>13.92</v>
      </c>
      <c r="H311" s="929"/>
      <c r="I311" s="975">
        <v>1169</v>
      </c>
      <c r="J311" s="922"/>
      <c r="K311" s="975">
        <v>1155</v>
      </c>
      <c r="L311" s="922"/>
      <c r="M311" s="928">
        <v>13.92</v>
      </c>
      <c r="N311" s="929"/>
      <c r="O311" s="975">
        <v>1155</v>
      </c>
    </row>
    <row r="312" spans="1:15">
      <c r="A312" s="931" t="s">
        <v>314</v>
      </c>
      <c r="B312" s="920"/>
      <c r="C312" s="979">
        <v>5281294.2784323357</v>
      </c>
      <c r="D312" s="922"/>
      <c r="E312" s="979">
        <v>5219064.5578195509</v>
      </c>
      <c r="F312" s="922"/>
      <c r="G312" s="994"/>
      <c r="H312" s="922"/>
      <c r="I312" s="980">
        <v>667947</v>
      </c>
      <c r="J312" s="922"/>
      <c r="K312" s="980">
        <v>660059</v>
      </c>
      <c r="L312" s="922"/>
      <c r="M312" s="994"/>
      <c r="N312" s="922"/>
      <c r="O312" s="980">
        <v>660059</v>
      </c>
    </row>
    <row r="313" spans="1:15">
      <c r="A313" s="931" t="s">
        <v>216</v>
      </c>
      <c r="B313" s="920"/>
      <c r="C313" s="976">
        <v>-49724</v>
      </c>
      <c r="D313" s="922"/>
      <c r="E313" s="976"/>
      <c r="F313" s="922"/>
      <c r="G313" s="928"/>
      <c r="H313" s="930"/>
      <c r="I313" s="978">
        <v>-6893</v>
      </c>
      <c r="J313" s="922"/>
      <c r="K313" s="978"/>
      <c r="L313" s="922"/>
      <c r="M313" s="945"/>
      <c r="N313" s="929"/>
      <c r="O313" s="978"/>
    </row>
    <row r="314" spans="1:15">
      <c r="A314" s="931" t="s">
        <v>300</v>
      </c>
      <c r="B314" s="920"/>
      <c r="C314" s="976">
        <v>5231570.2784323357</v>
      </c>
      <c r="D314" s="922"/>
      <c r="E314" s="976">
        <v>5219064.5578195509</v>
      </c>
      <c r="F314" s="922"/>
      <c r="G314" s="928"/>
      <c r="H314" s="930"/>
      <c r="I314" s="978">
        <v>661054</v>
      </c>
      <c r="J314" s="922"/>
      <c r="K314" s="978">
        <v>660059</v>
      </c>
      <c r="L314" s="922"/>
      <c r="M314" s="945"/>
      <c r="N314" s="929"/>
      <c r="O314" s="978">
        <v>660059</v>
      </c>
    </row>
    <row r="315" spans="1:15">
      <c r="A315" s="931" t="s">
        <v>654</v>
      </c>
      <c r="B315" s="920"/>
      <c r="C315" s="979">
        <v>221.916666666667</v>
      </c>
      <c r="D315" s="922"/>
      <c r="E315" s="979">
        <v>221</v>
      </c>
      <c r="F315" s="922"/>
      <c r="G315" s="994"/>
      <c r="H315" s="922"/>
      <c r="I315" s="980"/>
      <c r="J315" s="922"/>
      <c r="K315" s="980"/>
      <c r="L315" s="922"/>
      <c r="M315" s="994"/>
      <c r="N315" s="922"/>
      <c r="O315" s="980"/>
    </row>
    <row r="316" spans="1:15">
      <c r="A316" s="946" t="s">
        <v>339</v>
      </c>
      <c r="B316" s="920"/>
      <c r="C316" s="968"/>
      <c r="D316" s="922"/>
      <c r="E316" s="968"/>
      <c r="F316" s="922"/>
      <c r="G316" s="928"/>
      <c r="H316" s="929"/>
      <c r="I316" s="920"/>
      <c r="J316" s="922"/>
      <c r="K316" s="920"/>
      <c r="L316" s="922"/>
      <c r="M316" s="928"/>
      <c r="N316" s="929"/>
      <c r="O316" s="920"/>
    </row>
    <row r="317" spans="1:15">
      <c r="A317" s="931" t="s">
        <v>316</v>
      </c>
      <c r="B317" s="920"/>
      <c r="C317" s="968"/>
      <c r="D317" s="922"/>
      <c r="E317" s="968"/>
      <c r="F317" s="922"/>
      <c r="G317" s="928"/>
      <c r="H317" s="929"/>
      <c r="I317" s="975"/>
      <c r="J317" s="922"/>
      <c r="K317" s="975"/>
      <c r="L317" s="922"/>
      <c r="M317" s="928"/>
      <c r="N317" s="929"/>
      <c r="O317" s="975"/>
    </row>
    <row r="318" spans="1:15">
      <c r="A318" s="927" t="s">
        <v>294</v>
      </c>
      <c r="B318" s="920"/>
      <c r="C318" s="968">
        <v>36.000436350055601</v>
      </c>
      <c r="D318" s="922"/>
      <c r="E318" s="968">
        <v>36</v>
      </c>
      <c r="F318" s="922"/>
      <c r="G318" s="928">
        <v>17.73</v>
      </c>
      <c r="H318" s="929"/>
      <c r="I318" s="975">
        <v>638</v>
      </c>
      <c r="J318" s="922"/>
      <c r="K318" s="975">
        <v>638</v>
      </c>
      <c r="L318" s="922"/>
      <c r="M318" s="928">
        <v>17.73</v>
      </c>
      <c r="N318" s="929"/>
      <c r="O318" s="975">
        <v>638</v>
      </c>
    </row>
    <row r="319" spans="1:15">
      <c r="A319" s="927" t="s">
        <v>288</v>
      </c>
      <c r="B319" s="920"/>
      <c r="C319" s="968">
        <v>12.000041003772299</v>
      </c>
      <c r="D319" s="922"/>
      <c r="E319" s="968">
        <v>12</v>
      </c>
      <c r="F319" s="922"/>
      <c r="G319" s="928">
        <v>23.4</v>
      </c>
      <c r="H319" s="929"/>
      <c r="I319" s="975">
        <v>281</v>
      </c>
      <c r="J319" s="922"/>
      <c r="K319" s="975">
        <v>281</v>
      </c>
      <c r="L319" s="922"/>
      <c r="M319" s="928">
        <v>23.4</v>
      </c>
      <c r="N319" s="929"/>
      <c r="O319" s="975">
        <v>281</v>
      </c>
    </row>
    <row r="320" spans="1:15">
      <c r="A320" s="931" t="s">
        <v>319</v>
      </c>
      <c r="B320" s="920"/>
      <c r="C320" s="968"/>
      <c r="D320" s="922"/>
      <c r="E320" s="968"/>
      <c r="F320" s="922"/>
      <c r="G320" s="920"/>
      <c r="H320" s="922"/>
      <c r="I320" s="920"/>
      <c r="J320" s="922"/>
      <c r="K320" s="920"/>
      <c r="L320" s="922"/>
      <c r="M320" s="920"/>
      <c r="N320" s="922"/>
      <c r="O320" s="920"/>
    </row>
    <row r="321" spans="1:15">
      <c r="A321" s="927" t="s">
        <v>189</v>
      </c>
      <c r="B321" s="920"/>
      <c r="C321" s="968">
        <v>42.034242707857999</v>
      </c>
      <c r="D321" s="922"/>
      <c r="E321" s="968">
        <v>42</v>
      </c>
      <c r="F321" s="922"/>
      <c r="G321" s="928">
        <v>8.0299999999999994</v>
      </c>
      <c r="H321" s="929"/>
      <c r="I321" s="975">
        <v>338</v>
      </c>
      <c r="J321" s="922"/>
      <c r="K321" s="975">
        <v>337</v>
      </c>
      <c r="L321" s="922"/>
      <c r="M321" s="928">
        <v>8.0299999999999994</v>
      </c>
      <c r="N321" s="929"/>
      <c r="O321" s="975">
        <v>337</v>
      </c>
    </row>
    <row r="322" spans="1:15">
      <c r="A322" s="927" t="s">
        <v>191</v>
      </c>
      <c r="B322" s="920"/>
      <c r="C322" s="968">
        <v>0</v>
      </c>
      <c r="D322" s="922"/>
      <c r="E322" s="968">
        <v>0</v>
      </c>
      <c r="F322" s="922"/>
      <c r="G322" s="928">
        <v>15.3</v>
      </c>
      <c r="H322" s="929"/>
      <c r="I322" s="975">
        <v>0</v>
      </c>
      <c r="J322" s="922"/>
      <c r="K322" s="975">
        <v>0</v>
      </c>
      <c r="L322" s="922"/>
      <c r="M322" s="928">
        <v>15.3</v>
      </c>
      <c r="N322" s="929"/>
      <c r="O322" s="975">
        <v>0</v>
      </c>
    </row>
    <row r="323" spans="1:15">
      <c r="A323" s="927" t="s">
        <v>320</v>
      </c>
      <c r="B323" s="920"/>
      <c r="C323" s="976">
        <v>95.999915301790296</v>
      </c>
      <c r="D323" s="922"/>
      <c r="E323" s="968">
        <v>96</v>
      </c>
      <c r="F323" s="922"/>
      <c r="G323" s="929">
        <v>32.479999999999997</v>
      </c>
      <c r="H323" s="929"/>
      <c r="I323" s="975">
        <v>3118</v>
      </c>
      <c r="J323" s="922"/>
      <c r="K323" s="975">
        <v>3118</v>
      </c>
      <c r="L323" s="922"/>
      <c r="M323" s="929">
        <v>32.479999999999997</v>
      </c>
      <c r="N323" s="929"/>
      <c r="O323" s="978">
        <v>3118</v>
      </c>
    </row>
    <row r="324" spans="1:15">
      <c r="A324" s="931" t="s">
        <v>258</v>
      </c>
      <c r="B324" s="920"/>
      <c r="C324" s="968"/>
      <c r="D324" s="922"/>
      <c r="E324" s="968"/>
      <c r="F324" s="922"/>
      <c r="G324" s="936"/>
      <c r="H324" s="935"/>
      <c r="I324" s="975"/>
      <c r="J324" s="922"/>
      <c r="K324" s="975"/>
      <c r="L324" s="922"/>
      <c r="M324" s="936"/>
      <c r="N324" s="935"/>
      <c r="O324" s="975"/>
    </row>
    <row r="325" spans="1:15">
      <c r="A325" s="927" t="s">
        <v>304</v>
      </c>
      <c r="B325" s="920"/>
      <c r="C325" s="968">
        <v>4268.1193209775302</v>
      </c>
      <c r="D325" s="922"/>
      <c r="E325" s="968">
        <v>4275</v>
      </c>
      <c r="F325" s="922"/>
      <c r="G325" s="928">
        <v>4.68</v>
      </c>
      <c r="H325" s="929"/>
      <c r="I325" s="975">
        <v>19975</v>
      </c>
      <c r="J325" s="922"/>
      <c r="K325" s="975">
        <v>20007</v>
      </c>
      <c r="L325" s="922"/>
      <c r="M325" s="928">
        <v>4.68</v>
      </c>
      <c r="N325" s="929"/>
      <c r="O325" s="975">
        <v>20007</v>
      </c>
    </row>
    <row r="326" spans="1:15">
      <c r="A326" s="927" t="s">
        <v>305</v>
      </c>
      <c r="B326" s="920"/>
      <c r="C326" s="968">
        <v>14662.5657349134</v>
      </c>
      <c r="D326" s="922"/>
      <c r="E326" s="968">
        <v>14686</v>
      </c>
      <c r="F326" s="922"/>
      <c r="G326" s="928">
        <v>6.16</v>
      </c>
      <c r="H326" s="929"/>
      <c r="I326" s="975">
        <v>90321</v>
      </c>
      <c r="J326" s="922"/>
      <c r="K326" s="975">
        <v>90466</v>
      </c>
      <c r="L326" s="922"/>
      <c r="M326" s="928">
        <v>6.16</v>
      </c>
      <c r="N326" s="929"/>
      <c r="O326" s="975">
        <v>90466</v>
      </c>
    </row>
    <row r="327" spans="1:15">
      <c r="A327" s="927" t="s">
        <v>306</v>
      </c>
      <c r="B327" s="920"/>
      <c r="C327" s="968">
        <v>1256.98820773289</v>
      </c>
      <c r="D327" s="922"/>
      <c r="E327" s="968">
        <v>1259</v>
      </c>
      <c r="F327" s="922"/>
      <c r="G327" s="928">
        <v>7.47</v>
      </c>
      <c r="H327" s="929"/>
      <c r="I327" s="975">
        <v>9390</v>
      </c>
      <c r="J327" s="922"/>
      <c r="K327" s="975">
        <v>9405</v>
      </c>
      <c r="L327" s="922"/>
      <c r="M327" s="928">
        <v>7.47</v>
      </c>
      <c r="N327" s="929"/>
      <c r="O327" s="975">
        <v>9405</v>
      </c>
    </row>
    <row r="328" spans="1:15">
      <c r="A328" s="927" t="s">
        <v>199</v>
      </c>
      <c r="B328" s="920"/>
      <c r="C328" s="968">
        <v>0</v>
      </c>
      <c r="D328" s="922"/>
      <c r="E328" s="968">
        <v>0</v>
      </c>
      <c r="F328" s="922"/>
      <c r="G328" s="928">
        <v>9.44</v>
      </c>
      <c r="H328" s="929"/>
      <c r="I328" s="975">
        <v>0</v>
      </c>
      <c r="J328" s="922"/>
      <c r="K328" s="975">
        <v>0</v>
      </c>
      <c r="L328" s="922"/>
      <c r="M328" s="928">
        <v>9.44</v>
      </c>
      <c r="N328" s="929"/>
      <c r="O328" s="975">
        <v>0</v>
      </c>
    </row>
    <row r="329" spans="1:15">
      <c r="A329" s="927" t="s">
        <v>307</v>
      </c>
      <c r="B329" s="920"/>
      <c r="C329" s="968">
        <v>2404.51601943473</v>
      </c>
      <c r="D329" s="922"/>
      <c r="E329" s="968">
        <v>2408</v>
      </c>
      <c r="F329" s="922"/>
      <c r="G329" s="928">
        <v>10.99</v>
      </c>
      <c r="H329" s="929"/>
      <c r="I329" s="975">
        <v>26426</v>
      </c>
      <c r="J329" s="922"/>
      <c r="K329" s="975">
        <v>26464</v>
      </c>
      <c r="L329" s="922"/>
      <c r="M329" s="928">
        <v>10.99</v>
      </c>
      <c r="N329" s="929"/>
      <c r="O329" s="975">
        <v>26464</v>
      </c>
    </row>
    <row r="330" spans="1:15">
      <c r="A330" s="927" t="s">
        <v>308</v>
      </c>
      <c r="B330" s="920"/>
      <c r="C330" s="968">
        <v>1963.5984619163801</v>
      </c>
      <c r="D330" s="922"/>
      <c r="E330" s="968">
        <v>1967</v>
      </c>
      <c r="F330" s="922"/>
      <c r="G330" s="928">
        <v>16.02</v>
      </c>
      <c r="H330" s="929"/>
      <c r="I330" s="975">
        <v>31457</v>
      </c>
      <c r="J330" s="922"/>
      <c r="K330" s="975">
        <v>31511</v>
      </c>
      <c r="L330" s="922"/>
      <c r="M330" s="928">
        <v>16.02</v>
      </c>
      <c r="N330" s="929"/>
      <c r="O330" s="975">
        <v>31511</v>
      </c>
    </row>
    <row r="331" spans="1:15">
      <c r="A331" s="931" t="s">
        <v>274</v>
      </c>
      <c r="B331" s="920"/>
      <c r="C331" s="968"/>
      <c r="D331" s="922"/>
      <c r="E331" s="968"/>
      <c r="F331" s="922"/>
      <c r="G331" s="920"/>
      <c r="H331" s="922"/>
      <c r="I331" s="920"/>
      <c r="J331" s="922"/>
      <c r="K331" s="920"/>
      <c r="L331" s="922"/>
      <c r="M331" s="920"/>
      <c r="N331" s="922"/>
      <c r="O331" s="920"/>
    </row>
    <row r="332" spans="1:15">
      <c r="A332" s="927" t="s">
        <v>310</v>
      </c>
      <c r="B332" s="920"/>
      <c r="C332" s="968">
        <v>1186.25577910536</v>
      </c>
      <c r="D332" s="922"/>
      <c r="E332" s="968">
        <v>1188</v>
      </c>
      <c r="F332" s="922"/>
      <c r="G332" s="928">
        <v>15.58</v>
      </c>
      <c r="H332" s="929"/>
      <c r="I332" s="975">
        <v>18482</v>
      </c>
      <c r="J332" s="922"/>
      <c r="K332" s="975">
        <v>18509</v>
      </c>
      <c r="L332" s="922"/>
      <c r="M332" s="928">
        <v>15.58</v>
      </c>
      <c r="N332" s="929"/>
      <c r="O332" s="975">
        <v>18509</v>
      </c>
    </row>
    <row r="333" spans="1:15">
      <c r="A333" s="927" t="s">
        <v>311</v>
      </c>
      <c r="B333" s="920"/>
      <c r="C333" s="968">
        <v>722.78184805093895</v>
      </c>
      <c r="D333" s="922"/>
      <c r="E333" s="968">
        <v>724</v>
      </c>
      <c r="F333" s="922"/>
      <c r="G333" s="928">
        <v>15.73</v>
      </c>
      <c r="H333" s="929"/>
      <c r="I333" s="975">
        <v>11369</v>
      </c>
      <c r="J333" s="922"/>
      <c r="K333" s="975">
        <v>11389</v>
      </c>
      <c r="L333" s="922"/>
      <c r="M333" s="928">
        <v>15.73</v>
      </c>
      <c r="N333" s="929"/>
      <c r="O333" s="975">
        <v>11389</v>
      </c>
    </row>
    <row r="334" spans="1:15">
      <c r="A334" s="927" t="s">
        <v>312</v>
      </c>
      <c r="B334" s="920"/>
      <c r="C334" s="968">
        <v>879.85103801486798</v>
      </c>
      <c r="D334" s="922"/>
      <c r="E334" s="968">
        <v>881</v>
      </c>
      <c r="F334" s="922"/>
      <c r="G334" s="928">
        <v>16.72</v>
      </c>
      <c r="H334" s="929"/>
      <c r="I334" s="975">
        <v>14711</v>
      </c>
      <c r="J334" s="922"/>
      <c r="K334" s="975">
        <v>14730</v>
      </c>
      <c r="L334" s="922"/>
      <c r="M334" s="928">
        <v>16.72</v>
      </c>
      <c r="N334" s="929"/>
      <c r="O334" s="975">
        <v>14730</v>
      </c>
    </row>
    <row r="335" spans="1:15">
      <c r="A335" s="927" t="s">
        <v>343</v>
      </c>
      <c r="B335" s="920"/>
      <c r="C335" s="968">
        <v>96.0000314988811</v>
      </c>
      <c r="D335" s="922"/>
      <c r="E335" s="968">
        <v>96</v>
      </c>
      <c r="F335" s="922"/>
      <c r="G335" s="928">
        <v>33.049999999999997</v>
      </c>
      <c r="H335" s="929"/>
      <c r="I335" s="975">
        <v>3173</v>
      </c>
      <c r="J335" s="922"/>
      <c r="K335" s="975">
        <v>3173</v>
      </c>
      <c r="L335" s="922"/>
      <c r="M335" s="928">
        <v>33.049999999999997</v>
      </c>
      <c r="N335" s="929"/>
      <c r="O335" s="975">
        <v>3173</v>
      </c>
    </row>
    <row r="336" spans="1:15">
      <c r="A336" s="931" t="s">
        <v>314</v>
      </c>
      <c r="B336" s="920"/>
      <c r="C336" s="979">
        <v>1641492.9922078296</v>
      </c>
      <c r="D336" s="922"/>
      <c r="E336" s="979">
        <v>1644139.7735008644</v>
      </c>
      <c r="F336" s="922"/>
      <c r="G336" s="994"/>
      <c r="H336" s="922"/>
      <c r="I336" s="980">
        <v>229679</v>
      </c>
      <c r="J336" s="922"/>
      <c r="K336" s="980">
        <v>230028</v>
      </c>
      <c r="L336" s="922"/>
      <c r="M336" s="994"/>
      <c r="N336" s="922"/>
      <c r="O336" s="980">
        <v>230028</v>
      </c>
    </row>
    <row r="337" spans="1:15">
      <c r="A337" s="931" t="s">
        <v>216</v>
      </c>
      <c r="B337" s="920"/>
      <c r="C337" s="976">
        <v>-15430</v>
      </c>
      <c r="D337" s="922"/>
      <c r="E337" s="976"/>
      <c r="F337" s="922"/>
      <c r="G337" s="929"/>
      <c r="H337" s="930"/>
      <c r="I337" s="978">
        <v>-2370</v>
      </c>
      <c r="J337" s="922"/>
      <c r="K337" s="978"/>
      <c r="L337" s="922"/>
      <c r="M337" s="945"/>
      <c r="N337" s="929"/>
      <c r="O337" s="978"/>
    </row>
    <row r="338" spans="1:15">
      <c r="A338" s="931" t="s">
        <v>300</v>
      </c>
      <c r="B338" s="920"/>
      <c r="C338" s="976">
        <v>1626062.9922078296</v>
      </c>
      <c r="D338" s="922"/>
      <c r="E338" s="976">
        <v>1644139.7735008644</v>
      </c>
      <c r="F338" s="922"/>
      <c r="G338" s="929"/>
      <c r="H338" s="930"/>
      <c r="I338" s="978">
        <v>227309</v>
      </c>
      <c r="J338" s="922"/>
      <c r="K338" s="978">
        <v>230028</v>
      </c>
      <c r="L338" s="922"/>
      <c r="M338" s="945"/>
      <c r="N338" s="929"/>
      <c r="O338" s="978">
        <v>230028</v>
      </c>
    </row>
    <row r="339" spans="1:15">
      <c r="A339" s="931" t="s">
        <v>654</v>
      </c>
      <c r="B339" s="920"/>
      <c r="C339" s="979">
        <v>99.5</v>
      </c>
      <c r="D339" s="922"/>
      <c r="E339" s="979">
        <v>99</v>
      </c>
      <c r="F339" s="922"/>
      <c r="G339" s="994"/>
      <c r="H339" s="922"/>
      <c r="I339" s="980"/>
      <c r="J339" s="922"/>
      <c r="K339" s="980"/>
      <c r="L339" s="922"/>
      <c r="M339" s="994"/>
      <c r="N339" s="922"/>
      <c r="O339" s="980"/>
    </row>
    <row r="340" spans="1:15">
      <c r="A340" s="927"/>
      <c r="B340" s="920"/>
      <c r="C340" s="976"/>
      <c r="D340" s="922"/>
      <c r="E340" s="976"/>
      <c r="F340" s="922"/>
      <c r="G340" s="929"/>
      <c r="H340" s="929"/>
      <c r="I340" s="978"/>
      <c r="J340" s="922"/>
      <c r="K340" s="978"/>
      <c r="L340" s="922"/>
      <c r="M340" s="929"/>
      <c r="N340" s="929"/>
      <c r="O340" s="978"/>
    </row>
    <row r="341" spans="1:15">
      <c r="A341" s="927" t="s">
        <v>344</v>
      </c>
      <c r="B341" s="920"/>
      <c r="C341" s="996">
        <v>57830259.553552084</v>
      </c>
      <c r="D341" s="922"/>
      <c r="E341" s="996">
        <v>56516774.129293256</v>
      </c>
      <c r="F341" s="922"/>
      <c r="G341" s="994"/>
      <c r="H341" s="922"/>
      <c r="I341" s="980">
        <v>4234607</v>
      </c>
      <c r="J341" s="922"/>
      <c r="K341" s="980">
        <v>4144867</v>
      </c>
      <c r="L341" s="922"/>
      <c r="M341" s="994"/>
      <c r="N341" s="922"/>
      <c r="O341" s="980">
        <v>4144867</v>
      </c>
    </row>
    <row r="342" spans="1:15">
      <c r="A342" s="927" t="s">
        <v>11</v>
      </c>
      <c r="B342" s="920"/>
      <c r="C342" s="974">
        <v>851.08333333333394</v>
      </c>
      <c r="D342" s="922"/>
      <c r="E342" s="974">
        <v>839</v>
      </c>
      <c r="F342" s="922"/>
      <c r="G342" s="920"/>
      <c r="H342" s="922"/>
      <c r="I342" s="920"/>
      <c r="J342" s="922"/>
      <c r="K342" s="920"/>
      <c r="L342" s="922"/>
      <c r="M342" s="920"/>
      <c r="N342" s="922"/>
      <c r="O342" s="920"/>
    </row>
    <row r="343" spans="1:15">
      <c r="A343" s="927" t="s">
        <v>216</v>
      </c>
      <c r="B343" s="920"/>
      <c r="C343" s="996">
        <v>-544345</v>
      </c>
      <c r="D343" s="922"/>
      <c r="E343" s="996"/>
      <c r="F343" s="922"/>
      <c r="G343" s="994"/>
      <c r="H343" s="922"/>
      <c r="I343" s="980">
        <v>-43633</v>
      </c>
      <c r="J343" s="922"/>
      <c r="K343" s="980">
        <v>0</v>
      </c>
      <c r="L343" s="922"/>
      <c r="M343" s="994"/>
      <c r="N343" s="922"/>
      <c r="O343" s="980">
        <v>0</v>
      </c>
    </row>
    <row r="344" spans="1:15" ht="16.5" thickBot="1">
      <c r="A344" s="927" t="s">
        <v>300</v>
      </c>
      <c r="B344" s="920"/>
      <c r="C344" s="995">
        <v>57285914.553552084</v>
      </c>
      <c r="D344" s="922"/>
      <c r="E344" s="995">
        <v>56516774.129293256</v>
      </c>
      <c r="F344" s="922"/>
      <c r="G344" s="997"/>
      <c r="H344" s="998"/>
      <c r="I344" s="997">
        <v>4190974</v>
      </c>
      <c r="J344" s="922"/>
      <c r="K344" s="997">
        <v>4144867</v>
      </c>
      <c r="L344" s="922"/>
      <c r="M344" s="997"/>
      <c r="N344" s="998"/>
      <c r="O344" s="997">
        <v>4144867</v>
      </c>
    </row>
    <row r="345" spans="1:15" ht="16.5" thickTop="1">
      <c r="A345" s="927"/>
      <c r="B345" s="920"/>
      <c r="C345" s="999"/>
      <c r="D345" s="922"/>
      <c r="E345" s="999"/>
      <c r="F345" s="922"/>
      <c r="G345" s="922"/>
      <c r="H345" s="922"/>
      <c r="I345" s="978"/>
      <c r="J345" s="922"/>
      <c r="K345" s="978"/>
      <c r="L345" s="922"/>
      <c r="M345" s="922"/>
      <c r="N345" s="922"/>
      <c r="O345" s="978"/>
    </row>
    <row r="346" spans="1:15">
      <c r="A346" s="946" t="s">
        <v>655</v>
      </c>
      <c r="B346" s="920"/>
      <c r="C346" s="968"/>
      <c r="D346" s="922"/>
      <c r="E346" s="968"/>
      <c r="F346" s="922"/>
      <c r="G346" s="920"/>
      <c r="H346" s="922"/>
      <c r="I346" s="920"/>
      <c r="J346" s="922"/>
      <c r="K346" s="920"/>
      <c r="L346" s="922"/>
      <c r="M346" s="920"/>
      <c r="N346" s="922"/>
      <c r="O346" s="920"/>
    </row>
    <row r="347" spans="1:15">
      <c r="A347" s="927" t="s">
        <v>346</v>
      </c>
      <c r="B347" s="920"/>
      <c r="C347" s="968">
        <v>20927.416870428282</v>
      </c>
      <c r="D347" s="922"/>
      <c r="E347" s="968">
        <v>20286</v>
      </c>
      <c r="F347" s="922"/>
      <c r="G347" s="928">
        <v>11</v>
      </c>
      <c r="H347" s="929"/>
      <c r="I347" s="975">
        <v>230202</v>
      </c>
      <c r="J347" s="922"/>
      <c r="K347" s="975">
        <v>223146</v>
      </c>
      <c r="L347" s="922"/>
      <c r="M347" s="928">
        <v>11</v>
      </c>
      <c r="N347" s="929"/>
      <c r="O347" s="975">
        <v>223146</v>
      </c>
    </row>
    <row r="348" spans="1:15">
      <c r="A348" s="927" t="s">
        <v>347</v>
      </c>
      <c r="B348" s="920"/>
      <c r="C348" s="968">
        <v>484.23592310743373</v>
      </c>
      <c r="D348" s="922"/>
      <c r="E348" s="968">
        <v>497</v>
      </c>
      <c r="F348" s="922"/>
      <c r="G348" s="928">
        <v>72.5</v>
      </c>
      <c r="H348" s="929"/>
      <c r="I348" s="975">
        <v>35107</v>
      </c>
      <c r="J348" s="922"/>
      <c r="K348" s="975">
        <v>36033</v>
      </c>
      <c r="L348" s="922"/>
      <c r="M348" s="928">
        <v>72.5</v>
      </c>
      <c r="N348" s="929"/>
      <c r="O348" s="975">
        <v>36033</v>
      </c>
    </row>
    <row r="349" spans="1:15">
      <c r="A349" s="927" t="s">
        <v>348</v>
      </c>
      <c r="B349" s="920"/>
      <c r="C349" s="1000">
        <v>0</v>
      </c>
      <c r="D349" s="922"/>
      <c r="E349" s="1000">
        <v>0</v>
      </c>
      <c r="F349" s="922"/>
      <c r="G349" s="928">
        <v>127.5</v>
      </c>
      <c r="H349" s="929"/>
      <c r="I349" s="975">
        <v>0</v>
      </c>
      <c r="J349" s="922"/>
      <c r="K349" s="975">
        <v>0</v>
      </c>
      <c r="L349" s="922"/>
      <c r="M349" s="928">
        <v>127.5</v>
      </c>
      <c r="N349" s="929"/>
      <c r="O349" s="975">
        <v>0</v>
      </c>
    </row>
    <row r="350" spans="1:15">
      <c r="A350" s="927" t="s">
        <v>349</v>
      </c>
      <c r="B350" s="920"/>
      <c r="C350" s="968">
        <v>6022.3612903225821</v>
      </c>
      <c r="D350" s="922"/>
      <c r="E350" s="968">
        <v>6182</v>
      </c>
      <c r="F350" s="922"/>
      <c r="G350" s="928">
        <v>6.2</v>
      </c>
      <c r="H350" s="929"/>
      <c r="I350" s="975">
        <v>37339</v>
      </c>
      <c r="J350" s="922"/>
      <c r="K350" s="975">
        <v>38328</v>
      </c>
      <c r="L350" s="922"/>
      <c r="M350" s="928">
        <v>6.2</v>
      </c>
      <c r="N350" s="929"/>
      <c r="O350" s="975">
        <v>38328</v>
      </c>
    </row>
    <row r="351" spans="1:15">
      <c r="A351" s="927" t="s">
        <v>350</v>
      </c>
      <c r="B351" s="920"/>
      <c r="C351" s="968">
        <v>18082976</v>
      </c>
      <c r="D351" s="922"/>
      <c r="E351" s="968">
        <v>17536444.611929484</v>
      </c>
      <c r="F351" s="922"/>
      <c r="G351" s="942">
        <v>5.3437000000000001</v>
      </c>
      <c r="H351" s="930" t="s">
        <v>108</v>
      </c>
      <c r="I351" s="975">
        <v>966300</v>
      </c>
      <c r="J351" s="922"/>
      <c r="K351" s="975">
        <v>937095</v>
      </c>
      <c r="L351" s="922"/>
      <c r="M351" s="941">
        <v>5.3437000000000001</v>
      </c>
      <c r="N351" s="930" t="s">
        <v>108</v>
      </c>
      <c r="O351" s="975">
        <v>937095</v>
      </c>
    </row>
    <row r="352" spans="1:15">
      <c r="A352" s="927" t="s">
        <v>351</v>
      </c>
      <c r="B352" s="920"/>
      <c r="C352" s="979">
        <v>28295</v>
      </c>
      <c r="D352" s="922"/>
      <c r="E352" s="979">
        <v>0</v>
      </c>
      <c r="F352" s="922"/>
      <c r="G352" s="920"/>
      <c r="H352" s="922"/>
      <c r="I352" s="980">
        <v>6494</v>
      </c>
      <c r="J352" s="922"/>
      <c r="K352" s="980">
        <v>0</v>
      </c>
      <c r="L352" s="922"/>
      <c r="M352" s="920"/>
      <c r="N352" s="922"/>
      <c r="O352" s="980">
        <v>0</v>
      </c>
    </row>
    <row r="353" spans="1:15" ht="16.5" thickBot="1">
      <c r="A353" s="920" t="s">
        <v>300</v>
      </c>
      <c r="B353" s="920"/>
      <c r="C353" s="988">
        <v>18111271</v>
      </c>
      <c r="D353" s="922"/>
      <c r="E353" s="988">
        <v>17536444.611929484</v>
      </c>
      <c r="F353" s="922"/>
      <c r="G353" s="986"/>
      <c r="H353" s="922"/>
      <c r="I353" s="987">
        <v>1275442</v>
      </c>
      <c r="J353" s="922"/>
      <c r="K353" s="987">
        <v>1234602</v>
      </c>
      <c r="L353" s="922"/>
      <c r="M353" s="986"/>
      <c r="N353" s="922"/>
      <c r="O353" s="987">
        <v>1234602</v>
      </c>
    </row>
    <row r="354" spans="1:15" ht="16.5" thickTop="1">
      <c r="A354" s="927"/>
      <c r="B354" s="920"/>
      <c r="C354" s="999"/>
      <c r="D354" s="922"/>
      <c r="E354" s="999"/>
      <c r="F354" s="922"/>
      <c r="G354" s="922"/>
      <c r="H354" s="922"/>
      <c r="I354" s="978"/>
      <c r="J354" s="922"/>
      <c r="K354" s="978"/>
      <c r="L354" s="922"/>
      <c r="M354" s="922"/>
      <c r="N354" s="922"/>
      <c r="O354" s="978"/>
    </row>
    <row r="355" spans="1:15">
      <c r="A355" s="946" t="s">
        <v>656</v>
      </c>
      <c r="B355" s="920"/>
      <c r="C355" s="968"/>
      <c r="D355" s="922"/>
      <c r="E355" s="968"/>
      <c r="F355" s="922"/>
      <c r="G355" s="922"/>
      <c r="H355" s="922"/>
      <c r="I355" s="978"/>
      <c r="J355" s="922"/>
      <c r="K355" s="978"/>
      <c r="L355" s="922"/>
      <c r="M355" s="922"/>
      <c r="N355" s="922"/>
      <c r="O355" s="978"/>
    </row>
    <row r="356" spans="1:15">
      <c r="A356" s="927" t="s">
        <v>353</v>
      </c>
      <c r="B356" s="920"/>
      <c r="C356" s="968">
        <v>29607.495495666979</v>
      </c>
      <c r="D356" s="922"/>
      <c r="E356" s="968">
        <v>29596</v>
      </c>
      <c r="F356" s="922"/>
      <c r="G356" s="928">
        <v>5.5</v>
      </c>
      <c r="H356" s="929"/>
      <c r="I356" s="975">
        <v>162841</v>
      </c>
      <c r="J356" s="922"/>
      <c r="K356" s="975">
        <v>162778</v>
      </c>
      <c r="L356" s="922"/>
      <c r="M356" s="928">
        <v>6</v>
      </c>
      <c r="N356" s="929"/>
      <c r="O356" s="975">
        <v>177576</v>
      </c>
    </row>
    <row r="357" spans="1:15">
      <c r="A357" s="927" t="s">
        <v>350</v>
      </c>
      <c r="B357" s="920"/>
      <c r="C357" s="968">
        <v>6289438.1033178996</v>
      </c>
      <c r="D357" s="922"/>
      <c r="E357" s="968">
        <v>6177947.158763391</v>
      </c>
      <c r="F357" s="922"/>
      <c r="G357" s="943">
        <v>8.4048999999999996</v>
      </c>
      <c r="H357" s="930" t="s">
        <v>108</v>
      </c>
      <c r="I357" s="975">
        <v>528621</v>
      </c>
      <c r="J357" s="922"/>
      <c r="K357" s="975">
        <v>519250</v>
      </c>
      <c r="L357" s="922"/>
      <c r="M357" s="941">
        <v>8.9481999999999999</v>
      </c>
      <c r="N357" s="930" t="s">
        <v>108</v>
      </c>
      <c r="O357" s="975">
        <v>552815</v>
      </c>
    </row>
    <row r="358" spans="1:15">
      <c r="A358" s="927" t="s">
        <v>351</v>
      </c>
      <c r="B358" s="920"/>
      <c r="C358" s="1001">
        <v>-34137</v>
      </c>
      <c r="D358" s="922"/>
      <c r="E358" s="1001">
        <v>0</v>
      </c>
      <c r="F358" s="922"/>
      <c r="G358" s="920"/>
      <c r="H358" s="922"/>
      <c r="I358" s="980">
        <v>-3126</v>
      </c>
      <c r="J358" s="922"/>
      <c r="K358" s="980">
        <v>0</v>
      </c>
      <c r="L358" s="922"/>
      <c r="M358" s="920"/>
      <c r="N358" s="922"/>
      <c r="O358" s="980">
        <v>0</v>
      </c>
    </row>
    <row r="359" spans="1:15" ht="16.5" thickBot="1">
      <c r="A359" s="920" t="s">
        <v>300</v>
      </c>
      <c r="B359" s="920"/>
      <c r="C359" s="988">
        <v>6255301.1033178996</v>
      </c>
      <c r="D359" s="922"/>
      <c r="E359" s="988">
        <v>6177947.158763391</v>
      </c>
      <c r="F359" s="922"/>
      <c r="G359" s="986"/>
      <c r="H359" s="922"/>
      <c r="I359" s="987">
        <v>688336</v>
      </c>
      <c r="J359" s="922"/>
      <c r="K359" s="987">
        <v>682028</v>
      </c>
      <c r="L359" s="922"/>
      <c r="M359" s="986"/>
      <c r="N359" s="922"/>
      <c r="O359" s="987">
        <v>730391</v>
      </c>
    </row>
    <row r="360" spans="1:15" ht="16.5" thickTop="1">
      <c r="A360" s="920"/>
      <c r="B360" s="920"/>
      <c r="C360" s="968"/>
      <c r="D360" s="922"/>
      <c r="E360" s="968"/>
      <c r="F360" s="922"/>
      <c r="G360" s="920"/>
      <c r="H360" s="922"/>
      <c r="I360" s="920"/>
      <c r="J360" s="922"/>
      <c r="K360" s="920"/>
      <c r="L360" s="922"/>
      <c r="M360" s="920"/>
      <c r="N360" s="922"/>
      <c r="O360" s="920"/>
    </row>
    <row r="361" spans="1:15">
      <c r="A361" s="926" t="s">
        <v>354</v>
      </c>
      <c r="B361" s="920"/>
      <c r="C361" s="968"/>
      <c r="D361" s="922"/>
      <c r="E361" s="968"/>
      <c r="F361" s="922"/>
      <c r="G361" s="920"/>
      <c r="H361" s="922"/>
      <c r="I361" s="920"/>
      <c r="J361" s="922"/>
      <c r="K361" s="920"/>
      <c r="L361" s="922"/>
      <c r="M361" s="920"/>
      <c r="N361" s="922"/>
      <c r="O361" s="920"/>
    </row>
    <row r="362" spans="1:15">
      <c r="A362" s="947" t="s">
        <v>355</v>
      </c>
      <c r="B362" s="920"/>
      <c r="C362" s="968"/>
      <c r="D362" s="922"/>
      <c r="E362" s="968"/>
      <c r="F362" s="922"/>
      <c r="G362" s="920"/>
      <c r="H362" s="922"/>
      <c r="I362" s="920"/>
      <c r="J362" s="922"/>
      <c r="K362" s="920"/>
      <c r="L362" s="922"/>
      <c r="M362" s="920"/>
      <c r="N362" s="922"/>
      <c r="O362" s="920"/>
    </row>
    <row r="363" spans="1:15">
      <c r="A363" s="927" t="s">
        <v>104</v>
      </c>
      <c r="B363" s="920"/>
      <c r="C363" s="968">
        <v>35.999947163947198</v>
      </c>
      <c r="D363" s="922"/>
      <c r="E363" s="976">
        <v>36</v>
      </c>
      <c r="F363" s="922"/>
      <c r="G363" s="928">
        <v>121</v>
      </c>
      <c r="H363" s="929"/>
      <c r="I363" s="975">
        <v>4356</v>
      </c>
      <c r="J363" s="922"/>
      <c r="K363" s="975">
        <v>4356</v>
      </c>
      <c r="L363" s="922"/>
      <c r="M363" s="928">
        <v>128</v>
      </c>
      <c r="N363" s="929"/>
      <c r="O363" s="975">
        <v>4608</v>
      </c>
    </row>
    <row r="364" spans="1:15">
      <c r="A364" s="927" t="s">
        <v>356</v>
      </c>
      <c r="B364" s="920"/>
      <c r="C364" s="968">
        <v>9426.0034639865989</v>
      </c>
      <c r="D364" s="922"/>
      <c r="E364" s="976">
        <v>10893</v>
      </c>
      <c r="F364" s="922"/>
      <c r="G364" s="928">
        <v>4.0999999999999996</v>
      </c>
      <c r="H364" s="929"/>
      <c r="I364" s="975">
        <v>38647</v>
      </c>
      <c r="J364" s="922"/>
      <c r="K364" s="975">
        <v>44661</v>
      </c>
      <c r="L364" s="922"/>
      <c r="M364" s="928">
        <v>4.3499999999999996</v>
      </c>
      <c r="N364" s="929"/>
      <c r="O364" s="975">
        <v>47385</v>
      </c>
    </row>
    <row r="365" spans="1:15">
      <c r="A365" s="927" t="s">
        <v>357</v>
      </c>
      <c r="B365" s="920"/>
      <c r="C365" s="968">
        <v>366742</v>
      </c>
      <c r="D365" s="922"/>
      <c r="E365" s="976">
        <v>423833</v>
      </c>
      <c r="F365" s="922"/>
      <c r="G365" s="948">
        <v>6.5263999999999998</v>
      </c>
      <c r="H365" s="930" t="s">
        <v>108</v>
      </c>
      <c r="I365" s="975">
        <v>23935</v>
      </c>
      <c r="J365" s="922"/>
      <c r="K365" s="975">
        <v>27661</v>
      </c>
      <c r="L365" s="922"/>
      <c r="M365" s="948">
        <v>6.9242999999999997</v>
      </c>
      <c r="N365" s="930" t="s">
        <v>108</v>
      </c>
      <c r="O365" s="975">
        <v>29347</v>
      </c>
    </row>
    <row r="366" spans="1:15">
      <c r="A366" s="927" t="s">
        <v>245</v>
      </c>
      <c r="B366" s="920"/>
      <c r="C366" s="968">
        <v>0</v>
      </c>
      <c r="D366" s="922"/>
      <c r="E366" s="976">
        <v>0</v>
      </c>
      <c r="F366" s="922"/>
      <c r="G366" s="948">
        <v>5.4798999999999998</v>
      </c>
      <c r="H366" s="930" t="s">
        <v>108</v>
      </c>
      <c r="I366" s="975">
        <v>0</v>
      </c>
      <c r="J366" s="922"/>
      <c r="K366" s="975">
        <v>0</v>
      </c>
      <c r="L366" s="922"/>
      <c r="M366" s="948">
        <v>5.8140000000000001</v>
      </c>
      <c r="N366" s="930" t="s">
        <v>108</v>
      </c>
      <c r="O366" s="975">
        <v>0</v>
      </c>
    </row>
    <row r="367" spans="1:15">
      <c r="A367" s="927" t="s">
        <v>132</v>
      </c>
      <c r="B367" s="920"/>
      <c r="C367" s="979">
        <v>0</v>
      </c>
      <c r="D367" s="922"/>
      <c r="E367" s="979">
        <v>0</v>
      </c>
      <c r="F367" s="922"/>
      <c r="G367" s="948"/>
      <c r="H367" s="945"/>
      <c r="I367" s="980">
        <v>0</v>
      </c>
      <c r="J367" s="922"/>
      <c r="K367" s="980"/>
      <c r="L367" s="922"/>
      <c r="M367" s="948"/>
      <c r="N367" s="945"/>
      <c r="O367" s="980">
        <v>0</v>
      </c>
    </row>
    <row r="368" spans="1:15">
      <c r="A368" s="927" t="s">
        <v>358</v>
      </c>
      <c r="B368" s="920"/>
      <c r="C368" s="968">
        <v>366742</v>
      </c>
      <c r="D368" s="922"/>
      <c r="E368" s="968">
        <v>423833</v>
      </c>
      <c r="F368" s="922"/>
      <c r="G368" s="939"/>
      <c r="H368" s="940"/>
      <c r="I368" s="975">
        <v>66938</v>
      </c>
      <c r="J368" s="922"/>
      <c r="K368" s="975">
        <v>76678</v>
      </c>
      <c r="L368" s="922"/>
      <c r="M368" s="939"/>
      <c r="N368" s="940"/>
      <c r="O368" s="975">
        <v>81340</v>
      </c>
    </row>
    <row r="369" spans="1:15">
      <c r="A369" s="947" t="s">
        <v>359</v>
      </c>
      <c r="B369" s="920"/>
      <c r="C369" s="968"/>
      <c r="D369" s="922"/>
      <c r="E369" s="976"/>
      <c r="F369" s="922"/>
      <c r="G369" s="939"/>
      <c r="H369" s="940"/>
      <c r="I369" s="920"/>
      <c r="J369" s="922"/>
      <c r="K369" s="920"/>
      <c r="L369" s="922"/>
      <c r="M369" s="939"/>
      <c r="N369" s="940"/>
      <c r="O369" s="920"/>
    </row>
    <row r="370" spans="1:15">
      <c r="A370" s="927" t="s">
        <v>104</v>
      </c>
      <c r="B370" s="920"/>
      <c r="C370" s="968">
        <v>23.999992229992198</v>
      </c>
      <c r="D370" s="922"/>
      <c r="E370" s="976">
        <v>24</v>
      </c>
      <c r="F370" s="922"/>
      <c r="G370" s="928">
        <v>121</v>
      </c>
      <c r="H370" s="929"/>
      <c r="I370" s="975">
        <v>2904</v>
      </c>
      <c r="J370" s="922"/>
      <c r="K370" s="975">
        <v>2904</v>
      </c>
      <c r="L370" s="922"/>
      <c r="M370" s="928">
        <v>128</v>
      </c>
      <c r="N370" s="929"/>
      <c r="O370" s="975">
        <v>3072</v>
      </c>
    </row>
    <row r="371" spans="1:15">
      <c r="A371" s="927" t="s">
        <v>356</v>
      </c>
      <c r="B371" s="920"/>
      <c r="C371" s="968">
        <v>41396.999745393594</v>
      </c>
      <c r="D371" s="922"/>
      <c r="E371" s="976">
        <v>47371</v>
      </c>
      <c r="F371" s="922"/>
      <c r="G371" s="928">
        <v>4.0999999999999996</v>
      </c>
      <c r="H371" s="929"/>
      <c r="I371" s="975">
        <v>169728</v>
      </c>
      <c r="J371" s="922"/>
      <c r="K371" s="975">
        <v>194221</v>
      </c>
      <c r="L371" s="922"/>
      <c r="M371" s="928">
        <v>4.3499999999999996</v>
      </c>
      <c r="N371" s="929"/>
      <c r="O371" s="975">
        <v>206064</v>
      </c>
    </row>
    <row r="372" spans="1:15">
      <c r="A372" s="927" t="s">
        <v>357</v>
      </c>
      <c r="B372" s="920"/>
      <c r="C372" s="968">
        <v>2302472</v>
      </c>
      <c r="D372" s="922"/>
      <c r="E372" s="976">
        <v>2660898</v>
      </c>
      <c r="F372" s="922"/>
      <c r="G372" s="948">
        <v>5.1345999999999998</v>
      </c>
      <c r="H372" s="930" t="s">
        <v>108</v>
      </c>
      <c r="I372" s="975">
        <v>118223</v>
      </c>
      <c r="J372" s="922"/>
      <c r="K372" s="975">
        <v>136626</v>
      </c>
      <c r="L372" s="922"/>
      <c r="M372" s="948">
        <v>5.4476000000000004</v>
      </c>
      <c r="N372" s="930" t="s">
        <v>108</v>
      </c>
      <c r="O372" s="975">
        <v>144955</v>
      </c>
    </row>
    <row r="373" spans="1:15">
      <c r="A373" s="927" t="s">
        <v>245</v>
      </c>
      <c r="B373" s="920"/>
      <c r="C373" s="968">
        <v>834121</v>
      </c>
      <c r="D373" s="922"/>
      <c r="E373" s="976">
        <v>963969.33770158794</v>
      </c>
      <c r="F373" s="922"/>
      <c r="G373" s="948">
        <v>4.4977</v>
      </c>
      <c r="H373" s="930" t="s">
        <v>108</v>
      </c>
      <c r="I373" s="975">
        <v>37516</v>
      </c>
      <c r="J373" s="922"/>
      <c r="K373" s="975">
        <v>43356</v>
      </c>
      <c r="L373" s="922"/>
      <c r="M373" s="948">
        <v>4.7713999999999999</v>
      </c>
      <c r="N373" s="930" t="s">
        <v>108</v>
      </c>
      <c r="O373" s="975">
        <v>45995</v>
      </c>
    </row>
    <row r="374" spans="1:15">
      <c r="A374" s="927" t="s">
        <v>132</v>
      </c>
      <c r="B374" s="920"/>
      <c r="C374" s="979">
        <v>31112</v>
      </c>
      <c r="D374" s="922"/>
      <c r="E374" s="979">
        <v>0</v>
      </c>
      <c r="F374" s="922"/>
      <c r="G374" s="948"/>
      <c r="H374" s="945"/>
      <c r="I374" s="980">
        <v>4182</v>
      </c>
      <c r="J374" s="922"/>
      <c r="K374" s="980">
        <v>0</v>
      </c>
      <c r="L374" s="922"/>
      <c r="M374" s="948"/>
      <c r="N374" s="945"/>
      <c r="O374" s="980">
        <v>0</v>
      </c>
    </row>
    <row r="375" spans="1:15">
      <c r="A375" s="927" t="s">
        <v>358</v>
      </c>
      <c r="B375" s="920"/>
      <c r="C375" s="968">
        <v>3167705</v>
      </c>
      <c r="D375" s="922"/>
      <c r="E375" s="968">
        <v>3624867.3377015879</v>
      </c>
      <c r="F375" s="922"/>
      <c r="G375" s="939"/>
      <c r="H375" s="940"/>
      <c r="I375" s="975">
        <v>332553</v>
      </c>
      <c r="J375" s="922"/>
      <c r="K375" s="975">
        <v>377107</v>
      </c>
      <c r="L375" s="922"/>
      <c r="M375" s="939"/>
      <c r="N375" s="940"/>
      <c r="O375" s="975">
        <v>400086</v>
      </c>
    </row>
    <row r="376" spans="1:15" ht="16.5" thickBot="1">
      <c r="A376" s="927" t="s">
        <v>134</v>
      </c>
      <c r="B376" s="920"/>
      <c r="C376" s="988">
        <v>3534447</v>
      </c>
      <c r="D376" s="922"/>
      <c r="E376" s="988">
        <v>4048700.3377015879</v>
      </c>
      <c r="F376" s="922"/>
      <c r="G376" s="986"/>
      <c r="H376" s="922"/>
      <c r="I376" s="987">
        <v>399491</v>
      </c>
      <c r="J376" s="922"/>
      <c r="K376" s="987">
        <v>453785</v>
      </c>
      <c r="L376" s="922"/>
      <c r="M376" s="986"/>
      <c r="N376" s="922"/>
      <c r="O376" s="987">
        <v>481426</v>
      </c>
    </row>
    <row r="377" spans="1:15" ht="16.5" thickTop="1">
      <c r="A377" s="920"/>
      <c r="B377" s="920"/>
      <c r="C377" s="968"/>
      <c r="D377" s="922"/>
      <c r="E377" s="968"/>
      <c r="F377" s="922"/>
      <c r="G377" s="920"/>
      <c r="H377" s="922"/>
      <c r="I377" s="920"/>
      <c r="J377" s="922"/>
      <c r="K377" s="920"/>
      <c r="L377" s="922"/>
      <c r="M377" s="920"/>
      <c r="N377" s="922"/>
      <c r="O377" s="920"/>
    </row>
    <row r="378" spans="1:15">
      <c r="A378" s="926" t="s">
        <v>639</v>
      </c>
      <c r="B378" s="920"/>
      <c r="C378" s="968"/>
      <c r="D378" s="922"/>
      <c r="E378" s="1002"/>
      <c r="F378" s="922"/>
      <c r="G378" s="920"/>
      <c r="H378" s="922"/>
      <c r="I378" s="920"/>
      <c r="J378" s="922"/>
      <c r="K378" s="920"/>
      <c r="L378" s="922"/>
      <c r="M378" s="920"/>
      <c r="N378" s="922"/>
      <c r="O378" s="920"/>
    </row>
    <row r="379" spans="1:15">
      <c r="A379" s="927" t="s">
        <v>104</v>
      </c>
      <c r="B379" s="920"/>
      <c r="C379" s="968">
        <v>967220.60582103161</v>
      </c>
      <c r="D379" s="922"/>
      <c r="E379" s="968">
        <v>992017.98512850888</v>
      </c>
      <c r="F379" s="922"/>
      <c r="G379" s="928">
        <v>10</v>
      </c>
      <c r="H379" s="929"/>
      <c r="I379" s="975">
        <v>9672206</v>
      </c>
      <c r="J379" s="922"/>
      <c r="K379" s="975">
        <v>9920180</v>
      </c>
      <c r="L379" s="922"/>
      <c r="M379" s="928">
        <v>11</v>
      </c>
      <c r="N379" s="929"/>
      <c r="O379" s="975">
        <v>10912198</v>
      </c>
    </row>
    <row r="380" spans="1:15">
      <c r="A380" s="927" t="s">
        <v>152</v>
      </c>
      <c r="B380" s="920"/>
      <c r="C380" s="968">
        <v>378276.25014969736</v>
      </c>
      <c r="D380" s="922"/>
      <c r="E380" s="968">
        <v>387746</v>
      </c>
      <c r="F380" s="922"/>
      <c r="G380" s="928">
        <v>8.5500000000000007</v>
      </c>
      <c r="H380" s="929"/>
      <c r="I380" s="975">
        <v>3234262</v>
      </c>
      <c r="J380" s="922"/>
      <c r="K380" s="975">
        <v>3315228</v>
      </c>
      <c r="L380" s="922"/>
      <c r="M380" s="928">
        <v>8.75</v>
      </c>
      <c r="N380" s="929"/>
      <c r="O380" s="975">
        <v>3392778</v>
      </c>
    </row>
    <row r="381" spans="1:15">
      <c r="A381" s="927" t="s">
        <v>153</v>
      </c>
      <c r="B381" s="920"/>
      <c r="C381" s="968">
        <v>338714.94026915211</v>
      </c>
      <c r="D381" s="922"/>
      <c r="E381" s="968">
        <v>347761</v>
      </c>
      <c r="F381" s="922"/>
      <c r="G381" s="928">
        <v>8.6</v>
      </c>
      <c r="H381" s="929"/>
      <c r="I381" s="975">
        <v>2912948</v>
      </c>
      <c r="J381" s="922"/>
      <c r="K381" s="975">
        <v>2990745</v>
      </c>
      <c r="L381" s="922"/>
      <c r="M381" s="928">
        <v>8.8000000000000007</v>
      </c>
      <c r="N381" s="929"/>
      <c r="O381" s="975">
        <v>3060297</v>
      </c>
    </row>
    <row r="382" spans="1:15">
      <c r="A382" s="927" t="s">
        <v>154</v>
      </c>
      <c r="B382" s="920"/>
      <c r="C382" s="968">
        <v>6693.5196217494104</v>
      </c>
      <c r="D382" s="922"/>
      <c r="E382" s="968">
        <v>7029</v>
      </c>
      <c r="F382" s="922"/>
      <c r="G382" s="928">
        <v>-0.48</v>
      </c>
      <c r="H382" s="929"/>
      <c r="I382" s="975">
        <v>-3213</v>
      </c>
      <c r="J382" s="922"/>
      <c r="K382" s="975">
        <v>-3374</v>
      </c>
      <c r="L382" s="922"/>
      <c r="M382" s="928">
        <v>-0.49</v>
      </c>
      <c r="N382" s="929"/>
      <c r="O382" s="975">
        <v>-3444</v>
      </c>
    </row>
    <row r="383" spans="1:15">
      <c r="A383" s="927" t="s">
        <v>155</v>
      </c>
      <c r="B383" s="920"/>
      <c r="C383" s="968">
        <v>282719049.38744038</v>
      </c>
      <c r="D383" s="922"/>
      <c r="E383" s="968">
        <v>295977608</v>
      </c>
      <c r="F383" s="922"/>
      <c r="G383" s="893">
        <v>11.6096</v>
      </c>
      <c r="H383" s="930" t="s">
        <v>108</v>
      </c>
      <c r="I383" s="975">
        <v>32822551</v>
      </c>
      <c r="J383" s="922"/>
      <c r="K383" s="975">
        <v>34361816</v>
      </c>
      <c r="L383" s="922"/>
      <c r="M383" s="893">
        <v>11.9062</v>
      </c>
      <c r="N383" s="930" t="s">
        <v>108</v>
      </c>
      <c r="O383" s="975">
        <v>35239686</v>
      </c>
    </row>
    <row r="384" spans="1:15">
      <c r="A384" s="927" t="s">
        <v>156</v>
      </c>
      <c r="B384" s="920"/>
      <c r="C384" s="968">
        <v>297447323.3138063</v>
      </c>
      <c r="D384" s="922"/>
      <c r="E384" s="968">
        <v>309000007.78318173</v>
      </c>
      <c r="F384" s="922"/>
      <c r="G384" s="893">
        <v>6.5087999999999999</v>
      </c>
      <c r="H384" s="930" t="s">
        <v>108</v>
      </c>
      <c r="I384" s="975">
        <v>19360251</v>
      </c>
      <c r="J384" s="922"/>
      <c r="K384" s="975">
        <v>20112193</v>
      </c>
      <c r="L384" s="922"/>
      <c r="M384" s="893">
        <v>6.6750999999999996</v>
      </c>
      <c r="N384" s="930" t="s">
        <v>108</v>
      </c>
      <c r="O384" s="975">
        <v>20626060</v>
      </c>
    </row>
    <row r="385" spans="1:15">
      <c r="A385" s="927" t="s">
        <v>157</v>
      </c>
      <c r="B385" s="920"/>
      <c r="C385" s="968">
        <v>409917070.90526915</v>
      </c>
      <c r="D385" s="922"/>
      <c r="E385" s="968">
        <v>424820226</v>
      </c>
      <c r="F385" s="922"/>
      <c r="G385" s="893">
        <v>10.6859</v>
      </c>
      <c r="H385" s="930" t="s">
        <v>108</v>
      </c>
      <c r="I385" s="975">
        <v>43803328</v>
      </c>
      <c r="J385" s="922"/>
      <c r="K385" s="975">
        <v>45395865</v>
      </c>
      <c r="L385" s="922"/>
      <c r="M385" s="893">
        <v>10.9589</v>
      </c>
      <c r="N385" s="930" t="s">
        <v>108</v>
      </c>
      <c r="O385" s="975">
        <v>46555624</v>
      </c>
    </row>
    <row r="386" spans="1:15">
      <c r="A386" s="927" t="s">
        <v>158</v>
      </c>
      <c r="B386" s="920"/>
      <c r="C386" s="968">
        <v>350800493.37421006</v>
      </c>
      <c r="D386" s="922"/>
      <c r="E386" s="968">
        <v>361090368.97025329</v>
      </c>
      <c r="F386" s="922"/>
      <c r="G386" s="893">
        <v>5.9947000000000008</v>
      </c>
      <c r="H386" s="930" t="s">
        <v>108</v>
      </c>
      <c r="I386" s="975">
        <v>21029437</v>
      </c>
      <c r="J386" s="922"/>
      <c r="K386" s="975">
        <v>21646284</v>
      </c>
      <c r="L386" s="922"/>
      <c r="M386" s="893">
        <v>6.1518999999999995</v>
      </c>
      <c r="N386" s="930" t="s">
        <v>108</v>
      </c>
      <c r="O386" s="975">
        <v>22213918</v>
      </c>
    </row>
    <row r="387" spans="1:15">
      <c r="A387" s="927" t="s">
        <v>159</v>
      </c>
      <c r="B387" s="920"/>
      <c r="C387" s="968">
        <v>0</v>
      </c>
      <c r="D387" s="922"/>
      <c r="E387" s="968">
        <v>0</v>
      </c>
      <c r="F387" s="922"/>
      <c r="G387" s="928">
        <v>120</v>
      </c>
      <c r="H387" s="929"/>
      <c r="I387" s="975">
        <v>0</v>
      </c>
      <c r="J387" s="922"/>
      <c r="K387" s="975">
        <v>0</v>
      </c>
      <c r="L387" s="922"/>
      <c r="M387" s="928">
        <v>132</v>
      </c>
      <c r="N387" s="929"/>
      <c r="O387" s="975">
        <v>0</v>
      </c>
    </row>
    <row r="388" spans="1:15">
      <c r="A388" s="927" t="s">
        <v>132</v>
      </c>
      <c r="B388" s="920"/>
      <c r="C388" s="979">
        <v>2853459</v>
      </c>
      <c r="D388" s="922"/>
      <c r="E388" s="979">
        <v>0</v>
      </c>
      <c r="F388" s="922"/>
      <c r="G388" s="920"/>
      <c r="H388" s="922"/>
      <c r="I388" s="980">
        <v>755833</v>
      </c>
      <c r="J388" s="922"/>
      <c r="K388" s="980">
        <v>0</v>
      </c>
      <c r="L388" s="922"/>
      <c r="M388" s="920"/>
      <c r="N388" s="922"/>
      <c r="O388" s="980">
        <v>0</v>
      </c>
    </row>
    <row r="389" spans="1:15" ht="16.5" thickBot="1">
      <c r="A389" s="927" t="s">
        <v>134</v>
      </c>
      <c r="B389" s="920"/>
      <c r="C389" s="988">
        <v>1343737395.980726</v>
      </c>
      <c r="D389" s="922"/>
      <c r="E389" s="988">
        <v>1390888210.7534347</v>
      </c>
      <c r="F389" s="922"/>
      <c r="G389" s="986"/>
      <c r="H389" s="922"/>
      <c r="I389" s="987">
        <v>133587603</v>
      </c>
      <c r="J389" s="922"/>
      <c r="K389" s="987">
        <v>137738937</v>
      </c>
      <c r="L389" s="922"/>
      <c r="M389" s="986"/>
      <c r="N389" s="922"/>
      <c r="O389" s="987">
        <v>141997117</v>
      </c>
    </row>
    <row r="390" spans="1:15" ht="16.5" thickTop="1">
      <c r="A390" s="920"/>
      <c r="B390" s="920"/>
      <c r="C390" s="968"/>
      <c r="D390" s="922"/>
      <c r="E390" s="968"/>
      <c r="F390" s="922"/>
      <c r="G390" s="920"/>
      <c r="H390" s="922"/>
      <c r="I390" s="920"/>
      <c r="J390" s="922"/>
      <c r="K390" s="920"/>
      <c r="L390" s="922"/>
      <c r="M390" s="920"/>
      <c r="N390" s="922"/>
      <c r="O390" s="920"/>
    </row>
    <row r="391" spans="1:15">
      <c r="A391" s="926" t="s">
        <v>640</v>
      </c>
      <c r="B391" s="920"/>
      <c r="C391" s="968"/>
      <c r="D391" s="922"/>
      <c r="E391" s="968"/>
      <c r="F391" s="922"/>
      <c r="G391" s="939"/>
      <c r="H391" s="940"/>
      <c r="I391" s="920"/>
      <c r="J391" s="922"/>
      <c r="K391" s="920"/>
      <c r="L391" s="922"/>
      <c r="M391" s="939"/>
      <c r="N391" s="940"/>
      <c r="O391" s="920"/>
    </row>
    <row r="392" spans="1:15">
      <c r="A392" s="947" t="s">
        <v>369</v>
      </c>
      <c r="B392" s="920"/>
      <c r="C392" s="968"/>
      <c r="D392" s="922"/>
      <c r="E392" s="968"/>
      <c r="F392" s="922"/>
      <c r="G392" s="920"/>
      <c r="H392" s="922"/>
      <c r="I392" s="920"/>
      <c r="J392" s="922"/>
      <c r="K392" s="920"/>
      <c r="L392" s="922"/>
      <c r="M392" s="920"/>
      <c r="N392" s="922"/>
      <c r="O392" s="920"/>
    </row>
    <row r="393" spans="1:15">
      <c r="A393" s="927" t="s">
        <v>370</v>
      </c>
      <c r="B393" s="927"/>
      <c r="C393" s="968">
        <v>0</v>
      </c>
      <c r="D393" s="922"/>
      <c r="E393" s="968">
        <v>0</v>
      </c>
      <c r="F393" s="922"/>
      <c r="G393" s="928">
        <v>127</v>
      </c>
      <c r="H393" s="929"/>
      <c r="I393" s="975">
        <v>0</v>
      </c>
      <c r="J393" s="922"/>
      <c r="K393" s="975">
        <v>0</v>
      </c>
      <c r="L393" s="922"/>
      <c r="M393" s="928">
        <v>136</v>
      </c>
      <c r="N393" s="929"/>
      <c r="O393" s="975">
        <v>0</v>
      </c>
    </row>
    <row r="394" spans="1:15">
      <c r="A394" s="927" t="s">
        <v>371</v>
      </c>
      <c r="B394" s="927"/>
      <c r="C394" s="968">
        <v>0</v>
      </c>
      <c r="D394" s="922"/>
      <c r="E394" s="968">
        <v>0</v>
      </c>
      <c r="F394" s="922"/>
      <c r="G394" s="928">
        <v>4.66</v>
      </c>
      <c r="H394" s="929"/>
      <c r="I394" s="975">
        <v>0</v>
      </c>
      <c r="J394" s="922"/>
      <c r="K394" s="975">
        <v>0</v>
      </c>
      <c r="L394" s="922"/>
      <c r="M394" s="928">
        <v>8.06</v>
      </c>
      <c r="N394" s="929"/>
      <c r="O394" s="975">
        <v>0</v>
      </c>
    </row>
    <row r="395" spans="1:15">
      <c r="A395" s="927" t="s">
        <v>373</v>
      </c>
      <c r="B395" s="927"/>
      <c r="C395" s="968"/>
      <c r="D395" s="922"/>
      <c r="E395" s="968"/>
      <c r="F395" s="922"/>
      <c r="G395" s="936"/>
      <c r="H395" s="935"/>
      <c r="I395" s="975"/>
      <c r="J395" s="922"/>
      <c r="K395" s="975"/>
      <c r="L395" s="922"/>
      <c r="M395" s="936"/>
      <c r="N395" s="935"/>
      <c r="O395" s="975"/>
    </row>
    <row r="396" spans="1:15">
      <c r="A396" s="927" t="s">
        <v>375</v>
      </c>
      <c r="B396" s="927"/>
      <c r="C396" s="968">
        <v>0</v>
      </c>
      <c r="D396" s="922"/>
      <c r="E396" s="968">
        <v>0</v>
      </c>
      <c r="F396" s="922"/>
      <c r="G396" s="949">
        <v>0.64190000000000003</v>
      </c>
      <c r="H396" s="950"/>
      <c r="I396" s="975">
        <v>0</v>
      </c>
      <c r="J396" s="922"/>
      <c r="K396" s="975">
        <v>0</v>
      </c>
      <c r="L396" s="922"/>
      <c r="M396" s="949"/>
      <c r="N396" s="950"/>
      <c r="O396" s="975"/>
    </row>
    <row r="397" spans="1:15">
      <c r="A397" s="927" t="s">
        <v>641</v>
      </c>
      <c r="B397" s="927"/>
      <c r="C397" s="968">
        <v>0</v>
      </c>
      <c r="D397" s="922"/>
      <c r="E397" s="968">
        <v>0</v>
      </c>
      <c r="F397" s="922"/>
      <c r="G397" s="949"/>
      <c r="H397" s="950"/>
      <c r="I397" s="975"/>
      <c r="J397" s="922"/>
      <c r="K397" s="975"/>
      <c r="L397" s="922"/>
      <c r="M397" s="928">
        <v>0.51</v>
      </c>
      <c r="N397" s="950"/>
      <c r="O397" s="975">
        <v>0</v>
      </c>
    </row>
    <row r="398" spans="1:15">
      <c r="A398" s="927" t="s">
        <v>642</v>
      </c>
      <c r="B398" s="927"/>
      <c r="C398" s="968">
        <v>0</v>
      </c>
      <c r="D398" s="922"/>
      <c r="E398" s="968">
        <v>0</v>
      </c>
      <c r="F398" s="922"/>
      <c r="G398" s="949"/>
      <c r="H398" s="950"/>
      <c r="I398" s="975"/>
      <c r="J398" s="922"/>
      <c r="K398" s="975"/>
      <c r="L398" s="922"/>
      <c r="M398" s="928">
        <v>0.33</v>
      </c>
      <c r="N398" s="950"/>
      <c r="O398" s="975">
        <v>0</v>
      </c>
    </row>
    <row r="399" spans="1:15">
      <c r="A399" s="927" t="s">
        <v>377</v>
      </c>
      <c r="B399" s="927"/>
      <c r="C399" s="968">
        <v>0</v>
      </c>
      <c r="D399" s="922"/>
      <c r="E399" s="968">
        <v>0</v>
      </c>
      <c r="F399" s="922"/>
      <c r="G399" s="951">
        <v>0.32100000000000001</v>
      </c>
      <c r="H399" s="952"/>
      <c r="I399" s="975">
        <v>0</v>
      </c>
      <c r="J399" s="922"/>
      <c r="K399" s="975">
        <v>0</v>
      </c>
      <c r="L399" s="922"/>
      <c r="M399" s="949"/>
      <c r="N399" s="952"/>
      <c r="O399" s="975"/>
    </row>
    <row r="400" spans="1:15">
      <c r="A400" s="927" t="s">
        <v>641</v>
      </c>
      <c r="B400" s="927"/>
      <c r="C400" s="968">
        <v>0</v>
      </c>
      <c r="D400" s="922"/>
      <c r="E400" s="968">
        <v>0</v>
      </c>
      <c r="F400" s="922"/>
      <c r="G400" s="951"/>
      <c r="H400" s="952"/>
      <c r="I400" s="975"/>
      <c r="J400" s="922"/>
      <c r="K400" s="975"/>
      <c r="L400" s="922"/>
      <c r="M400" s="953">
        <v>0.255</v>
      </c>
      <c r="N400" s="952"/>
      <c r="O400" s="975">
        <v>0</v>
      </c>
    </row>
    <row r="401" spans="1:15">
      <c r="A401" s="927" t="s">
        <v>642</v>
      </c>
      <c r="B401" s="927"/>
      <c r="C401" s="968">
        <v>0</v>
      </c>
      <c r="D401" s="922"/>
      <c r="E401" s="968">
        <v>0</v>
      </c>
      <c r="F401" s="922"/>
      <c r="G401" s="951"/>
      <c r="H401" s="952"/>
      <c r="I401" s="975"/>
      <c r="J401" s="922"/>
      <c r="K401" s="975"/>
      <c r="L401" s="922"/>
      <c r="M401" s="953">
        <v>0.16500000000000001</v>
      </c>
      <c r="N401" s="952"/>
      <c r="O401" s="975">
        <v>0</v>
      </c>
    </row>
    <row r="402" spans="1:15">
      <c r="A402" s="927" t="s">
        <v>378</v>
      </c>
      <c r="B402" s="927"/>
      <c r="C402" s="968">
        <v>0</v>
      </c>
      <c r="D402" s="922"/>
      <c r="E402" s="968">
        <v>0</v>
      </c>
      <c r="F402" s="922"/>
      <c r="G402" s="928">
        <v>60.48</v>
      </c>
      <c r="H402" s="929"/>
      <c r="I402" s="975">
        <v>0</v>
      </c>
      <c r="J402" s="922"/>
      <c r="K402" s="975">
        <v>0</v>
      </c>
      <c r="L402" s="922"/>
      <c r="M402" s="949"/>
      <c r="N402" s="929"/>
      <c r="O402" s="975"/>
    </row>
    <row r="403" spans="1:15">
      <c r="A403" s="927" t="s">
        <v>641</v>
      </c>
      <c r="B403" s="927"/>
      <c r="C403" s="968">
        <v>0</v>
      </c>
      <c r="D403" s="922"/>
      <c r="E403" s="968">
        <v>0</v>
      </c>
      <c r="F403" s="922"/>
      <c r="G403" s="928"/>
      <c r="H403" s="929"/>
      <c r="I403" s="975"/>
      <c r="J403" s="922"/>
      <c r="K403" s="975"/>
      <c r="L403" s="922"/>
      <c r="M403" s="928">
        <v>41.06</v>
      </c>
      <c r="N403" s="929"/>
      <c r="O403" s="975">
        <v>0</v>
      </c>
    </row>
    <row r="404" spans="1:15">
      <c r="A404" s="927" t="s">
        <v>642</v>
      </c>
      <c r="B404" s="927"/>
      <c r="C404" s="968">
        <v>0</v>
      </c>
      <c r="D404" s="922"/>
      <c r="E404" s="968">
        <v>0</v>
      </c>
      <c r="F404" s="922"/>
      <c r="G404" s="928"/>
      <c r="H404" s="929"/>
      <c r="I404" s="975"/>
      <c r="J404" s="922"/>
      <c r="K404" s="975"/>
      <c r="L404" s="922"/>
      <c r="M404" s="928">
        <v>32.24</v>
      </c>
      <c r="N404" s="929"/>
      <c r="O404" s="975">
        <v>0</v>
      </c>
    </row>
    <row r="405" spans="1:15">
      <c r="A405" s="947" t="s">
        <v>379</v>
      </c>
      <c r="B405" s="920"/>
      <c r="C405" s="968"/>
      <c r="D405" s="922"/>
      <c r="E405" s="968"/>
      <c r="F405" s="922"/>
      <c r="G405" s="920"/>
      <c r="H405" s="922"/>
      <c r="I405" s="920"/>
      <c r="J405" s="922"/>
      <c r="K405" s="920"/>
      <c r="L405" s="922"/>
      <c r="M405" s="920"/>
      <c r="N405" s="922"/>
      <c r="O405" s="920"/>
    </row>
    <row r="406" spans="1:15">
      <c r="A406" s="927" t="s">
        <v>370</v>
      </c>
      <c r="B406" s="920"/>
      <c r="C406" s="968">
        <v>24.000017312020301</v>
      </c>
      <c r="D406" s="922"/>
      <c r="E406" s="968">
        <v>24</v>
      </c>
      <c r="F406" s="922"/>
      <c r="G406" s="928">
        <v>577</v>
      </c>
      <c r="H406" s="929"/>
      <c r="I406" s="975">
        <v>13848</v>
      </c>
      <c r="J406" s="922"/>
      <c r="K406" s="975">
        <v>13848</v>
      </c>
      <c r="L406" s="922"/>
      <c r="M406" s="928">
        <v>617</v>
      </c>
      <c r="N406" s="929"/>
      <c r="O406" s="975">
        <v>14808</v>
      </c>
    </row>
    <row r="407" spans="1:15">
      <c r="A407" s="927" t="s">
        <v>371</v>
      </c>
      <c r="B407" s="920"/>
      <c r="C407" s="968">
        <v>39600.000966995998</v>
      </c>
      <c r="D407" s="922"/>
      <c r="E407" s="968">
        <v>38791</v>
      </c>
      <c r="F407" s="922"/>
      <c r="G407" s="928">
        <v>3.66</v>
      </c>
      <c r="H407" s="929"/>
      <c r="I407" s="975">
        <v>144936</v>
      </c>
      <c r="J407" s="922"/>
      <c r="K407" s="975">
        <v>141975</v>
      </c>
      <c r="L407" s="922"/>
      <c r="M407" s="928">
        <v>6.9200000000000008</v>
      </c>
      <c r="N407" s="929"/>
      <c r="O407" s="975">
        <v>268434</v>
      </c>
    </row>
    <row r="408" spans="1:15">
      <c r="A408" s="927" t="s">
        <v>373</v>
      </c>
      <c r="B408" s="920"/>
      <c r="C408" s="968"/>
      <c r="D408" s="922"/>
      <c r="E408" s="968"/>
      <c r="F408" s="922"/>
      <c r="G408" s="928"/>
      <c r="H408" s="929"/>
      <c r="I408" s="975"/>
      <c r="J408" s="922"/>
      <c r="K408" s="975"/>
      <c r="L408" s="922"/>
      <c r="M408" s="936"/>
      <c r="N408" s="935"/>
      <c r="O408" s="975"/>
    </row>
    <row r="409" spans="1:15">
      <c r="A409" s="927" t="s">
        <v>375</v>
      </c>
      <c r="B409" s="920"/>
      <c r="C409" s="968">
        <v>199762.02717439301</v>
      </c>
      <c r="D409" s="922"/>
      <c r="E409" s="968">
        <v>195683</v>
      </c>
      <c r="F409" s="922"/>
      <c r="G409" s="949">
        <v>0.62480000000000002</v>
      </c>
      <c r="H409" s="950"/>
      <c r="I409" s="975">
        <v>124811</v>
      </c>
      <c r="J409" s="922"/>
      <c r="K409" s="975">
        <v>122263</v>
      </c>
      <c r="L409" s="922"/>
      <c r="M409" s="949"/>
      <c r="N409" s="950"/>
      <c r="O409" s="975"/>
    </row>
    <row r="410" spans="1:15">
      <c r="A410" s="927" t="s">
        <v>641</v>
      </c>
      <c r="B410" s="920"/>
      <c r="C410" s="968">
        <v>80678.006818276903</v>
      </c>
      <c r="D410" s="922"/>
      <c r="E410" s="968">
        <v>79030</v>
      </c>
      <c r="F410" s="922"/>
      <c r="G410" s="949"/>
      <c r="H410" s="950"/>
      <c r="I410" s="975"/>
      <c r="J410" s="922"/>
      <c r="K410" s="975"/>
      <c r="L410" s="922"/>
      <c r="M410" s="928">
        <v>0.5</v>
      </c>
      <c r="N410" s="950"/>
      <c r="O410" s="975">
        <v>39515</v>
      </c>
    </row>
    <row r="411" spans="1:15">
      <c r="A411" s="927" t="s">
        <v>642</v>
      </c>
      <c r="B411" s="920"/>
      <c r="C411" s="968">
        <v>119084.020356116</v>
      </c>
      <c r="D411" s="922"/>
      <c r="E411" s="968">
        <v>116653</v>
      </c>
      <c r="F411" s="922"/>
      <c r="G411" s="949"/>
      <c r="H411" s="950"/>
      <c r="I411" s="975"/>
      <c r="J411" s="922"/>
      <c r="K411" s="975"/>
      <c r="L411" s="922"/>
      <c r="M411" s="928">
        <v>0.32</v>
      </c>
      <c r="N411" s="950"/>
      <c r="O411" s="975">
        <v>37329</v>
      </c>
    </row>
    <row r="412" spans="1:15">
      <c r="A412" s="927" t="s">
        <v>377</v>
      </c>
      <c r="B412" s="920"/>
      <c r="C412" s="968">
        <v>24759.982010712301</v>
      </c>
      <c r="D412" s="922"/>
      <c r="E412" s="968">
        <v>24254</v>
      </c>
      <c r="F412" s="922"/>
      <c r="G412" s="951">
        <v>0.31240000000000001</v>
      </c>
      <c r="H412" s="952"/>
      <c r="I412" s="975">
        <v>7735</v>
      </c>
      <c r="J412" s="922"/>
      <c r="K412" s="975">
        <v>7577</v>
      </c>
      <c r="L412" s="922"/>
      <c r="M412" s="949"/>
      <c r="N412" s="952"/>
      <c r="O412" s="975"/>
    </row>
    <row r="413" spans="1:15">
      <c r="A413" s="927" t="s">
        <v>641</v>
      </c>
      <c r="B413" s="920"/>
      <c r="C413" s="968">
        <v>24759.982010712301</v>
      </c>
      <c r="D413" s="922"/>
      <c r="E413" s="968">
        <v>24254</v>
      </c>
      <c r="F413" s="922"/>
      <c r="G413" s="951"/>
      <c r="H413" s="952"/>
      <c r="I413" s="975"/>
      <c r="J413" s="922"/>
      <c r="K413" s="975"/>
      <c r="L413" s="922"/>
      <c r="M413" s="953">
        <v>0.25</v>
      </c>
      <c r="N413" s="952"/>
      <c r="O413" s="975">
        <v>6064</v>
      </c>
    </row>
    <row r="414" spans="1:15">
      <c r="A414" s="927" t="s">
        <v>642</v>
      </c>
      <c r="B414" s="920"/>
      <c r="C414" s="968">
        <v>0</v>
      </c>
      <c r="D414" s="922"/>
      <c r="E414" s="968">
        <v>0</v>
      </c>
      <c r="F414" s="922"/>
      <c r="G414" s="951"/>
      <c r="H414" s="952"/>
      <c r="I414" s="975"/>
      <c r="J414" s="922"/>
      <c r="K414" s="975"/>
      <c r="L414" s="922"/>
      <c r="M414" s="953">
        <v>0.16</v>
      </c>
      <c r="N414" s="952"/>
      <c r="O414" s="975">
        <v>0</v>
      </c>
    </row>
    <row r="415" spans="1:15">
      <c r="A415" s="927" t="s">
        <v>378</v>
      </c>
      <c r="B415" s="920"/>
      <c r="C415" s="968">
        <v>30.967607533779201</v>
      </c>
      <c r="D415" s="922"/>
      <c r="E415" s="968">
        <v>30</v>
      </c>
      <c r="F415" s="922"/>
      <c r="G415" s="928">
        <v>43.59</v>
      </c>
      <c r="H415" s="929"/>
      <c r="I415" s="975">
        <v>1350</v>
      </c>
      <c r="J415" s="922"/>
      <c r="K415" s="975">
        <v>1308</v>
      </c>
      <c r="L415" s="922"/>
      <c r="M415" s="949"/>
      <c r="N415" s="929"/>
      <c r="O415" s="975"/>
    </row>
    <row r="416" spans="1:15">
      <c r="A416" s="927" t="s">
        <v>641</v>
      </c>
      <c r="B416" s="920"/>
      <c r="C416" s="968">
        <v>0</v>
      </c>
      <c r="D416" s="922"/>
      <c r="E416" s="968">
        <v>0</v>
      </c>
      <c r="F416" s="922"/>
      <c r="G416" s="928"/>
      <c r="H416" s="929"/>
      <c r="I416" s="975"/>
      <c r="J416" s="922"/>
      <c r="K416" s="975"/>
      <c r="L416" s="922"/>
      <c r="M416" s="928">
        <v>38.78</v>
      </c>
      <c r="N416" s="929"/>
      <c r="O416" s="975">
        <v>0</v>
      </c>
    </row>
    <row r="417" spans="1:15">
      <c r="A417" s="927" t="s">
        <v>642</v>
      </c>
      <c r="B417" s="920"/>
      <c r="C417" s="968">
        <v>30.967607533779201</v>
      </c>
      <c r="D417" s="922"/>
      <c r="E417" s="968">
        <v>30</v>
      </c>
      <c r="F417" s="922"/>
      <c r="G417" s="928"/>
      <c r="H417" s="929"/>
      <c r="I417" s="975"/>
      <c r="J417" s="922"/>
      <c r="K417" s="975"/>
      <c r="L417" s="922"/>
      <c r="M417" s="928">
        <v>29.96</v>
      </c>
      <c r="N417" s="929"/>
      <c r="O417" s="975">
        <v>899</v>
      </c>
    </row>
    <row r="418" spans="1:15">
      <c r="A418" s="947" t="s">
        <v>380</v>
      </c>
      <c r="B418" s="920"/>
      <c r="C418" s="968"/>
      <c r="D418" s="922"/>
      <c r="E418" s="968"/>
      <c r="F418" s="922"/>
      <c r="G418" s="920"/>
      <c r="H418" s="922"/>
      <c r="I418" s="920"/>
      <c r="J418" s="922"/>
      <c r="K418" s="920"/>
      <c r="L418" s="922"/>
      <c r="M418" s="920"/>
      <c r="N418" s="922"/>
      <c r="O418" s="920"/>
    </row>
    <row r="419" spans="1:15">
      <c r="A419" s="927" t="s">
        <v>370</v>
      </c>
      <c r="B419" s="920"/>
      <c r="C419" s="968">
        <v>23.999980505766999</v>
      </c>
      <c r="D419" s="922"/>
      <c r="E419" s="968">
        <v>24</v>
      </c>
      <c r="F419" s="922"/>
      <c r="G419" s="928">
        <v>646</v>
      </c>
      <c r="H419" s="929"/>
      <c r="I419" s="975">
        <v>15504</v>
      </c>
      <c r="J419" s="922"/>
      <c r="K419" s="975">
        <v>15504</v>
      </c>
      <c r="L419" s="922"/>
      <c r="M419" s="928">
        <v>691</v>
      </c>
      <c r="N419" s="929"/>
      <c r="O419" s="975">
        <v>16584</v>
      </c>
    </row>
    <row r="420" spans="1:15">
      <c r="A420" s="927" t="s">
        <v>371</v>
      </c>
      <c r="B420" s="920"/>
      <c r="C420" s="968">
        <v>292800.00140698301</v>
      </c>
      <c r="D420" s="922"/>
      <c r="E420" s="968">
        <v>153429</v>
      </c>
      <c r="F420" s="922"/>
      <c r="G420" s="928">
        <v>2.08</v>
      </c>
      <c r="H420" s="929"/>
      <c r="I420" s="975">
        <v>609024</v>
      </c>
      <c r="J420" s="922"/>
      <c r="K420" s="975">
        <v>319132</v>
      </c>
      <c r="L420" s="922"/>
      <c r="M420" s="928">
        <v>5.79</v>
      </c>
      <c r="N420" s="929"/>
      <c r="O420" s="975">
        <v>888354</v>
      </c>
    </row>
    <row r="421" spans="1:15">
      <c r="A421" s="927" t="s">
        <v>373</v>
      </c>
      <c r="B421" s="920"/>
      <c r="C421" s="968"/>
      <c r="D421" s="922"/>
      <c r="E421" s="968"/>
      <c r="F421" s="922"/>
      <c r="G421" s="936"/>
      <c r="H421" s="935"/>
      <c r="I421" s="975"/>
      <c r="J421" s="922"/>
      <c r="K421" s="975"/>
      <c r="L421" s="922"/>
      <c r="M421" s="936"/>
      <c r="N421" s="935"/>
      <c r="O421" s="975"/>
    </row>
    <row r="422" spans="1:15">
      <c r="A422" s="927" t="s">
        <v>375</v>
      </c>
      <c r="B422" s="920"/>
      <c r="C422" s="968">
        <v>700649.99848372303</v>
      </c>
      <c r="D422" s="922"/>
      <c r="E422" s="968">
        <v>391585</v>
      </c>
      <c r="F422" s="922"/>
      <c r="G422" s="949">
        <v>0.49059999999999998</v>
      </c>
      <c r="H422" s="950"/>
      <c r="I422" s="975">
        <v>343739</v>
      </c>
      <c r="J422" s="922"/>
      <c r="K422" s="975">
        <v>192112</v>
      </c>
      <c r="L422" s="922"/>
      <c r="M422" s="949"/>
      <c r="N422" s="950"/>
      <c r="O422" s="975"/>
    </row>
    <row r="423" spans="1:15">
      <c r="A423" s="927" t="s">
        <v>641</v>
      </c>
      <c r="B423" s="920"/>
      <c r="C423" s="968">
        <v>353074.97848737403</v>
      </c>
      <c r="D423" s="922"/>
      <c r="E423" s="968">
        <v>239920</v>
      </c>
      <c r="F423" s="922"/>
      <c r="G423" s="949"/>
      <c r="H423" s="950"/>
      <c r="I423" s="975"/>
      <c r="J423" s="922"/>
      <c r="K423" s="975"/>
      <c r="L423" s="922"/>
      <c r="M423" s="928">
        <v>0.41</v>
      </c>
      <c r="N423" s="950"/>
      <c r="O423" s="975">
        <v>98367</v>
      </c>
    </row>
    <row r="424" spans="1:15">
      <c r="A424" s="927" t="s">
        <v>642</v>
      </c>
      <c r="B424" s="920"/>
      <c r="C424" s="968">
        <v>347575.01999634888</v>
      </c>
      <c r="D424" s="922"/>
      <c r="E424" s="968">
        <v>151665</v>
      </c>
      <c r="F424" s="922"/>
      <c r="G424" s="949"/>
      <c r="H424" s="950"/>
      <c r="I424" s="975"/>
      <c r="J424" s="922"/>
      <c r="K424" s="975"/>
      <c r="L424" s="922"/>
      <c r="M424" s="928">
        <v>0.23</v>
      </c>
      <c r="N424" s="950"/>
      <c r="O424" s="975">
        <v>34883</v>
      </c>
    </row>
    <row r="425" spans="1:15">
      <c r="A425" s="927" t="s">
        <v>377</v>
      </c>
      <c r="B425" s="920"/>
      <c r="C425" s="968">
        <v>0</v>
      </c>
      <c r="D425" s="922"/>
      <c r="E425" s="968">
        <v>0</v>
      </c>
      <c r="F425" s="922"/>
      <c r="G425" s="951">
        <v>0.24529999999999999</v>
      </c>
      <c r="H425" s="952"/>
      <c r="I425" s="975">
        <v>0</v>
      </c>
      <c r="J425" s="922"/>
      <c r="K425" s="975">
        <v>0</v>
      </c>
      <c r="L425" s="922"/>
      <c r="M425" s="949"/>
      <c r="N425" s="952"/>
      <c r="O425" s="975"/>
    </row>
    <row r="426" spans="1:15">
      <c r="A426" s="927" t="s">
        <v>641</v>
      </c>
      <c r="B426" s="920"/>
      <c r="C426" s="968">
        <v>0</v>
      </c>
      <c r="D426" s="922"/>
      <c r="E426" s="968">
        <v>0</v>
      </c>
      <c r="F426" s="922"/>
      <c r="G426" s="951"/>
      <c r="H426" s="952"/>
      <c r="I426" s="975"/>
      <c r="J426" s="922"/>
      <c r="K426" s="975"/>
      <c r="L426" s="922"/>
      <c r="M426" s="953">
        <v>0.20499999999999999</v>
      </c>
      <c r="N426" s="952"/>
      <c r="O426" s="975">
        <v>0</v>
      </c>
    </row>
    <row r="427" spans="1:15">
      <c r="A427" s="927" t="s">
        <v>642</v>
      </c>
      <c r="B427" s="920"/>
      <c r="C427" s="968">
        <v>0</v>
      </c>
      <c r="D427" s="922"/>
      <c r="E427" s="968">
        <v>0</v>
      </c>
      <c r="F427" s="922"/>
      <c r="G427" s="951"/>
      <c r="H427" s="952"/>
      <c r="I427" s="975"/>
      <c r="J427" s="922"/>
      <c r="K427" s="975"/>
      <c r="L427" s="922"/>
      <c r="M427" s="953">
        <v>0.115</v>
      </c>
      <c r="N427" s="952"/>
      <c r="O427" s="975">
        <v>0</v>
      </c>
    </row>
    <row r="428" spans="1:15">
      <c r="A428" s="927" t="s">
        <v>378</v>
      </c>
      <c r="B428" s="920"/>
      <c r="C428" s="968">
        <v>0</v>
      </c>
      <c r="D428" s="922"/>
      <c r="E428" s="968">
        <v>0</v>
      </c>
      <c r="F428" s="922"/>
      <c r="G428" s="928">
        <v>41.97</v>
      </c>
      <c r="H428" s="929"/>
      <c r="I428" s="975">
        <v>0</v>
      </c>
      <c r="J428" s="922"/>
      <c r="K428" s="975">
        <v>0</v>
      </c>
      <c r="L428" s="922"/>
      <c r="M428" s="949"/>
      <c r="N428" s="929"/>
      <c r="O428" s="975"/>
    </row>
    <row r="429" spans="1:15">
      <c r="A429" s="927" t="s">
        <v>641</v>
      </c>
      <c r="B429" s="920"/>
      <c r="C429" s="968">
        <v>0</v>
      </c>
      <c r="D429" s="922"/>
      <c r="E429" s="968">
        <v>0</v>
      </c>
      <c r="F429" s="922"/>
      <c r="G429" s="928"/>
      <c r="H429" s="929"/>
      <c r="I429" s="975"/>
      <c r="J429" s="922"/>
      <c r="K429" s="975"/>
      <c r="L429" s="922"/>
      <c r="M429" s="928">
        <v>32.6</v>
      </c>
      <c r="N429" s="929"/>
      <c r="O429" s="975">
        <v>0</v>
      </c>
    </row>
    <row r="430" spans="1:15">
      <c r="A430" s="927" t="s">
        <v>642</v>
      </c>
      <c r="B430" s="920"/>
      <c r="C430" s="968">
        <v>0</v>
      </c>
      <c r="D430" s="922"/>
      <c r="E430" s="968">
        <v>0</v>
      </c>
      <c r="F430" s="922"/>
      <c r="G430" s="928"/>
      <c r="H430" s="929"/>
      <c r="I430" s="975"/>
      <c r="J430" s="922"/>
      <c r="K430" s="975"/>
      <c r="L430" s="922"/>
      <c r="M430" s="928">
        <v>23.54</v>
      </c>
      <c r="N430" s="929"/>
      <c r="O430" s="975">
        <v>0</v>
      </c>
    </row>
    <row r="431" spans="1:15">
      <c r="A431" s="927" t="s">
        <v>358</v>
      </c>
      <c r="B431" s="920"/>
      <c r="C431" s="996"/>
      <c r="D431" s="922"/>
      <c r="E431" s="996"/>
      <c r="F431" s="922"/>
      <c r="G431" s="939"/>
      <c r="H431" s="940"/>
      <c r="I431" s="980">
        <v>1260947</v>
      </c>
      <c r="J431" s="922"/>
      <c r="K431" s="980">
        <v>813719</v>
      </c>
      <c r="L431" s="922"/>
      <c r="M431" s="939"/>
      <c r="N431" s="940"/>
      <c r="O431" s="980">
        <v>1405237</v>
      </c>
    </row>
    <row r="432" spans="1:15">
      <c r="A432" s="947" t="s">
        <v>381</v>
      </c>
      <c r="B432" s="920"/>
      <c r="C432" s="920"/>
      <c r="D432" s="922"/>
      <c r="E432" s="920"/>
      <c r="F432" s="922"/>
      <c r="G432" s="920"/>
      <c r="H432" s="922"/>
      <c r="I432" s="920"/>
      <c r="J432" s="922"/>
      <c r="K432" s="920"/>
      <c r="L432" s="922"/>
      <c r="M432" s="920"/>
      <c r="N432" s="922"/>
      <c r="O432" s="920"/>
    </row>
    <row r="433" spans="1:15">
      <c r="A433" s="926" t="s">
        <v>383</v>
      </c>
      <c r="B433" s="920"/>
      <c r="C433" s="968"/>
      <c r="D433" s="922"/>
      <c r="E433" s="968"/>
      <c r="F433" s="922"/>
      <c r="G433" s="936"/>
      <c r="H433" s="935"/>
      <c r="I433" s="975"/>
      <c r="J433" s="922"/>
      <c r="K433" s="975"/>
      <c r="L433" s="922"/>
      <c r="M433" s="936"/>
      <c r="N433" s="935"/>
      <c r="O433" s="975"/>
    </row>
    <row r="434" spans="1:15">
      <c r="A434" s="927" t="s">
        <v>220</v>
      </c>
      <c r="B434" s="920"/>
      <c r="C434" s="968">
        <v>16400</v>
      </c>
      <c r="D434" s="922"/>
      <c r="E434" s="968">
        <v>16065</v>
      </c>
      <c r="F434" s="922"/>
      <c r="G434" s="936">
        <v>4.62</v>
      </c>
      <c r="H434" s="935"/>
      <c r="I434" s="975">
        <v>75768</v>
      </c>
      <c r="J434" s="922"/>
      <c r="K434" s="975">
        <v>74220</v>
      </c>
      <c r="L434" s="922"/>
      <c r="M434" s="936">
        <v>4.8099999999999996</v>
      </c>
      <c r="N434" s="935"/>
      <c r="O434" s="975">
        <v>77273</v>
      </c>
    </row>
    <row r="435" spans="1:15">
      <c r="A435" s="927" t="s">
        <v>221</v>
      </c>
      <c r="B435" s="920"/>
      <c r="C435" s="968">
        <v>0</v>
      </c>
      <c r="D435" s="922"/>
      <c r="E435" s="968">
        <v>0</v>
      </c>
      <c r="F435" s="922"/>
      <c r="G435" s="936">
        <v>15.1</v>
      </c>
      <c r="H435" s="935"/>
      <c r="I435" s="975">
        <v>0</v>
      </c>
      <c r="J435" s="922"/>
      <c r="K435" s="975">
        <v>0</v>
      </c>
      <c r="L435" s="922"/>
      <c r="M435" s="936">
        <v>15.72</v>
      </c>
      <c r="N435" s="935"/>
      <c r="O435" s="975">
        <v>0</v>
      </c>
    </row>
    <row r="436" spans="1:15">
      <c r="A436" s="927" t="s">
        <v>222</v>
      </c>
      <c r="B436" s="920"/>
      <c r="C436" s="968">
        <v>16400</v>
      </c>
      <c r="D436" s="922"/>
      <c r="E436" s="968">
        <v>16065</v>
      </c>
      <c r="F436" s="922"/>
      <c r="G436" s="936">
        <v>10.87</v>
      </c>
      <c r="H436" s="935"/>
      <c r="I436" s="975">
        <v>178268</v>
      </c>
      <c r="J436" s="922"/>
      <c r="K436" s="975">
        <v>174627</v>
      </c>
      <c r="L436" s="922"/>
      <c r="M436" s="936">
        <v>11.31</v>
      </c>
      <c r="N436" s="935"/>
      <c r="O436" s="975">
        <v>181695</v>
      </c>
    </row>
    <row r="437" spans="1:15">
      <c r="A437" s="927" t="s">
        <v>154</v>
      </c>
      <c r="B437" s="920"/>
      <c r="C437" s="968">
        <v>16400</v>
      </c>
      <c r="D437" s="922"/>
      <c r="E437" s="968">
        <v>16065</v>
      </c>
      <c r="F437" s="922"/>
      <c r="G437" s="936">
        <v>-1.1000000000000001</v>
      </c>
      <c r="H437" s="935"/>
      <c r="I437" s="975">
        <v>-18040</v>
      </c>
      <c r="J437" s="922"/>
      <c r="K437" s="975">
        <v>-17672</v>
      </c>
      <c r="L437" s="922"/>
      <c r="M437" s="936">
        <v>-1.1399999999999999</v>
      </c>
      <c r="N437" s="935"/>
      <c r="O437" s="975">
        <v>-18314</v>
      </c>
    </row>
    <row r="438" spans="1:15">
      <c r="A438" s="927" t="s">
        <v>143</v>
      </c>
      <c r="B438" s="920"/>
      <c r="C438" s="968">
        <v>1064405</v>
      </c>
      <c r="D438" s="922"/>
      <c r="E438" s="968">
        <v>1044794</v>
      </c>
      <c r="F438" s="922"/>
      <c r="G438" s="939">
        <v>4.8998999999999997</v>
      </c>
      <c r="H438" s="930" t="s">
        <v>108</v>
      </c>
      <c r="I438" s="975">
        <v>52155</v>
      </c>
      <c r="J438" s="922"/>
      <c r="K438" s="975">
        <v>51194</v>
      </c>
      <c r="L438" s="922"/>
      <c r="M438" s="939">
        <v>5.1002999999999998</v>
      </c>
      <c r="N438" s="930" t="s">
        <v>108</v>
      </c>
      <c r="O438" s="975">
        <v>53288</v>
      </c>
    </row>
    <row r="439" spans="1:15">
      <c r="A439" s="927" t="s">
        <v>179</v>
      </c>
      <c r="B439" s="920"/>
      <c r="C439" s="968">
        <v>4008522</v>
      </c>
      <c r="D439" s="922"/>
      <c r="E439" s="968">
        <v>3934668</v>
      </c>
      <c r="F439" s="922"/>
      <c r="G439" s="939">
        <v>3.8355999999999999</v>
      </c>
      <c r="H439" s="930" t="s">
        <v>108</v>
      </c>
      <c r="I439" s="975">
        <v>153751</v>
      </c>
      <c r="J439" s="922"/>
      <c r="K439" s="975">
        <v>150918</v>
      </c>
      <c r="L439" s="922"/>
      <c r="M439" s="939">
        <v>3.9925000000000002</v>
      </c>
      <c r="N439" s="930" t="s">
        <v>108</v>
      </c>
      <c r="O439" s="975">
        <v>157092</v>
      </c>
    </row>
    <row r="440" spans="1:15">
      <c r="A440" s="927" t="s">
        <v>223</v>
      </c>
      <c r="B440" s="920"/>
      <c r="C440" s="968">
        <v>5124703</v>
      </c>
      <c r="D440" s="922"/>
      <c r="E440" s="968">
        <v>5030284.6792951785</v>
      </c>
      <c r="F440" s="922"/>
      <c r="G440" s="939">
        <v>3.3018999999999998</v>
      </c>
      <c r="H440" s="930" t="s">
        <v>108</v>
      </c>
      <c r="I440" s="975">
        <v>169213</v>
      </c>
      <c r="J440" s="922"/>
      <c r="K440" s="975">
        <v>166095</v>
      </c>
      <c r="L440" s="922"/>
      <c r="M440" s="939">
        <v>3.4363999999999999</v>
      </c>
      <c r="N440" s="930" t="s">
        <v>108</v>
      </c>
      <c r="O440" s="975">
        <v>172861</v>
      </c>
    </row>
    <row r="441" spans="1:15">
      <c r="A441" s="926" t="s">
        <v>384</v>
      </c>
      <c r="B441" s="920"/>
      <c r="C441" s="968"/>
      <c r="D441" s="922"/>
      <c r="E441" s="968"/>
      <c r="F441" s="922"/>
      <c r="G441" s="936"/>
      <c r="H441" s="935"/>
      <c r="I441" s="975"/>
      <c r="J441" s="922"/>
      <c r="K441" s="975"/>
      <c r="L441" s="922"/>
      <c r="M441" s="936"/>
      <c r="N441" s="935"/>
      <c r="O441" s="975"/>
    </row>
    <row r="442" spans="1:15">
      <c r="A442" s="927" t="s">
        <v>220</v>
      </c>
      <c r="B442" s="920"/>
      <c r="C442" s="968">
        <v>103445.00135121599</v>
      </c>
      <c r="D442" s="922"/>
      <c r="E442" s="968">
        <v>103313</v>
      </c>
      <c r="F442" s="922"/>
      <c r="G442" s="936">
        <v>2.12</v>
      </c>
      <c r="H442" s="935"/>
      <c r="I442" s="975">
        <v>219303</v>
      </c>
      <c r="J442" s="922"/>
      <c r="K442" s="975">
        <v>219024</v>
      </c>
      <c r="L442" s="922"/>
      <c r="M442" s="936">
        <v>2.2400000000000002</v>
      </c>
      <c r="N442" s="935"/>
      <c r="O442" s="975">
        <v>231421</v>
      </c>
    </row>
    <row r="443" spans="1:15">
      <c r="A443" s="927" t="s">
        <v>221</v>
      </c>
      <c r="B443" s="920"/>
      <c r="C443" s="968">
        <v>49554</v>
      </c>
      <c r="D443" s="922"/>
      <c r="E443" s="968">
        <v>49491</v>
      </c>
      <c r="F443" s="922"/>
      <c r="G443" s="936">
        <v>13.32</v>
      </c>
      <c r="H443" s="935"/>
      <c r="I443" s="975">
        <v>660059</v>
      </c>
      <c r="J443" s="922"/>
      <c r="K443" s="975">
        <v>659220</v>
      </c>
      <c r="L443" s="922"/>
      <c r="M443" s="936">
        <v>14.06</v>
      </c>
      <c r="N443" s="935"/>
      <c r="O443" s="975">
        <v>695843</v>
      </c>
    </row>
    <row r="444" spans="1:15">
      <c r="A444" s="927" t="s">
        <v>222</v>
      </c>
      <c r="B444" s="920"/>
      <c r="C444" s="968">
        <v>50143.999635145403</v>
      </c>
      <c r="D444" s="922"/>
      <c r="E444" s="968">
        <v>50080</v>
      </c>
      <c r="F444" s="922"/>
      <c r="G444" s="936">
        <v>9.0299999999999994</v>
      </c>
      <c r="H444" s="935"/>
      <c r="I444" s="975">
        <v>452800</v>
      </c>
      <c r="J444" s="922"/>
      <c r="K444" s="975">
        <v>452222</v>
      </c>
      <c r="L444" s="922"/>
      <c r="M444" s="936">
        <v>9.5299999999999994</v>
      </c>
      <c r="N444" s="935"/>
      <c r="O444" s="975">
        <v>477262</v>
      </c>
    </row>
    <row r="445" spans="1:15">
      <c r="A445" s="927" t="s">
        <v>228</v>
      </c>
      <c r="B445" s="920"/>
      <c r="C445" s="968">
        <v>8127144</v>
      </c>
      <c r="D445" s="922"/>
      <c r="E445" s="968">
        <v>7647176</v>
      </c>
      <c r="F445" s="922"/>
      <c r="G445" s="964">
        <v>4.4379</v>
      </c>
      <c r="H445" s="930" t="s">
        <v>108</v>
      </c>
      <c r="I445" s="975">
        <v>360675</v>
      </c>
      <c r="J445" s="922"/>
      <c r="K445" s="975">
        <v>339374</v>
      </c>
      <c r="L445" s="922"/>
      <c r="M445" s="964">
        <v>4.6836000000000002</v>
      </c>
      <c r="N445" s="930" t="s">
        <v>108</v>
      </c>
      <c r="O445" s="975">
        <v>358163</v>
      </c>
    </row>
    <row r="446" spans="1:15">
      <c r="A446" s="927" t="s">
        <v>229</v>
      </c>
      <c r="B446" s="920"/>
      <c r="C446" s="968">
        <v>13316146</v>
      </c>
      <c r="D446" s="922"/>
      <c r="E446" s="968">
        <v>10898121</v>
      </c>
      <c r="F446" s="922"/>
      <c r="G446" s="964">
        <v>3.3371</v>
      </c>
      <c r="H446" s="930" t="s">
        <v>108</v>
      </c>
      <c r="I446" s="975">
        <v>444373</v>
      </c>
      <c r="J446" s="922"/>
      <c r="K446" s="975">
        <v>363681</v>
      </c>
      <c r="L446" s="922"/>
      <c r="M446" s="964">
        <v>3.5219</v>
      </c>
      <c r="N446" s="930" t="s">
        <v>108</v>
      </c>
      <c r="O446" s="975">
        <v>383821</v>
      </c>
    </row>
    <row r="447" spans="1:15">
      <c r="A447" s="927" t="s">
        <v>223</v>
      </c>
      <c r="B447" s="920"/>
      <c r="C447" s="1001">
        <v>31472683.819308575</v>
      </c>
      <c r="D447" s="922"/>
      <c r="E447" s="1001">
        <v>27727401.345819965</v>
      </c>
      <c r="F447" s="922"/>
      <c r="G447" s="965">
        <v>2.7873000000000001</v>
      </c>
      <c r="H447" s="930" t="s">
        <v>108</v>
      </c>
      <c r="I447" s="991">
        <v>877238</v>
      </c>
      <c r="J447" s="922"/>
      <c r="K447" s="991">
        <v>772846</v>
      </c>
      <c r="L447" s="922"/>
      <c r="M447" s="965">
        <v>2.9416000000000002</v>
      </c>
      <c r="N447" s="930" t="s">
        <v>108</v>
      </c>
      <c r="O447" s="991">
        <v>815629</v>
      </c>
    </row>
    <row r="448" spans="1:15">
      <c r="A448" s="927" t="s">
        <v>358</v>
      </c>
      <c r="B448" s="920"/>
      <c r="C448" s="976"/>
      <c r="D448" s="922"/>
      <c r="E448" s="976"/>
      <c r="F448" s="922"/>
      <c r="G448" s="1003"/>
      <c r="H448" s="930"/>
      <c r="I448" s="978">
        <v>3625563</v>
      </c>
      <c r="J448" s="922"/>
      <c r="K448" s="978">
        <v>3405749</v>
      </c>
      <c r="L448" s="922"/>
      <c r="M448" s="1003"/>
      <c r="N448" s="930"/>
      <c r="O448" s="978">
        <v>3586034</v>
      </c>
    </row>
    <row r="449" spans="1:15">
      <c r="A449" s="920" t="s">
        <v>216</v>
      </c>
      <c r="B449" s="920"/>
      <c r="C449" s="996">
        <v>-151318</v>
      </c>
      <c r="D449" s="922"/>
      <c r="E449" s="996">
        <v>0</v>
      </c>
      <c r="F449" s="922"/>
      <c r="G449" s="939"/>
      <c r="H449" s="940"/>
      <c r="I449" s="980">
        <v>2384</v>
      </c>
      <c r="J449" s="922"/>
      <c r="K449" s="980">
        <v>0</v>
      </c>
      <c r="L449" s="922"/>
      <c r="M449" s="939"/>
      <c r="N449" s="940"/>
      <c r="O449" s="980">
        <v>0</v>
      </c>
    </row>
    <row r="450" spans="1:15" ht="16.5" thickBot="1">
      <c r="A450" s="927" t="s">
        <v>385</v>
      </c>
      <c r="B450" s="920"/>
      <c r="C450" s="988">
        <v>62962285.819308579</v>
      </c>
      <c r="D450" s="922"/>
      <c r="E450" s="988">
        <v>56282445.025115147</v>
      </c>
      <c r="F450" s="922"/>
      <c r="G450" s="986"/>
      <c r="H450" s="922"/>
      <c r="I450" s="987">
        <v>4888894</v>
      </c>
      <c r="J450" s="922"/>
      <c r="K450" s="987">
        <v>4219468</v>
      </c>
      <c r="L450" s="922"/>
      <c r="M450" s="986"/>
      <c r="N450" s="922"/>
      <c r="O450" s="987">
        <v>4991271</v>
      </c>
    </row>
    <row r="451" spans="1:15" ht="16.5" thickTop="1">
      <c r="A451" s="920"/>
      <c r="B451" s="920"/>
      <c r="C451" s="920"/>
      <c r="D451" s="922"/>
      <c r="E451" s="920"/>
      <c r="F451" s="922"/>
      <c r="G451" s="920"/>
      <c r="H451" s="922"/>
      <c r="I451" s="920"/>
      <c r="J451" s="922"/>
      <c r="K451" s="920"/>
      <c r="L451" s="922"/>
      <c r="M451" s="920"/>
      <c r="N451" s="922"/>
      <c r="O451" s="920"/>
    </row>
    <row r="452" spans="1:15">
      <c r="A452" s="926" t="s">
        <v>50</v>
      </c>
      <c r="B452" s="920"/>
      <c r="C452" s="968"/>
      <c r="D452" s="922"/>
      <c r="E452" s="968"/>
      <c r="F452" s="922"/>
      <c r="G452" s="920"/>
      <c r="H452" s="922"/>
      <c r="I452" s="920"/>
      <c r="J452" s="922"/>
      <c r="K452" s="920"/>
      <c r="L452" s="922"/>
      <c r="M452" s="920"/>
      <c r="N452" s="922"/>
      <c r="O452" s="920"/>
    </row>
    <row r="453" spans="1:15">
      <c r="A453" s="927" t="s">
        <v>104</v>
      </c>
      <c r="B453" s="920"/>
      <c r="C453" s="968">
        <v>12</v>
      </c>
      <c r="D453" s="922"/>
      <c r="E453" s="968">
        <v>12</v>
      </c>
      <c r="F453" s="922"/>
      <c r="G453" s="939"/>
      <c r="H453" s="940"/>
      <c r="I453" s="1004">
        <v>2617.6799999999989</v>
      </c>
      <c r="J453" s="922"/>
      <c r="K453" s="1004">
        <v>2618</v>
      </c>
      <c r="L453" s="922"/>
      <c r="M453" s="939"/>
      <c r="N453" s="940"/>
      <c r="O453" s="1004">
        <v>2724</v>
      </c>
    </row>
    <row r="454" spans="1:15">
      <c r="A454" s="927" t="s">
        <v>390</v>
      </c>
      <c r="B454" s="920"/>
      <c r="C454" s="968">
        <v>1041000</v>
      </c>
      <c r="D454" s="922"/>
      <c r="E454" s="968">
        <v>949050</v>
      </c>
      <c r="F454" s="922"/>
      <c r="G454" s="939"/>
      <c r="H454" s="940"/>
      <c r="I454" s="1004">
        <v>12117000.000000002</v>
      </c>
      <c r="J454" s="922"/>
      <c r="K454" s="1004">
        <v>11046723</v>
      </c>
      <c r="L454" s="922"/>
      <c r="M454" s="939"/>
      <c r="N454" s="940"/>
      <c r="O454" s="1004">
        <v>11493797</v>
      </c>
    </row>
    <row r="455" spans="1:15">
      <c r="A455" s="927" t="s">
        <v>392</v>
      </c>
      <c r="B455" s="920"/>
      <c r="C455" s="968">
        <v>260217147</v>
      </c>
      <c r="D455" s="922"/>
      <c r="E455" s="968">
        <v>237232647</v>
      </c>
      <c r="F455" s="922"/>
      <c r="G455" s="954"/>
      <c r="H455" s="955"/>
      <c r="I455" s="1004">
        <v>9184092.8000000007</v>
      </c>
      <c r="J455" s="922"/>
      <c r="K455" s="1004">
        <v>8372879</v>
      </c>
      <c r="L455" s="922"/>
      <c r="M455" s="954"/>
      <c r="N455" s="955"/>
      <c r="O455" s="1004">
        <v>8711740</v>
      </c>
    </row>
    <row r="456" spans="1:15">
      <c r="A456" s="927" t="s">
        <v>393</v>
      </c>
      <c r="B456" s="920"/>
      <c r="C456" s="1001">
        <v>327407853</v>
      </c>
      <c r="D456" s="922"/>
      <c r="E456" s="979">
        <v>298488523</v>
      </c>
      <c r="F456" s="922"/>
      <c r="G456" s="920"/>
      <c r="H456" s="922"/>
      <c r="I456" s="1005">
        <v>8506056.0099999998</v>
      </c>
      <c r="J456" s="922"/>
      <c r="K456" s="980">
        <v>7754732</v>
      </c>
      <c r="L456" s="922"/>
      <c r="M456" s="920"/>
      <c r="N456" s="922"/>
      <c r="O456" s="980">
        <v>8068575</v>
      </c>
    </row>
    <row r="457" spans="1:15" ht="16.5" thickBot="1">
      <c r="A457" s="927" t="s">
        <v>134</v>
      </c>
      <c r="B457" s="920"/>
      <c r="C457" s="988">
        <v>587625000</v>
      </c>
      <c r="D457" s="922"/>
      <c r="E457" s="988">
        <v>535721170</v>
      </c>
      <c r="F457" s="922"/>
      <c r="G457" s="956"/>
      <c r="H457" s="940"/>
      <c r="I457" s="987">
        <v>29809766.490000002</v>
      </c>
      <c r="J457" s="922"/>
      <c r="K457" s="987">
        <v>27176952</v>
      </c>
      <c r="L457" s="922"/>
      <c r="M457" s="956"/>
      <c r="N457" s="940"/>
      <c r="O457" s="987">
        <v>28276836</v>
      </c>
    </row>
    <row r="458" spans="1:15" ht="16.5" thickTop="1">
      <c r="A458" s="920"/>
      <c r="B458" s="920"/>
      <c r="C458" s="968"/>
      <c r="D458" s="922"/>
      <c r="E458" s="968"/>
      <c r="F458" s="922"/>
      <c r="G458" s="920"/>
      <c r="H458" s="922"/>
      <c r="I458" s="939"/>
      <c r="J458" s="922"/>
      <c r="K458" s="939"/>
      <c r="L458" s="922"/>
      <c r="M458" s="920"/>
      <c r="N458" s="922"/>
      <c r="O458" s="939"/>
    </row>
    <row r="459" spans="1:15">
      <c r="A459" s="957" t="s">
        <v>51</v>
      </c>
      <c r="B459" s="922"/>
      <c r="C459" s="968"/>
      <c r="D459" s="922"/>
      <c r="E459" s="968"/>
      <c r="F459" s="922"/>
      <c r="G459" s="939"/>
      <c r="H459" s="940"/>
      <c r="I459" s="920"/>
      <c r="J459" s="922"/>
      <c r="K459" s="920"/>
      <c r="L459" s="922"/>
      <c r="M459" s="939"/>
      <c r="N459" s="940"/>
      <c r="O459" s="920"/>
    </row>
    <row r="460" spans="1:15">
      <c r="A460" s="958" t="s">
        <v>104</v>
      </c>
      <c r="B460" s="922"/>
      <c r="C460" s="968">
        <v>12</v>
      </c>
      <c r="D460" s="922"/>
      <c r="E460" s="968">
        <v>12</v>
      </c>
      <c r="F460" s="922"/>
      <c r="G460" s="920"/>
      <c r="H460" s="922"/>
      <c r="I460" s="920"/>
      <c r="J460" s="922"/>
      <c r="K460" s="920"/>
      <c r="L460" s="922"/>
      <c r="M460" s="920"/>
      <c r="N460" s="922"/>
      <c r="O460" s="920"/>
    </row>
    <row r="461" spans="1:15">
      <c r="A461" s="958" t="s">
        <v>643</v>
      </c>
      <c r="B461" s="922"/>
      <c r="C461" s="1001">
        <v>968926440</v>
      </c>
      <c r="D461" s="922"/>
      <c r="E461" s="968">
        <v>795798675.78575754</v>
      </c>
      <c r="F461" s="922"/>
      <c r="G461" s="959"/>
      <c r="H461" s="960"/>
      <c r="I461" s="991">
        <v>42690898.946400009</v>
      </c>
      <c r="J461" s="922"/>
      <c r="K461" s="975">
        <v>35062890</v>
      </c>
      <c r="L461" s="922"/>
      <c r="M461" s="959"/>
      <c r="N461" s="960"/>
      <c r="O461" s="991">
        <v>35062890</v>
      </c>
    </row>
    <row r="462" spans="1:15" ht="16.5" thickBot="1">
      <c r="A462" s="927" t="s">
        <v>134</v>
      </c>
      <c r="B462" s="922"/>
      <c r="C462" s="1006">
        <v>968926440</v>
      </c>
      <c r="D462" s="922"/>
      <c r="E462" s="1006">
        <v>795798675.78575754</v>
      </c>
      <c r="F462" s="922"/>
      <c r="G462" s="961"/>
      <c r="H462" s="940"/>
      <c r="I462" s="983">
        <v>42690898.946400009</v>
      </c>
      <c r="J462" s="922"/>
      <c r="K462" s="1007">
        <v>35062890</v>
      </c>
      <c r="L462" s="922"/>
      <c r="M462" s="961"/>
      <c r="N462" s="940"/>
      <c r="O462" s="983">
        <v>35062890</v>
      </c>
    </row>
    <row r="463" spans="1:15" ht="16.5" thickTop="1">
      <c r="A463" s="958"/>
      <c r="B463" s="922"/>
      <c r="C463" s="976"/>
      <c r="D463" s="922"/>
      <c r="E463" s="976"/>
      <c r="F463" s="922"/>
      <c r="G463" s="962"/>
      <c r="H463" s="962"/>
      <c r="I463" s="978"/>
      <c r="J463" s="922"/>
      <c r="K463" s="978"/>
      <c r="L463" s="922"/>
      <c r="M463" s="962"/>
      <c r="N463" s="962"/>
      <c r="O463" s="978"/>
    </row>
    <row r="464" spans="1:15">
      <c r="A464" s="926" t="s">
        <v>52</v>
      </c>
      <c r="B464" s="920"/>
      <c r="C464" s="968"/>
      <c r="D464" s="922"/>
      <c r="E464" s="968"/>
      <c r="F464" s="922"/>
      <c r="G464" s="939"/>
      <c r="H464" s="940"/>
      <c r="I464" s="920"/>
      <c r="J464" s="922"/>
      <c r="K464" s="920"/>
      <c r="L464" s="922"/>
      <c r="M464" s="939"/>
      <c r="N464" s="940"/>
      <c r="O464" s="920"/>
    </row>
    <row r="465" spans="1:15">
      <c r="A465" s="927" t="s">
        <v>104</v>
      </c>
      <c r="B465" s="920"/>
      <c r="C465" s="968">
        <v>12</v>
      </c>
      <c r="D465" s="922"/>
      <c r="E465" s="968">
        <v>12</v>
      </c>
      <c r="F465" s="922"/>
      <c r="G465" s="928">
        <v>646</v>
      </c>
      <c r="H465" s="940"/>
      <c r="I465" s="975">
        <v>7752</v>
      </c>
      <c r="J465" s="922"/>
      <c r="K465" s="975">
        <v>7752</v>
      </c>
      <c r="L465" s="922"/>
      <c r="M465" s="928">
        <v>691</v>
      </c>
      <c r="N465" s="940"/>
      <c r="O465" s="975">
        <v>8292</v>
      </c>
    </row>
    <row r="466" spans="1:15">
      <c r="A466" s="927" t="s">
        <v>644</v>
      </c>
      <c r="B466" s="920"/>
      <c r="C466" s="968">
        <v>711775</v>
      </c>
      <c r="D466" s="922"/>
      <c r="E466" s="968">
        <v>422498</v>
      </c>
      <c r="F466" s="922"/>
      <c r="G466" s="928">
        <v>2.08</v>
      </c>
      <c r="H466" s="940"/>
      <c r="I466" s="975">
        <v>1480492</v>
      </c>
      <c r="J466" s="922"/>
      <c r="K466" s="975">
        <v>878796</v>
      </c>
      <c r="L466" s="922"/>
      <c r="M466" s="928">
        <v>5.79</v>
      </c>
      <c r="N466" s="940"/>
      <c r="O466" s="975">
        <v>2446263</v>
      </c>
    </row>
    <row r="467" spans="1:15">
      <c r="A467" s="927" t="s">
        <v>399</v>
      </c>
      <c r="B467" s="920"/>
      <c r="C467" s="968"/>
      <c r="D467" s="922"/>
      <c r="E467" s="968"/>
      <c r="F467" s="922"/>
      <c r="G467" s="936"/>
      <c r="H467" s="963"/>
      <c r="I467" s="1004"/>
      <c r="J467" s="922"/>
      <c r="K467" s="1004"/>
      <c r="L467" s="922"/>
      <c r="M467" s="936"/>
      <c r="N467" s="963"/>
      <c r="O467" s="1004"/>
    </row>
    <row r="468" spans="1:15">
      <c r="A468" s="927" t="s">
        <v>375</v>
      </c>
      <c r="B468" s="920"/>
      <c r="C468" s="968">
        <v>5787707</v>
      </c>
      <c r="D468" s="922"/>
      <c r="E468" s="968">
        <v>3435490</v>
      </c>
      <c r="F468" s="922"/>
      <c r="G468" s="949">
        <v>0.49059999999999998</v>
      </c>
      <c r="H468" s="950"/>
      <c r="I468" s="975">
        <v>2839449</v>
      </c>
      <c r="J468" s="922"/>
      <c r="K468" s="975">
        <v>1685451</v>
      </c>
      <c r="L468" s="922"/>
      <c r="M468" s="949"/>
      <c r="N468" s="940"/>
      <c r="O468" s="975"/>
    </row>
    <row r="469" spans="1:15">
      <c r="A469" s="927" t="s">
        <v>641</v>
      </c>
      <c r="B469" s="920"/>
      <c r="C469" s="968">
        <v>5481092</v>
      </c>
      <c r="D469" s="922"/>
      <c r="E469" s="968">
        <v>3253488</v>
      </c>
      <c r="F469" s="922"/>
      <c r="G469" s="949"/>
      <c r="H469" s="950"/>
      <c r="I469" s="975"/>
      <c r="J469" s="922"/>
      <c r="K469" s="975"/>
      <c r="L469" s="922"/>
      <c r="M469" s="928">
        <v>0.41</v>
      </c>
      <c r="N469" s="940"/>
      <c r="O469" s="975">
        <v>1333930</v>
      </c>
    </row>
    <row r="470" spans="1:15">
      <c r="A470" s="927" t="s">
        <v>642</v>
      </c>
      <c r="B470" s="920"/>
      <c r="C470" s="968">
        <v>306615</v>
      </c>
      <c r="D470" s="922"/>
      <c r="E470" s="968">
        <v>182002</v>
      </c>
      <c r="F470" s="922"/>
      <c r="G470" s="949"/>
      <c r="H470" s="950"/>
      <c r="I470" s="975"/>
      <c r="J470" s="922"/>
      <c r="K470" s="975"/>
      <c r="L470" s="922"/>
      <c r="M470" s="928">
        <v>0.23</v>
      </c>
      <c r="N470" s="940"/>
      <c r="O470" s="975">
        <v>41860</v>
      </c>
    </row>
    <row r="471" spans="1:15">
      <c r="A471" s="927" t="s">
        <v>377</v>
      </c>
      <c r="B471" s="920"/>
      <c r="C471" s="968">
        <v>0</v>
      </c>
      <c r="D471" s="922"/>
      <c r="E471" s="968">
        <v>0</v>
      </c>
      <c r="F471" s="922"/>
      <c r="G471" s="951">
        <v>0.24529999999999999</v>
      </c>
      <c r="H471" s="952"/>
      <c r="I471" s="975">
        <v>0</v>
      </c>
      <c r="J471" s="922"/>
      <c r="K471" s="975">
        <v>0</v>
      </c>
      <c r="L471" s="922"/>
      <c r="M471" s="949"/>
      <c r="N471" s="940"/>
      <c r="O471" s="975"/>
    </row>
    <row r="472" spans="1:15">
      <c r="A472" s="927" t="s">
        <v>641</v>
      </c>
      <c r="B472" s="920"/>
      <c r="C472" s="968"/>
      <c r="D472" s="922"/>
      <c r="E472" s="968"/>
      <c r="F472" s="922"/>
      <c r="G472" s="951"/>
      <c r="H472" s="952"/>
      <c r="I472" s="975"/>
      <c r="J472" s="922"/>
      <c r="K472" s="975"/>
      <c r="L472" s="922"/>
      <c r="M472" s="953">
        <v>0.20499999999999999</v>
      </c>
      <c r="N472" s="940"/>
      <c r="O472" s="975">
        <v>0</v>
      </c>
    </row>
    <row r="473" spans="1:15">
      <c r="A473" s="927" t="s">
        <v>642</v>
      </c>
      <c r="B473" s="920"/>
      <c r="C473" s="968"/>
      <c r="D473" s="922"/>
      <c r="E473" s="968"/>
      <c r="F473" s="922"/>
      <c r="G473" s="951"/>
      <c r="H473" s="952"/>
      <c r="I473" s="975"/>
      <c r="J473" s="922"/>
      <c r="K473" s="975"/>
      <c r="L473" s="922"/>
      <c r="M473" s="953">
        <v>0.115</v>
      </c>
      <c r="N473" s="940"/>
      <c r="O473" s="975">
        <v>0</v>
      </c>
    </row>
    <row r="474" spans="1:15">
      <c r="A474" s="927" t="s">
        <v>402</v>
      </c>
      <c r="B474" s="920"/>
      <c r="C474" s="968">
        <v>0</v>
      </c>
      <c r="D474" s="922"/>
      <c r="E474" s="968">
        <v>0</v>
      </c>
      <c r="F474" s="922"/>
      <c r="G474" s="928">
        <v>41.97</v>
      </c>
      <c r="H474" s="929"/>
      <c r="I474" s="975">
        <v>0</v>
      </c>
      <c r="J474" s="922"/>
      <c r="K474" s="975">
        <v>0</v>
      </c>
      <c r="L474" s="922"/>
      <c r="M474" s="949"/>
      <c r="N474" s="940"/>
      <c r="O474" s="975"/>
    </row>
    <row r="475" spans="1:15">
      <c r="A475" s="927" t="s">
        <v>641</v>
      </c>
      <c r="B475" s="920"/>
      <c r="C475" s="968"/>
      <c r="D475" s="922"/>
      <c r="E475" s="968"/>
      <c r="F475" s="922"/>
      <c r="G475" s="928"/>
      <c r="H475" s="929"/>
      <c r="I475" s="975"/>
      <c r="J475" s="922"/>
      <c r="K475" s="975"/>
      <c r="L475" s="922"/>
      <c r="M475" s="928">
        <v>32.6</v>
      </c>
      <c r="N475" s="940"/>
      <c r="O475" s="975">
        <v>0</v>
      </c>
    </row>
    <row r="476" spans="1:15">
      <c r="A476" s="927" t="s">
        <v>642</v>
      </c>
      <c r="B476" s="920"/>
      <c r="C476" s="968"/>
      <c r="D476" s="922"/>
      <c r="E476" s="968"/>
      <c r="F476" s="922"/>
      <c r="G476" s="928"/>
      <c r="H476" s="929"/>
      <c r="I476" s="975"/>
      <c r="J476" s="922"/>
      <c r="K476" s="975"/>
      <c r="L476" s="922"/>
      <c r="M476" s="928">
        <v>23.54</v>
      </c>
      <c r="N476" s="940"/>
      <c r="O476" s="975">
        <v>0</v>
      </c>
    </row>
    <row r="477" spans="1:15">
      <c r="A477" s="927" t="s">
        <v>403</v>
      </c>
      <c r="B477" s="920"/>
      <c r="C477" s="968"/>
      <c r="D477" s="922"/>
      <c r="E477" s="968"/>
      <c r="F477" s="922"/>
      <c r="G477" s="942"/>
      <c r="H477" s="963"/>
      <c r="I477" s="1004"/>
      <c r="J477" s="922"/>
      <c r="K477" s="1004"/>
      <c r="L477" s="922"/>
      <c r="M477" s="942"/>
      <c r="N477" s="963"/>
      <c r="O477" s="1004"/>
    </row>
    <row r="478" spans="1:15">
      <c r="A478" s="927" t="s">
        <v>404</v>
      </c>
      <c r="B478" s="920"/>
      <c r="C478" s="968">
        <v>41792</v>
      </c>
      <c r="D478" s="922"/>
      <c r="E478" s="968">
        <v>24807</v>
      </c>
      <c r="F478" s="922"/>
      <c r="G478" s="936">
        <v>13.32</v>
      </c>
      <c r="H478" s="935"/>
      <c r="I478" s="975">
        <v>556669</v>
      </c>
      <c r="J478" s="922"/>
      <c r="K478" s="975">
        <v>330429</v>
      </c>
      <c r="L478" s="922"/>
      <c r="M478" s="936">
        <v>14.06</v>
      </c>
      <c r="N478" s="935"/>
      <c r="O478" s="975">
        <v>348786</v>
      </c>
    </row>
    <row r="479" spans="1:15">
      <c r="A479" s="927" t="s">
        <v>405</v>
      </c>
      <c r="B479" s="920"/>
      <c r="C479" s="968">
        <v>1289459</v>
      </c>
      <c r="D479" s="922"/>
      <c r="E479" s="968">
        <v>765402</v>
      </c>
      <c r="F479" s="922"/>
      <c r="G479" s="936">
        <v>9.0299999999999994</v>
      </c>
      <c r="H479" s="935"/>
      <c r="I479" s="975">
        <v>11643815</v>
      </c>
      <c r="J479" s="922"/>
      <c r="K479" s="975">
        <v>6911580</v>
      </c>
      <c r="L479" s="922"/>
      <c r="M479" s="936">
        <v>9.5299999999999994</v>
      </c>
      <c r="N479" s="935"/>
      <c r="O479" s="975">
        <v>7294281</v>
      </c>
    </row>
    <row r="480" spans="1:15">
      <c r="A480" s="927" t="s">
        <v>406</v>
      </c>
      <c r="B480" s="920"/>
      <c r="C480" s="976"/>
      <c r="D480" s="922"/>
      <c r="E480" s="976"/>
      <c r="F480" s="922"/>
      <c r="G480" s="963"/>
      <c r="H480" s="963"/>
      <c r="I480" s="1008"/>
      <c r="J480" s="922"/>
      <c r="K480" s="978"/>
      <c r="L480" s="922"/>
      <c r="M480" s="963"/>
      <c r="N480" s="963"/>
      <c r="O480" s="978"/>
    </row>
    <row r="481" spans="1:15">
      <c r="A481" s="927" t="s">
        <v>407</v>
      </c>
      <c r="B481" s="920"/>
      <c r="C481" s="968">
        <v>38405453</v>
      </c>
      <c r="D481" s="922"/>
      <c r="E481" s="968">
        <v>22796861</v>
      </c>
      <c r="F481" s="922"/>
      <c r="G481" s="964">
        <v>4.4379</v>
      </c>
      <c r="H481" s="930" t="s">
        <v>108</v>
      </c>
      <c r="I481" s="975">
        <v>1704396</v>
      </c>
      <c r="J481" s="922"/>
      <c r="K481" s="975">
        <v>1011702</v>
      </c>
      <c r="L481" s="922"/>
      <c r="M481" s="964">
        <v>4.6836000000000002</v>
      </c>
      <c r="N481" s="930" t="s">
        <v>108</v>
      </c>
      <c r="O481" s="975">
        <v>1067714</v>
      </c>
    </row>
    <row r="482" spans="1:15">
      <c r="A482" s="927" t="s">
        <v>408</v>
      </c>
      <c r="B482" s="920"/>
      <c r="C482" s="968">
        <v>344060613</v>
      </c>
      <c r="D482" s="922"/>
      <c r="E482" s="968">
        <v>204228863</v>
      </c>
      <c r="F482" s="922"/>
      <c r="G482" s="964">
        <v>3.3371</v>
      </c>
      <c r="H482" s="930" t="s">
        <v>108</v>
      </c>
      <c r="I482" s="975">
        <v>11481647</v>
      </c>
      <c r="J482" s="922"/>
      <c r="K482" s="975">
        <v>6815321</v>
      </c>
      <c r="L482" s="922"/>
      <c r="M482" s="964">
        <v>3.5219</v>
      </c>
      <c r="N482" s="930" t="s">
        <v>108</v>
      </c>
      <c r="O482" s="975">
        <v>7192736</v>
      </c>
    </row>
    <row r="483" spans="1:15">
      <c r="A483" s="927" t="s">
        <v>409</v>
      </c>
      <c r="B483" s="920"/>
      <c r="C483" s="1001">
        <v>665084694</v>
      </c>
      <c r="D483" s="922"/>
      <c r="E483" s="1001">
        <v>394783609.25</v>
      </c>
      <c r="F483" s="922"/>
      <c r="G483" s="965">
        <v>2.7873000000000001</v>
      </c>
      <c r="H483" s="930" t="s">
        <v>108</v>
      </c>
      <c r="I483" s="991">
        <v>18537906</v>
      </c>
      <c r="J483" s="922"/>
      <c r="K483" s="991">
        <v>11003804</v>
      </c>
      <c r="L483" s="922"/>
      <c r="M483" s="965">
        <v>2.9416000000000002</v>
      </c>
      <c r="N483" s="930" t="s">
        <v>108</v>
      </c>
      <c r="O483" s="991">
        <v>11612955</v>
      </c>
    </row>
    <row r="484" spans="1:15" ht="16.5" thickBot="1">
      <c r="A484" s="927" t="s">
        <v>410</v>
      </c>
      <c r="B484" s="920"/>
      <c r="C484" s="988">
        <v>1047550760</v>
      </c>
      <c r="D484" s="922"/>
      <c r="E484" s="988">
        <v>621809333.25</v>
      </c>
      <c r="F484" s="922"/>
      <c r="G484" s="956"/>
      <c r="H484" s="940"/>
      <c r="I484" s="987">
        <v>48252126</v>
      </c>
      <c r="J484" s="922"/>
      <c r="K484" s="987">
        <v>28644835</v>
      </c>
      <c r="L484" s="922"/>
      <c r="M484" s="956"/>
      <c r="N484" s="940"/>
      <c r="O484" s="987">
        <v>31346817</v>
      </c>
    </row>
    <row r="485" spans="1:15" ht="16.5" thickTop="1">
      <c r="A485" s="920"/>
      <c r="B485" s="920"/>
      <c r="C485" s="968"/>
      <c r="D485" s="922"/>
      <c r="E485" s="968"/>
      <c r="F485" s="922"/>
      <c r="G485" s="939"/>
      <c r="H485" s="940"/>
      <c r="I485" s="920"/>
      <c r="J485" s="922"/>
      <c r="K485" s="920"/>
      <c r="L485" s="922"/>
      <c r="M485" s="939"/>
      <c r="N485" s="940"/>
      <c r="O485" s="920"/>
    </row>
    <row r="486" spans="1:15">
      <c r="A486" s="926" t="s">
        <v>657</v>
      </c>
      <c r="B486" s="920"/>
      <c r="C486" s="968"/>
      <c r="D486" s="922"/>
      <c r="E486" s="968"/>
      <c r="F486" s="922"/>
      <c r="G486" s="920"/>
      <c r="H486" s="922"/>
      <c r="I486" s="920"/>
      <c r="J486" s="922"/>
      <c r="K486" s="920"/>
      <c r="L486" s="922"/>
      <c r="M486" s="920"/>
      <c r="N486" s="922"/>
      <c r="O486" s="920"/>
    </row>
    <row r="487" spans="1:15">
      <c r="A487" s="927" t="s">
        <v>417</v>
      </c>
      <c r="B487" s="920"/>
      <c r="C487" s="968">
        <v>60.178899082568797</v>
      </c>
      <c r="D487" s="922"/>
      <c r="E487" s="968">
        <v>60</v>
      </c>
      <c r="F487" s="922"/>
      <c r="G487" s="928">
        <v>2.1800000000000002</v>
      </c>
      <c r="H487" s="929"/>
      <c r="I487" s="975">
        <v>131</v>
      </c>
      <c r="J487" s="922"/>
      <c r="K487" s="975">
        <v>131</v>
      </c>
      <c r="L487" s="922"/>
      <c r="M487" s="928">
        <v>2.1800000000000002</v>
      </c>
      <c r="N487" s="929"/>
      <c r="O487" s="975">
        <v>131</v>
      </c>
    </row>
    <row r="488" spans="1:15">
      <c r="A488" s="927" t="s">
        <v>418</v>
      </c>
      <c r="B488" s="920"/>
      <c r="C488" s="976">
        <v>207.301674444139</v>
      </c>
      <c r="D488" s="922"/>
      <c r="E488" s="976">
        <v>207</v>
      </c>
      <c r="F488" s="922"/>
      <c r="G488" s="952">
        <v>2.1858</v>
      </c>
      <c r="H488" s="930"/>
      <c r="I488" s="978">
        <v>453</v>
      </c>
      <c r="J488" s="922"/>
      <c r="K488" s="978">
        <v>452</v>
      </c>
      <c r="L488" s="922"/>
      <c r="M488" s="952">
        <v>2.1858</v>
      </c>
      <c r="N488" s="930"/>
      <c r="O488" s="978">
        <v>452</v>
      </c>
    </row>
    <row r="489" spans="1:15">
      <c r="A489" s="927" t="s">
        <v>299</v>
      </c>
      <c r="B489" s="920"/>
      <c r="C489" s="1001">
        <v>267.48057352670781</v>
      </c>
      <c r="D489" s="922"/>
      <c r="E489" s="1001">
        <v>267</v>
      </c>
      <c r="F489" s="922"/>
      <c r="G489" s="965"/>
      <c r="H489" s="930"/>
      <c r="I489" s="991">
        <v>584</v>
      </c>
      <c r="J489" s="922"/>
      <c r="K489" s="991">
        <v>583</v>
      </c>
      <c r="L489" s="922"/>
      <c r="M489" s="965"/>
      <c r="N489" s="930"/>
      <c r="O489" s="991">
        <v>583</v>
      </c>
    </row>
    <row r="490" spans="1:15">
      <c r="A490" s="927" t="s">
        <v>419</v>
      </c>
      <c r="B490" s="920"/>
      <c r="C490" s="999">
        <v>7756.93663227454</v>
      </c>
      <c r="D490" s="922"/>
      <c r="E490" s="999">
        <v>7736.6128294616919</v>
      </c>
      <c r="F490" s="922"/>
      <c r="G490" s="922"/>
      <c r="H490" s="922"/>
      <c r="I490" s="922"/>
      <c r="J490" s="922"/>
      <c r="K490" s="922"/>
      <c r="L490" s="922"/>
      <c r="M490" s="922"/>
      <c r="N490" s="922"/>
      <c r="O490" s="922"/>
    </row>
    <row r="491" spans="1:15">
      <c r="A491" s="927" t="s">
        <v>11</v>
      </c>
      <c r="B491" s="920"/>
      <c r="C491" s="999">
        <v>5</v>
      </c>
      <c r="D491" s="922"/>
      <c r="E491" s="999">
        <v>5</v>
      </c>
      <c r="F491" s="922"/>
      <c r="G491" s="922"/>
      <c r="H491" s="922"/>
      <c r="I491" s="922"/>
      <c r="J491" s="922"/>
      <c r="K491" s="922"/>
      <c r="L491" s="922"/>
      <c r="M491" s="922"/>
      <c r="N491" s="922"/>
      <c r="O491" s="922"/>
    </row>
    <row r="492" spans="1:15">
      <c r="A492" s="927" t="s">
        <v>216</v>
      </c>
      <c r="B492" s="920"/>
      <c r="C492" s="999">
        <v>9</v>
      </c>
      <c r="D492" s="922"/>
      <c r="E492" s="999">
        <v>0</v>
      </c>
      <c r="F492" s="922"/>
      <c r="G492" s="922"/>
      <c r="H492" s="922"/>
      <c r="I492" s="978">
        <v>3</v>
      </c>
      <c r="J492" s="922"/>
      <c r="K492" s="978"/>
      <c r="L492" s="922"/>
      <c r="M492" s="922"/>
      <c r="N492" s="922"/>
      <c r="O492" s="978">
        <v>0</v>
      </c>
    </row>
    <row r="493" spans="1:15" ht="16.5" thickBot="1">
      <c r="A493" s="927" t="s">
        <v>300</v>
      </c>
      <c r="B493" s="920"/>
      <c r="C493" s="995">
        <v>7765.93663227454</v>
      </c>
      <c r="D493" s="922"/>
      <c r="E493" s="995">
        <v>7736.6128294616919</v>
      </c>
      <c r="F493" s="922"/>
      <c r="G493" s="997"/>
      <c r="H493" s="998"/>
      <c r="I493" s="997">
        <v>587</v>
      </c>
      <c r="J493" s="922"/>
      <c r="K493" s="997">
        <v>583</v>
      </c>
      <c r="L493" s="922"/>
      <c r="M493" s="997"/>
      <c r="N493" s="998"/>
      <c r="O493" s="997">
        <v>583</v>
      </c>
    </row>
    <row r="494" spans="1:15" ht="16.5" thickTop="1">
      <c r="A494" s="920"/>
      <c r="B494" s="920"/>
      <c r="C494" s="968"/>
      <c r="D494" s="922"/>
      <c r="E494" s="968"/>
      <c r="F494" s="922"/>
      <c r="G494" s="939"/>
      <c r="H494" s="940"/>
      <c r="I494" s="920"/>
      <c r="J494" s="922"/>
      <c r="K494" s="920"/>
      <c r="L494" s="922"/>
      <c r="M494" s="939"/>
      <c r="N494" s="940"/>
      <c r="O494" s="920"/>
    </row>
    <row r="495" spans="1:15">
      <c r="A495" s="957" t="s">
        <v>420</v>
      </c>
      <c r="B495" s="922"/>
      <c r="C495" s="920"/>
      <c r="D495" s="922"/>
      <c r="E495" s="920"/>
      <c r="F495" s="922"/>
      <c r="G495" s="939"/>
      <c r="H495" s="940"/>
      <c r="I495" s="920"/>
      <c r="J495" s="922"/>
      <c r="K495" s="920"/>
      <c r="L495" s="922"/>
      <c r="M495" s="939"/>
      <c r="N495" s="940"/>
      <c r="O495" s="920"/>
    </row>
    <row r="496" spans="1:15">
      <c r="A496" s="958" t="s">
        <v>421</v>
      </c>
      <c r="B496" s="922"/>
      <c r="C496" s="1009"/>
      <c r="D496" s="922"/>
      <c r="E496" s="1009"/>
      <c r="F496" s="922"/>
      <c r="G496" s="939"/>
      <c r="H496" s="940"/>
      <c r="I496" s="975">
        <v>33040.269999999997</v>
      </c>
      <c r="J496" s="922"/>
      <c r="K496" s="975">
        <v>33040.269999999997</v>
      </c>
      <c r="L496" s="922"/>
      <c r="M496" s="939"/>
      <c r="N496" s="940"/>
      <c r="O496" s="975">
        <v>33040.269999999997</v>
      </c>
    </row>
    <row r="497" spans="1:15">
      <c r="A497" s="958" t="s">
        <v>422</v>
      </c>
      <c r="B497" s="922"/>
      <c r="C497" s="1009"/>
      <c r="D497" s="922"/>
      <c r="E497" s="1009"/>
      <c r="F497" s="922"/>
      <c r="G497" s="939"/>
      <c r="H497" s="940"/>
      <c r="I497" s="975">
        <v>2726577.8500000006</v>
      </c>
      <c r="J497" s="922"/>
      <c r="K497" s="975">
        <v>2726577.8500000006</v>
      </c>
      <c r="L497" s="922"/>
      <c r="M497" s="939"/>
      <c r="N497" s="940"/>
      <c r="O497" s="975">
        <v>2726577.8500000006</v>
      </c>
    </row>
    <row r="498" spans="1:15">
      <c r="A498" s="958" t="s">
        <v>423</v>
      </c>
      <c r="B498" s="922"/>
      <c r="C498" s="1009"/>
      <c r="D498" s="922"/>
      <c r="E498" s="1009"/>
      <c r="F498" s="922"/>
      <c r="G498" s="939"/>
      <c r="H498" s="940"/>
      <c r="I498" s="975">
        <v>-5447.4699999999866</v>
      </c>
      <c r="J498" s="922"/>
      <c r="K498" s="975">
        <v>-5447.4699999999866</v>
      </c>
      <c r="L498" s="922"/>
      <c r="M498" s="939"/>
      <c r="N498" s="940"/>
      <c r="O498" s="975">
        <v>-5447.4699999999866</v>
      </c>
    </row>
    <row r="499" spans="1:15">
      <c r="A499" s="958" t="s">
        <v>424</v>
      </c>
      <c r="B499" s="922"/>
      <c r="C499" s="1009"/>
      <c r="D499" s="922"/>
      <c r="E499" s="1009"/>
      <c r="F499" s="922"/>
      <c r="G499" s="939"/>
      <c r="H499" s="940"/>
      <c r="I499" s="975">
        <v>206563.33000000002</v>
      </c>
      <c r="J499" s="922"/>
      <c r="K499" s="975">
        <v>206563.33000000002</v>
      </c>
      <c r="L499" s="922"/>
      <c r="M499" s="939"/>
      <c r="N499" s="940"/>
      <c r="O499" s="975">
        <v>206563.33000000002</v>
      </c>
    </row>
    <row r="500" spans="1:15">
      <c r="A500" s="958" t="s">
        <v>425</v>
      </c>
      <c r="B500" s="922"/>
      <c r="C500" s="1009"/>
      <c r="D500" s="922"/>
      <c r="E500" s="1009"/>
      <c r="F500" s="922"/>
      <c r="G500" s="939"/>
      <c r="H500" s="940"/>
      <c r="I500" s="975">
        <v>4661.6400000000003</v>
      </c>
      <c r="J500" s="922"/>
      <c r="K500" s="975">
        <v>4661.6400000000003</v>
      </c>
      <c r="L500" s="922"/>
      <c r="M500" s="939"/>
      <c r="N500" s="940"/>
      <c r="O500" s="975">
        <v>4661.6400000000003</v>
      </c>
    </row>
    <row r="501" spans="1:15">
      <c r="A501" s="958" t="s">
        <v>426</v>
      </c>
      <c r="B501" s="922"/>
      <c r="C501" s="1009"/>
      <c r="D501" s="922"/>
      <c r="E501" s="1009"/>
      <c r="F501" s="922"/>
      <c r="G501" s="939"/>
      <c r="H501" s="940"/>
      <c r="I501" s="975">
        <v>0</v>
      </c>
      <c r="J501" s="922"/>
      <c r="K501" s="975">
        <v>0</v>
      </c>
      <c r="L501" s="922"/>
      <c r="M501" s="939"/>
      <c r="N501" s="940"/>
      <c r="O501" s="975">
        <v>0</v>
      </c>
    </row>
    <row r="502" spans="1:15" ht="16.5" thickBot="1">
      <c r="A502" s="958" t="s">
        <v>428</v>
      </c>
      <c r="B502" s="922"/>
      <c r="C502" s="1010"/>
      <c r="D502" s="922"/>
      <c r="E502" s="1010"/>
      <c r="F502" s="922"/>
      <c r="G502" s="961"/>
      <c r="H502" s="940"/>
      <c r="I502" s="983">
        <v>2965395.6200000006</v>
      </c>
      <c r="J502" s="922"/>
      <c r="K502" s="983">
        <v>2965395.6200000006</v>
      </c>
      <c r="L502" s="922"/>
      <c r="M502" s="961"/>
      <c r="N502" s="940"/>
      <c r="O502" s="983">
        <v>2965395.6200000006</v>
      </c>
    </row>
    <row r="503" spans="1:15" ht="16.5" thickTop="1">
      <c r="A503" s="922"/>
      <c r="B503" s="922"/>
      <c r="C503" s="920"/>
      <c r="D503" s="922"/>
      <c r="E503" s="920"/>
      <c r="F503" s="922"/>
      <c r="G503" s="939"/>
      <c r="H503" s="940"/>
      <c r="I503" s="975"/>
      <c r="J503" s="922"/>
      <c r="K503" s="975"/>
      <c r="L503" s="922"/>
      <c r="M503" s="939"/>
      <c r="N503" s="940"/>
      <c r="O503" s="975"/>
    </row>
    <row r="504" spans="1:15" ht="16.5" thickBot="1">
      <c r="A504" s="982" t="s">
        <v>429</v>
      </c>
      <c r="B504" s="982"/>
      <c r="C504" s="1010">
        <v>23682006292.051182</v>
      </c>
      <c r="D504" s="922"/>
      <c r="E504" s="1010">
        <v>23244284921.518604</v>
      </c>
      <c r="F504" s="922"/>
      <c r="G504" s="982"/>
      <c r="H504" s="922"/>
      <c r="I504" s="983">
        <v>1920727855.4881299</v>
      </c>
      <c r="J504" s="922"/>
      <c r="K504" s="983">
        <v>1884107457.6199999</v>
      </c>
      <c r="L504" s="922"/>
      <c r="M504" s="982"/>
      <c r="N504" s="922"/>
      <c r="O504" s="983">
        <v>1960359753.6199999</v>
      </c>
    </row>
    <row r="505" spans="1:15" ht="16.5" thickTop="1"/>
  </sheetData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W857"/>
  <sheetViews>
    <sheetView view="pageBreakPreview" topLeftCell="A8" zoomScale="60" zoomScaleNormal="75" workbookViewId="0">
      <selection activeCell="M20" sqref="M20"/>
    </sheetView>
  </sheetViews>
  <sheetFormatPr defaultRowHeight="15.75"/>
  <cols>
    <col min="1" max="1" width="33.25" style="161" customWidth="1"/>
    <col min="2" max="2" width="2.625" style="162" customWidth="1"/>
    <col min="3" max="3" width="15.125" style="162" customWidth="1"/>
    <col min="4" max="4" width="1" style="164" customWidth="1"/>
    <col min="5" max="5" width="15.125" style="162" customWidth="1"/>
    <col min="6" max="6" width="1" style="164" customWidth="1"/>
    <col min="7" max="7" width="11" style="161" customWidth="1"/>
    <col min="8" max="8" width="2.125" style="164" customWidth="1"/>
    <col min="9" max="9" width="16.75" style="162" customWidth="1"/>
    <col min="10" max="10" width="1.375" style="164" customWidth="1"/>
    <col min="11" max="11" width="19.25" style="162" customWidth="1"/>
    <col min="12" max="12" width="1" style="164" customWidth="1"/>
    <col min="13" max="13" width="12.875" style="162" customWidth="1"/>
    <col min="14" max="14" width="2.125" style="164" customWidth="1"/>
    <col min="15" max="15" width="14.5" style="162" customWidth="1"/>
    <col min="16" max="16" width="2.375" style="162" customWidth="1"/>
    <col min="17" max="17" width="18" style="162" customWidth="1"/>
    <col min="18" max="18" width="13.5" style="157" customWidth="1"/>
    <col min="19" max="19" width="3.375" style="157" customWidth="1"/>
    <col min="20" max="20" width="9.75" style="157" bestFit="1" customWidth="1"/>
    <col min="21" max="21" width="8.75" style="157" bestFit="1" customWidth="1"/>
    <col min="22" max="22" width="7.25" style="157" bestFit="1" customWidth="1"/>
    <col min="23" max="23" width="9" style="157" bestFit="1" customWidth="1"/>
    <col min="24" max="24" width="6.75" style="157" bestFit="1" customWidth="1"/>
    <col min="25" max="16384" width="9" style="157"/>
  </cols>
  <sheetData>
    <row r="1" spans="1:23" ht="18.75">
      <c r="A1" s="148" t="s">
        <v>92</v>
      </c>
      <c r="B1" s="149"/>
      <c r="C1" s="149"/>
      <c r="D1" s="150"/>
      <c r="E1" s="149"/>
      <c r="F1" s="150"/>
      <c r="G1" s="151"/>
      <c r="H1" s="150"/>
      <c r="I1" s="149"/>
      <c r="J1" s="150"/>
      <c r="K1" s="149"/>
      <c r="L1" s="150"/>
      <c r="M1" s="149"/>
      <c r="N1" s="150"/>
      <c r="O1" s="152"/>
      <c r="P1" s="153"/>
      <c r="Q1" s="153"/>
      <c r="R1" s="154"/>
      <c r="S1" s="155"/>
      <c r="T1" s="156"/>
      <c r="U1" s="156"/>
      <c r="V1" s="156"/>
    </row>
    <row r="2" spans="1:23" ht="18.75">
      <c r="A2" s="148" t="s">
        <v>93</v>
      </c>
      <c r="B2" s="149"/>
      <c r="C2" s="149"/>
      <c r="D2" s="150"/>
      <c r="E2" s="149"/>
      <c r="F2" s="150"/>
      <c r="G2" s="151"/>
      <c r="H2" s="150"/>
      <c r="I2" s="149"/>
      <c r="J2" s="150"/>
      <c r="K2" s="149"/>
      <c r="L2" s="150"/>
      <c r="M2" s="149"/>
      <c r="N2" s="150"/>
      <c r="O2" s="152"/>
      <c r="P2" s="158"/>
      <c r="Q2" s="158"/>
      <c r="R2" s="154"/>
      <c r="S2" s="155"/>
      <c r="T2" s="156"/>
      <c r="U2" s="156"/>
      <c r="V2" s="156"/>
    </row>
    <row r="3" spans="1:23" ht="18.75">
      <c r="A3" s="148" t="s">
        <v>540</v>
      </c>
      <c r="B3" s="149"/>
      <c r="C3" s="149"/>
      <c r="D3" s="150"/>
      <c r="E3" s="149"/>
      <c r="F3" s="150"/>
      <c r="G3" s="151"/>
      <c r="H3" s="150"/>
      <c r="I3" s="149"/>
      <c r="J3" s="150"/>
      <c r="K3" s="149"/>
      <c r="L3" s="150"/>
      <c r="M3" s="149"/>
      <c r="N3" s="150"/>
      <c r="O3" s="152"/>
      <c r="P3" s="158"/>
      <c r="Q3" s="158"/>
      <c r="R3" s="154"/>
      <c r="S3" s="155"/>
      <c r="T3" s="156"/>
      <c r="U3" s="156"/>
      <c r="V3" s="156"/>
    </row>
    <row r="4" spans="1:23" ht="18.75">
      <c r="A4" s="148" t="s">
        <v>541</v>
      </c>
      <c r="B4" s="149"/>
      <c r="C4" s="149"/>
      <c r="D4" s="150"/>
      <c r="E4" s="149"/>
      <c r="F4" s="150"/>
      <c r="G4" s="151"/>
      <c r="H4" s="150"/>
      <c r="I4" s="149"/>
      <c r="J4" s="150"/>
      <c r="K4" s="149"/>
      <c r="L4" s="150"/>
      <c r="M4" s="149"/>
      <c r="N4" s="150"/>
      <c r="O4" s="152"/>
      <c r="P4" s="158"/>
      <c r="Q4" s="158"/>
      <c r="R4" s="159"/>
      <c r="S4" s="160"/>
      <c r="T4" s="156"/>
      <c r="U4" s="156"/>
      <c r="V4" s="156"/>
    </row>
    <row r="5" spans="1:23">
      <c r="C5" s="163"/>
      <c r="E5" s="163"/>
      <c r="P5" s="165"/>
      <c r="Q5" s="165"/>
      <c r="R5" s="165"/>
      <c r="S5" s="166"/>
    </row>
    <row r="6" spans="1:23" ht="32.25" customHeight="1">
      <c r="C6" s="167"/>
      <c r="E6" s="167"/>
      <c r="H6" s="158"/>
      <c r="I6" s="168" t="s">
        <v>94</v>
      </c>
      <c r="K6" s="168" t="s">
        <v>94</v>
      </c>
      <c r="N6" s="158"/>
      <c r="O6" s="168" t="s">
        <v>95</v>
      </c>
      <c r="P6" s="168"/>
    </row>
    <row r="7" spans="1:23">
      <c r="C7" s="169"/>
      <c r="E7" s="169"/>
      <c r="G7" s="170" t="s">
        <v>94</v>
      </c>
      <c r="H7" s="158"/>
      <c r="I7" s="168" t="s">
        <v>7</v>
      </c>
      <c r="K7" s="168" t="s">
        <v>96</v>
      </c>
      <c r="M7" s="168" t="s">
        <v>95</v>
      </c>
      <c r="N7" s="158"/>
      <c r="O7" s="168" t="s">
        <v>8</v>
      </c>
      <c r="P7" s="168"/>
      <c r="Q7" s="171"/>
      <c r="R7" s="172"/>
    </row>
    <row r="8" spans="1:23">
      <c r="C8" s="173" t="s">
        <v>97</v>
      </c>
      <c r="E8" s="173" t="s">
        <v>96</v>
      </c>
      <c r="G8" s="170" t="s">
        <v>7</v>
      </c>
      <c r="H8" s="158"/>
      <c r="I8" s="168" t="s">
        <v>98</v>
      </c>
      <c r="K8" s="168" t="s">
        <v>98</v>
      </c>
      <c r="M8" s="168" t="s">
        <v>8</v>
      </c>
      <c r="N8" s="158"/>
      <c r="O8" s="168" t="s">
        <v>98</v>
      </c>
      <c r="P8" s="168"/>
      <c r="Q8" s="174"/>
      <c r="R8" s="162"/>
    </row>
    <row r="9" spans="1:23">
      <c r="C9" s="175" t="s">
        <v>99</v>
      </c>
      <c r="E9" s="175" t="s">
        <v>100</v>
      </c>
      <c r="G9" s="176" t="s">
        <v>101</v>
      </c>
      <c r="H9" s="158"/>
      <c r="I9" s="177" t="s">
        <v>102</v>
      </c>
      <c r="K9" s="177" t="s">
        <v>102</v>
      </c>
      <c r="M9" s="177" t="s">
        <v>101</v>
      </c>
      <c r="N9" s="158"/>
      <c r="O9" s="177" t="s">
        <v>102</v>
      </c>
      <c r="P9" s="158"/>
      <c r="Q9" s="178"/>
      <c r="R9" s="179"/>
      <c r="S9" s="180"/>
    </row>
    <row r="10" spans="1:23">
      <c r="A10" s="181" t="s">
        <v>103</v>
      </c>
      <c r="C10" s="182"/>
      <c r="E10" s="163"/>
      <c r="U10" s="183"/>
      <c r="V10" s="184"/>
      <c r="W10" s="184"/>
    </row>
    <row r="11" spans="1:23">
      <c r="A11" s="185" t="s">
        <v>104</v>
      </c>
      <c r="C11" s="186">
        <v>7995934.8769736998</v>
      </c>
      <c r="E11" s="179">
        <v>8178018.8566054394</v>
      </c>
      <c r="G11" s="187">
        <v>3.75</v>
      </c>
      <c r="H11" s="188"/>
      <c r="I11" s="172">
        <f>ROUND($G11*C11,0)</f>
        <v>29984756</v>
      </c>
      <c r="K11" s="172">
        <f>ROUND($G11*E11,0)</f>
        <v>30667571</v>
      </c>
      <c r="M11" s="189">
        <v>0</v>
      </c>
      <c r="N11" s="188"/>
      <c r="O11" s="172">
        <f>ROUND(M11*$E11,0)</f>
        <v>0</v>
      </c>
      <c r="P11" s="172"/>
      <c r="R11" s="190"/>
      <c r="T11" s="190">
        <f>M11/G11-1</f>
        <v>-1</v>
      </c>
      <c r="U11" s="184"/>
      <c r="V11" s="184"/>
    </row>
    <row r="12" spans="1:23">
      <c r="A12" s="185" t="s">
        <v>105</v>
      </c>
      <c r="C12" s="186">
        <f>C11-C13</f>
        <v>7982490.8521737</v>
      </c>
      <c r="E12" s="191">
        <f>ROUND(C12/C11*E11,0)</f>
        <v>8164269</v>
      </c>
      <c r="G12" s="187"/>
      <c r="H12" s="188"/>
      <c r="I12" s="172"/>
      <c r="K12" s="172"/>
      <c r="M12" s="189">
        <v>10</v>
      </c>
      <c r="N12" s="188"/>
      <c r="O12" s="172">
        <f>ROUND(M12*$E12,0)</f>
        <v>81642690</v>
      </c>
      <c r="P12" s="172"/>
      <c r="R12" s="190"/>
      <c r="T12" s="190"/>
      <c r="U12" s="184"/>
      <c r="V12" s="184"/>
    </row>
    <row r="13" spans="1:23">
      <c r="A13" s="185" t="s">
        <v>106</v>
      </c>
      <c r="C13" s="186">
        <v>13444.024799999999</v>
      </c>
      <c r="E13" s="191">
        <f>E11-E12</f>
        <v>13749.856605439447</v>
      </c>
      <c r="G13" s="187"/>
      <c r="H13" s="188"/>
      <c r="I13" s="172"/>
      <c r="K13" s="172"/>
      <c r="M13" s="189">
        <v>20</v>
      </c>
      <c r="N13" s="188"/>
      <c r="O13" s="172">
        <f>ROUND(M13*$E13,0)</f>
        <v>274997</v>
      </c>
      <c r="P13" s="172"/>
      <c r="R13" s="190"/>
      <c r="T13" s="190"/>
      <c r="U13" s="184"/>
      <c r="V13" s="184"/>
    </row>
    <row r="14" spans="1:23">
      <c r="A14" s="185" t="s">
        <v>107</v>
      </c>
      <c r="C14" s="191">
        <v>1214510836</v>
      </c>
      <c r="E14" s="179">
        <f>ROUND(C14/($C$27-$C$26)*$E$27,0)</f>
        <v>1283234719</v>
      </c>
      <c r="G14" s="192">
        <v>7.5292000000000003</v>
      </c>
      <c r="H14" s="193" t="s">
        <v>108</v>
      </c>
      <c r="I14" s="172">
        <f>ROUND($G14*C14/100,0)</f>
        <v>91442950</v>
      </c>
      <c r="K14" s="172">
        <f>ROUND($G14*E14/100,0)</f>
        <v>96617308</v>
      </c>
      <c r="M14" s="192">
        <f>ROUND(G14*(1+$R$20),4)</f>
        <v>8.3117000000000001</v>
      </c>
      <c r="N14" s="193" t="s">
        <v>108</v>
      </c>
      <c r="O14" s="172">
        <f>ROUND(M14*$E14/100,0)</f>
        <v>106658620</v>
      </c>
      <c r="P14" s="172"/>
      <c r="Q14" s="194" t="s">
        <v>109</v>
      </c>
      <c r="R14" s="195"/>
      <c r="T14" s="190">
        <f t="shared" ref="T14:T20" si="0">M14/G14-1</f>
        <v>0.10392870424480694</v>
      </c>
      <c r="U14" s="196"/>
      <c r="V14" s="197"/>
    </row>
    <row r="15" spans="1:23">
      <c r="A15" s="185" t="s">
        <v>110</v>
      </c>
      <c r="C15" s="191">
        <v>1001916381</v>
      </c>
      <c r="E15" s="179">
        <f>ROUND(C15/($C$27-$C$26)*$E$27,0)</f>
        <v>1058610469</v>
      </c>
      <c r="G15" s="192">
        <v>9.2749000000000006</v>
      </c>
      <c r="H15" s="193" t="s">
        <v>108</v>
      </c>
      <c r="I15" s="172">
        <f>ROUND($G15*C15/100,0)</f>
        <v>92926742</v>
      </c>
      <c r="K15" s="172">
        <f>ROUND($G15*E15/100,0)</f>
        <v>98185062</v>
      </c>
      <c r="M15" s="192">
        <f>ROUND(G15*(1+$R$20),4)</f>
        <v>10.238899999999999</v>
      </c>
      <c r="N15" s="193" t="s">
        <v>108</v>
      </c>
      <c r="O15" s="172">
        <f>ROUND(M15*$E15/100,0)</f>
        <v>108390067</v>
      </c>
      <c r="P15" s="172"/>
      <c r="Q15" s="198" t="s">
        <v>111</v>
      </c>
      <c r="R15" s="199">
        <f>O27+O48+O71</f>
        <v>713827502</v>
      </c>
      <c r="T15" s="190">
        <f t="shared" si="0"/>
        <v>0.10393643058146163</v>
      </c>
      <c r="U15" s="200"/>
      <c r="V15" s="201"/>
    </row>
    <row r="16" spans="1:23">
      <c r="A16" s="185" t="s">
        <v>112</v>
      </c>
      <c r="C16" s="191">
        <v>548870017.21833682</v>
      </c>
      <c r="E16" s="179">
        <f>ROUND(C16/($C$27-$C$26)*$E$27,0)</f>
        <v>579928183</v>
      </c>
      <c r="G16" s="192">
        <v>11.536099999999999</v>
      </c>
      <c r="H16" s="193" t="s">
        <v>108</v>
      </c>
      <c r="I16" s="172">
        <f>ROUND($G16*C16/100,0)</f>
        <v>63318194</v>
      </c>
      <c r="K16" s="172">
        <f>ROUND($G16*E16/100,0)</f>
        <v>66901095</v>
      </c>
      <c r="M16" s="192">
        <f>ROUND(G16*(1+$R$20),4)</f>
        <v>12.735099999999999</v>
      </c>
      <c r="N16" s="193" t="s">
        <v>108</v>
      </c>
      <c r="O16" s="172">
        <f>ROUND(M16*$E16/100,0)</f>
        <v>73854434</v>
      </c>
      <c r="P16" s="172"/>
      <c r="Q16" s="202" t="s">
        <v>113</v>
      </c>
      <c r="R16" s="203">
        <f>(RateSpread!O15+RateSpread!O16)*1000</f>
        <v>713827007.41879988</v>
      </c>
      <c r="T16" s="190">
        <f t="shared" si="0"/>
        <v>0.10393460528254783</v>
      </c>
      <c r="U16" s="204"/>
      <c r="V16" s="190"/>
    </row>
    <row r="17" spans="1:22">
      <c r="A17" s="185" t="s">
        <v>114</v>
      </c>
      <c r="C17" s="191">
        <v>3469656771.043726</v>
      </c>
      <c r="E17" s="179">
        <f>ROUND(C17/($C$27-$C$26)*$E$27,0)</f>
        <v>3665989548</v>
      </c>
      <c r="G17" s="205">
        <v>7.8009000000000004</v>
      </c>
      <c r="H17" s="193" t="s">
        <v>108</v>
      </c>
      <c r="I17" s="172">
        <f>ROUND($G17*C17/100,0)</f>
        <v>270664455</v>
      </c>
      <c r="K17" s="172">
        <f>ROUND($G17*E17/100,0)</f>
        <v>285980179</v>
      </c>
      <c r="M17" s="206">
        <f>ROUND((R16-SUM(O11:O16,O18:O22,O24,O32:O37,O39:O43,O45,O53:O60,O62:O66,O68))/SUM(E17,E23,E25,E38,E44,E46,E61,E67,E69)*100,4)</f>
        <v>8.6117000000000008</v>
      </c>
      <c r="N17" s="193" t="s">
        <v>108</v>
      </c>
      <c r="O17" s="172">
        <f>ROUND(M17*$E17/100,0)</f>
        <v>315704022</v>
      </c>
      <c r="P17" s="172"/>
      <c r="Q17" s="207" t="s">
        <v>115</v>
      </c>
      <c r="R17" s="208">
        <f>R16-R15</f>
        <v>-494.58120012283325</v>
      </c>
      <c r="T17" s="190">
        <f t="shared" si="0"/>
        <v>0.10393672524965081</v>
      </c>
      <c r="U17" s="204"/>
      <c r="V17" s="209"/>
    </row>
    <row r="18" spans="1:22">
      <c r="A18" s="185" t="s">
        <v>116</v>
      </c>
      <c r="C18" s="186">
        <v>76137.93770000049</v>
      </c>
      <c r="E18" s="179">
        <v>77872</v>
      </c>
      <c r="G18" s="187">
        <v>3.78</v>
      </c>
      <c r="H18" s="188"/>
      <c r="I18" s="172">
        <f>ROUND($G18*C18,0)</f>
        <v>287801</v>
      </c>
      <c r="K18" s="172">
        <f>ROUND($G18*E18,0)</f>
        <v>294356</v>
      </c>
      <c r="M18" s="187">
        <f>M12</f>
        <v>10</v>
      </c>
      <c r="N18" s="188"/>
      <c r="O18" s="172">
        <f>ROUND(M18*$E18,0)</f>
        <v>778720</v>
      </c>
      <c r="P18" s="172"/>
      <c r="Q18" s="210" t="s">
        <v>117</v>
      </c>
      <c r="R18" s="211">
        <f>R15/(K27+K48+K71)-1</f>
        <v>0.18847613754982095</v>
      </c>
      <c r="S18" s="184"/>
      <c r="T18" s="190">
        <f t="shared" si="0"/>
        <v>1.6455026455026456</v>
      </c>
      <c r="U18" s="204"/>
      <c r="V18" s="204"/>
    </row>
    <row r="19" spans="1:22">
      <c r="A19" s="185" t="s">
        <v>118</v>
      </c>
      <c r="C19" s="186">
        <v>385.37670000000003</v>
      </c>
      <c r="E19" s="179">
        <v>394</v>
      </c>
      <c r="G19" s="187">
        <v>11.34</v>
      </c>
      <c r="H19" s="212"/>
      <c r="I19" s="172">
        <f>ROUND($G19*C19,0)</f>
        <v>4370</v>
      </c>
      <c r="K19" s="172">
        <f>ROUND($G19*E19,0)</f>
        <v>4468</v>
      </c>
      <c r="M19" s="213">
        <f>M13</f>
        <v>20</v>
      </c>
      <c r="N19" s="212"/>
      <c r="O19" s="172">
        <f>ROUND(M19*$E19,0)</f>
        <v>7880</v>
      </c>
      <c r="P19" s="172"/>
      <c r="Q19" s="214" t="s">
        <v>119</v>
      </c>
      <c r="R19" s="215">
        <f>R16/(K27+K48+K71)-1</f>
        <v>0.18847531410444684</v>
      </c>
      <c r="T19" s="190">
        <f t="shared" si="0"/>
        <v>0.76366843033509713</v>
      </c>
      <c r="U19" s="204"/>
      <c r="V19" s="216"/>
    </row>
    <row r="20" spans="1:22">
      <c r="A20" s="185" t="s">
        <v>120</v>
      </c>
      <c r="C20" s="191">
        <v>0</v>
      </c>
      <c r="E20" s="179">
        <v>0</v>
      </c>
      <c r="G20" s="187">
        <v>47.36</v>
      </c>
      <c r="H20" s="217"/>
      <c r="I20" s="172">
        <f>ROUND($G20*C20,0)</f>
        <v>0</v>
      </c>
      <c r="K20" s="172">
        <f>ROUND($G20*E20,0)</f>
        <v>0</v>
      </c>
      <c r="M20" s="213">
        <f>M12*12</f>
        <v>120</v>
      </c>
      <c r="N20" s="217"/>
      <c r="O20" s="218">
        <f>ROUND(M20*$E20,0)</f>
        <v>0</v>
      </c>
      <c r="P20" s="172"/>
      <c r="Q20" s="214" t="s">
        <v>121</v>
      </c>
      <c r="R20" s="219">
        <f>(R16-SUM(O11:O13,O18:O20,O32:O34,O39:O41,O53:O57,O62:O64))/SUM(K14:K17,((E22+E24+E43+E45+E66+E68)*G14+(E23+E25+E44+E46+E67+E69)*G17)/100,K35:K38,K58:K61)-1</f>
        <v>0.10393412265128843</v>
      </c>
      <c r="T20" s="190">
        <f t="shared" si="0"/>
        <v>1.5337837837837838</v>
      </c>
      <c r="U20" s="204"/>
      <c r="V20" s="204"/>
    </row>
    <row r="21" spans="1:22">
      <c r="A21" s="220" t="s">
        <v>122</v>
      </c>
      <c r="C21" s="221">
        <f>SUM(C22:C25)</f>
        <v>162635</v>
      </c>
      <c r="E21" s="221">
        <f>SUM(E22:E25)</f>
        <v>171837.26184463501</v>
      </c>
      <c r="G21" s="205"/>
      <c r="H21" s="193"/>
      <c r="I21" s="218"/>
      <c r="K21" s="218"/>
      <c r="M21" s="205"/>
      <c r="N21" s="193"/>
      <c r="O21" s="218"/>
      <c r="P21" s="172"/>
      <c r="Q21" s="214" t="s">
        <v>123</v>
      </c>
      <c r="R21" s="222">
        <f>SUM(O11:O13,O32:O34,O53:O55)/SUM(K11:K13,K32:K34,K53:K55)-1</f>
        <v>1.6711476378064383</v>
      </c>
      <c r="T21" s="223"/>
      <c r="U21" s="204"/>
      <c r="V21" s="190"/>
    </row>
    <row r="22" spans="1:22">
      <c r="A22" s="220" t="s">
        <v>124</v>
      </c>
      <c r="C22" s="191">
        <v>67327</v>
      </c>
      <c r="E22" s="179">
        <f>ROUND(C22/($C$27-$C$26)*$E$27,0)</f>
        <v>71137</v>
      </c>
      <c r="G22" s="205">
        <v>0</v>
      </c>
      <c r="H22" s="193"/>
      <c r="I22" s="172"/>
      <c r="K22" s="172"/>
      <c r="M22" s="205">
        <f>M14</f>
        <v>8.3117000000000001</v>
      </c>
      <c r="N22" s="193" t="s">
        <v>108</v>
      </c>
      <c r="O22" s="172">
        <f>ROUND(M22*$E22/100,0)</f>
        <v>5913</v>
      </c>
      <c r="P22" s="172"/>
      <c r="Q22" s="214" t="s">
        <v>125</v>
      </c>
      <c r="R22" s="215">
        <f>O27/K27-1</f>
        <v>0.18780943519473259</v>
      </c>
      <c r="T22" s="190"/>
      <c r="U22" s="193"/>
      <c r="V22" s="184"/>
    </row>
    <row r="23" spans="1:22">
      <c r="A23" s="220" t="s">
        <v>126</v>
      </c>
      <c r="C23" s="191">
        <v>71446</v>
      </c>
      <c r="E23" s="179">
        <f>ROUND(C23/($C$27-$C$26)*$E$27,0)</f>
        <v>75489</v>
      </c>
      <c r="G23" s="205">
        <v>0</v>
      </c>
      <c r="H23" s="193"/>
      <c r="I23" s="172"/>
      <c r="K23" s="172"/>
      <c r="M23" s="205">
        <f>M17</f>
        <v>8.6117000000000008</v>
      </c>
      <c r="N23" s="193" t="s">
        <v>108</v>
      </c>
      <c r="O23" s="172">
        <f>ROUND(M23*$E23/100,0)</f>
        <v>6501</v>
      </c>
      <c r="P23" s="172"/>
      <c r="Q23" s="214" t="s">
        <v>127</v>
      </c>
      <c r="R23" s="215">
        <f>(O28+O27)/(K28+K27)-1</f>
        <v>0.14483173187416098</v>
      </c>
      <c r="S23" s="224"/>
      <c r="T23" s="190"/>
      <c r="U23"/>
    </row>
    <row r="24" spans="1:22">
      <c r="A24" s="220" t="s">
        <v>128</v>
      </c>
      <c r="B24" s="164"/>
      <c r="C24" s="191">
        <v>12239</v>
      </c>
      <c r="E24" s="179">
        <f>ROUND(C24/($C$27-$C$26)*$E$27,0)</f>
        <v>12932</v>
      </c>
      <c r="G24" s="205"/>
      <c r="H24" s="193"/>
      <c r="I24" s="172"/>
      <c r="K24" s="172"/>
      <c r="M24" s="205">
        <f>M14</f>
        <v>8.3117000000000001</v>
      </c>
      <c r="N24" s="193" t="s">
        <v>108</v>
      </c>
      <c r="O24" s="172">
        <f>ROUND(M24*$E24/100,0)</f>
        <v>1075</v>
      </c>
      <c r="P24" s="218"/>
      <c r="Q24" s="210" t="s">
        <v>129</v>
      </c>
      <c r="R24" s="225">
        <f>(E27+E48)/(E11+E18+E19+E32+E39+E40)</f>
        <v>792.1185278091956</v>
      </c>
      <c r="U24" s="172"/>
    </row>
    <row r="25" spans="1:22">
      <c r="A25" s="220" t="s">
        <v>130</v>
      </c>
      <c r="B25" s="164"/>
      <c r="C25" s="191">
        <v>11623</v>
      </c>
      <c r="E25" s="191">
        <f>E27-SUM(E14:E17,E22:E24)</f>
        <v>12279.26184463501</v>
      </c>
      <c r="G25" s="205"/>
      <c r="H25" s="193"/>
      <c r="I25" s="172"/>
      <c r="K25" s="172"/>
      <c r="M25" s="205">
        <f>M17</f>
        <v>8.6117000000000008</v>
      </c>
      <c r="N25" s="193" t="s">
        <v>108</v>
      </c>
      <c r="O25" s="172">
        <f>ROUND(M25*$E25/100,0)</f>
        <v>1057</v>
      </c>
      <c r="P25" s="218"/>
      <c r="Q25" s="214" t="s">
        <v>131</v>
      </c>
      <c r="R25" s="226">
        <f>SUM(E14:E16,E22,E24,E35:E37,E43,E45)/(SUM(E11,E18,E19,E32,E39,E40)*5/12)</f>
        <v>841.24320703199294</v>
      </c>
      <c r="S25" s="172"/>
    </row>
    <row r="26" spans="1:22">
      <c r="A26" s="185" t="s">
        <v>132</v>
      </c>
      <c r="C26" s="227">
        <v>49973129</v>
      </c>
      <c r="E26" s="227">
        <v>0</v>
      </c>
      <c r="I26" s="228">
        <v>4920095</v>
      </c>
      <c r="K26" s="229">
        <v>0</v>
      </c>
      <c r="O26" s="229">
        <v>0</v>
      </c>
      <c r="P26" s="218"/>
      <c r="Q26" s="230" t="s">
        <v>133</v>
      </c>
      <c r="R26" s="231">
        <f>SUM(E17,E23,E25,E38,E44,E46)/(SUM(E11,E18,E19,E32,E39:E40)*7/12)</f>
        <v>757.02947122148339</v>
      </c>
      <c r="S26"/>
      <c r="T26"/>
    </row>
    <row r="27" spans="1:22" s="184" customFormat="1" ht="16.5" thickBot="1">
      <c r="A27" s="185" t="s">
        <v>134</v>
      </c>
      <c r="B27" s="162"/>
      <c r="C27" s="232">
        <f>SUM(C14:C16,C17,C21,C26)</f>
        <v>6285089769.262063</v>
      </c>
      <c r="D27" s="164"/>
      <c r="E27" s="233">
        <v>6587934756.2618446</v>
      </c>
      <c r="F27" s="164"/>
      <c r="G27" s="234"/>
      <c r="H27" s="164"/>
      <c r="I27" s="235">
        <f>SUM(I11:I26)</f>
        <v>553549363</v>
      </c>
      <c r="J27" s="164"/>
      <c r="K27" s="235">
        <f>SUM(K11:K26)</f>
        <v>578650039</v>
      </c>
      <c r="L27" s="164"/>
      <c r="M27" s="236"/>
      <c r="N27" s="164"/>
      <c r="O27" s="235">
        <f>SUM(O11:O26)</f>
        <v>687325976</v>
      </c>
      <c r="P27" s="218"/>
      <c r="Q27" s="230" t="s">
        <v>68</v>
      </c>
      <c r="R27" s="237"/>
      <c r="S27"/>
      <c r="T27"/>
    </row>
    <row r="28" spans="1:22" ht="16.5" thickTop="1">
      <c r="A28" s="185" t="s">
        <v>135</v>
      </c>
      <c r="C28" s="163"/>
      <c r="E28" s="163"/>
      <c r="G28" s="238"/>
      <c r="H28" s="239"/>
      <c r="I28" s="228">
        <f>MPA!K25</f>
        <v>21722886.4384</v>
      </c>
      <c r="K28" s="228">
        <f>I28</f>
        <v>21722886.4384</v>
      </c>
      <c r="M28" s="180"/>
      <c r="N28" s="239"/>
      <c r="O28" s="228">
        <v>0</v>
      </c>
      <c r="P28" s="218"/>
    </row>
    <row r="29" spans="1:22">
      <c r="A29" s="185" t="s">
        <v>136</v>
      </c>
      <c r="C29" s="163"/>
      <c r="E29" s="163"/>
      <c r="G29" s="238">
        <f>M29</f>
        <v>3.9100000000000003E-2</v>
      </c>
      <c r="H29" s="239"/>
      <c r="I29" s="228">
        <f>ROUND(SUM(I14:I19,-(C18+C19)*G11,I28)*$G29,0)</f>
        <v>21117145</v>
      </c>
      <c r="K29" s="228">
        <f>ROUND(SUM(K14:K19,-(E18+E19)*G11,K28)*$G29,0)</f>
        <v>22264004</v>
      </c>
      <c r="M29" s="180">
        <v>3.9100000000000003E-2</v>
      </c>
      <c r="N29" s="239"/>
      <c r="O29" s="228">
        <f>ROUND(SUM(O14:O17,O22:O25,O28)*M29,0)</f>
        <v>23640708</v>
      </c>
      <c r="P29" s="218"/>
      <c r="U29"/>
    </row>
    <row r="30" spans="1:22">
      <c r="C30" s="240"/>
      <c r="E30" s="240"/>
      <c r="P30" s="218"/>
      <c r="U30"/>
      <c r="V30"/>
    </row>
    <row r="31" spans="1:22">
      <c r="A31" s="181" t="s">
        <v>137</v>
      </c>
      <c r="C31" s="163"/>
      <c r="E31" s="163"/>
      <c r="P31" s="218"/>
      <c r="U31"/>
      <c r="V31"/>
    </row>
    <row r="32" spans="1:22">
      <c r="A32" s="185" t="s">
        <v>104</v>
      </c>
      <c r="C32" s="186">
        <v>343171.69230002601</v>
      </c>
      <c r="E32" s="191">
        <v>376337</v>
      </c>
      <c r="G32" s="187">
        <v>3.75</v>
      </c>
      <c r="H32" s="241"/>
      <c r="I32" s="172">
        <f>ROUND($G32*C32,0)</f>
        <v>1286894</v>
      </c>
      <c r="K32" s="172">
        <f>ROUND($G32*E32,0)</f>
        <v>1411264</v>
      </c>
      <c r="M32" s="242">
        <f>M11</f>
        <v>0</v>
      </c>
      <c r="N32" s="241"/>
      <c r="O32" s="172">
        <f>ROUND(M32*$E32,0)</f>
        <v>0</v>
      </c>
      <c r="T32" s="190">
        <f t="shared" ref="T32:T41" si="1">M32/G32-1</f>
        <v>-1</v>
      </c>
    </row>
    <row r="33" spans="1:22">
      <c r="A33" s="185" t="s">
        <v>105</v>
      </c>
      <c r="C33" s="186">
        <f>C32-C34</f>
        <v>342597.15560002602</v>
      </c>
      <c r="E33" s="191">
        <f>ROUND(C33/C32*E32,0)</f>
        <v>375707</v>
      </c>
      <c r="G33" s="187"/>
      <c r="H33" s="241"/>
      <c r="I33" s="172"/>
      <c r="K33" s="172"/>
      <c r="M33" s="242">
        <f t="shared" ref="M33:M41" si="2">M12</f>
        <v>10</v>
      </c>
      <c r="N33" s="241"/>
      <c r="O33" s="172">
        <f>ROUND(M33*$E33,0)</f>
        <v>3757070</v>
      </c>
      <c r="T33" s="190"/>
    </row>
    <row r="34" spans="1:22">
      <c r="A34" s="185" t="s">
        <v>106</v>
      </c>
      <c r="C34" s="186">
        <v>574.5367</v>
      </c>
      <c r="E34" s="191">
        <f>E32-E33</f>
        <v>630</v>
      </c>
      <c r="G34" s="187"/>
      <c r="H34" s="241"/>
      <c r="I34" s="172"/>
      <c r="K34" s="172"/>
      <c r="M34" s="242">
        <f t="shared" si="2"/>
        <v>20</v>
      </c>
      <c r="N34" s="241"/>
      <c r="O34" s="172">
        <f>ROUND(M34*$E34,0)</f>
        <v>12600</v>
      </c>
      <c r="T34" s="190"/>
    </row>
    <row r="35" spans="1:22">
      <c r="A35" s="185" t="s">
        <v>107</v>
      </c>
      <c r="C35" s="191">
        <v>52379160</v>
      </c>
      <c r="E35" s="179">
        <f>C35/($C$48-$C$47)*$E$48</f>
        <v>58115254.896573387</v>
      </c>
      <c r="G35" s="205">
        <v>7.5292000000000003</v>
      </c>
      <c r="H35" s="193" t="s">
        <v>108</v>
      </c>
      <c r="I35" s="172">
        <f>ROUND($G35*C35/100,0)</f>
        <v>3943732</v>
      </c>
      <c r="K35" s="172">
        <f>ROUND($G35*E35/100,0)</f>
        <v>4375614</v>
      </c>
      <c r="M35" s="243">
        <f t="shared" si="2"/>
        <v>8.3117000000000001</v>
      </c>
      <c r="N35" s="193" t="s">
        <v>108</v>
      </c>
      <c r="O35" s="172">
        <f>ROUND(M35*$E35/100,0)</f>
        <v>4830366</v>
      </c>
      <c r="T35" s="190">
        <f t="shared" si="1"/>
        <v>0.10392870424480694</v>
      </c>
    </row>
    <row r="36" spans="1:22">
      <c r="A36" s="185" t="s">
        <v>110</v>
      </c>
      <c r="C36" s="191">
        <v>32883162</v>
      </c>
      <c r="E36" s="179">
        <f>C36/($C$48-$C$47)*$E$48</f>
        <v>36484230.396885246</v>
      </c>
      <c r="G36" s="205">
        <v>9.2749000000000006</v>
      </c>
      <c r="H36" s="193" t="s">
        <v>108</v>
      </c>
      <c r="I36" s="172">
        <f>ROUND($G36*C36/100,0)</f>
        <v>3049880</v>
      </c>
      <c r="K36" s="172">
        <f>ROUND($G36*E36/100,0)</f>
        <v>3383876</v>
      </c>
      <c r="M36" s="243">
        <f t="shared" si="2"/>
        <v>10.238899999999999</v>
      </c>
      <c r="N36" s="193" t="s">
        <v>108</v>
      </c>
      <c r="O36" s="172">
        <f>ROUND(M36*$E36/100,0)</f>
        <v>3735584</v>
      </c>
      <c r="P36" s="172"/>
      <c r="T36" s="190">
        <f t="shared" si="1"/>
        <v>0.10393643058146163</v>
      </c>
    </row>
    <row r="37" spans="1:22">
      <c r="A37" s="185" t="s">
        <v>112</v>
      </c>
      <c r="C37" s="191">
        <v>8802424.674394533</v>
      </c>
      <c r="E37" s="179">
        <f>C37/($C$48-$C$47)*$E$48</f>
        <v>9766387.1215255335</v>
      </c>
      <c r="G37" s="205">
        <v>11.536099999999999</v>
      </c>
      <c r="H37" s="193" t="s">
        <v>108</v>
      </c>
      <c r="I37" s="172">
        <f>ROUND($G37*C37/100,0)</f>
        <v>1015457</v>
      </c>
      <c r="K37" s="172">
        <f>ROUND($G37*E37/100,0)</f>
        <v>1126660</v>
      </c>
      <c r="M37" s="243">
        <f t="shared" si="2"/>
        <v>12.735099999999999</v>
      </c>
      <c r="N37" s="193" t="s">
        <v>108</v>
      </c>
      <c r="O37" s="172">
        <f>ROUND(M37*$E37/100,0)</f>
        <v>1243759</v>
      </c>
      <c r="P37" s="172"/>
      <c r="T37" s="190">
        <f t="shared" si="1"/>
        <v>0.10393460528254783</v>
      </c>
      <c r="U37"/>
      <c r="V37"/>
    </row>
    <row r="38" spans="1:22">
      <c r="A38" s="185" t="s">
        <v>114</v>
      </c>
      <c r="C38" s="191">
        <v>132052132.24935421</v>
      </c>
      <c r="E38" s="179">
        <f>C38/($C$48-$C$47)*$E$48</f>
        <v>146513295.08352634</v>
      </c>
      <c r="G38" s="205">
        <v>7.8009000000000004</v>
      </c>
      <c r="H38" s="193" t="s">
        <v>108</v>
      </c>
      <c r="I38" s="172">
        <f>ROUND($G38*C38/100,0)</f>
        <v>10301255</v>
      </c>
      <c r="K38" s="172">
        <f>ROUND($G38*E38/100,0)</f>
        <v>11429356</v>
      </c>
      <c r="M38" s="243">
        <f t="shared" si="2"/>
        <v>8.6117000000000008</v>
      </c>
      <c r="N38" s="193" t="s">
        <v>108</v>
      </c>
      <c r="O38" s="172">
        <f>ROUND(M38*$E38/100,0)</f>
        <v>12617285</v>
      </c>
      <c r="P38" s="172"/>
      <c r="T38" s="190">
        <f t="shared" si="1"/>
        <v>0.10393672524965081</v>
      </c>
      <c r="U38"/>
      <c r="V38"/>
    </row>
    <row r="39" spans="1:22">
      <c r="A39" s="185" t="s">
        <v>116</v>
      </c>
      <c r="C39" s="186">
        <v>866.76639999999998</v>
      </c>
      <c r="E39" s="191">
        <v>951</v>
      </c>
      <c r="G39" s="187">
        <v>3.78</v>
      </c>
      <c r="H39" s="241"/>
      <c r="I39" s="172">
        <f>ROUND($G39*C39,0)</f>
        <v>3276</v>
      </c>
      <c r="K39" s="172">
        <f>ROUND($G39*E39,0)</f>
        <v>3595</v>
      </c>
      <c r="M39" s="242">
        <f t="shared" si="2"/>
        <v>10</v>
      </c>
      <c r="N39" s="241"/>
      <c r="O39" s="172">
        <f>ROUND(M39*$E39,0)</f>
        <v>9510</v>
      </c>
      <c r="P39" s="172"/>
      <c r="Q39" s="223"/>
      <c r="R39" s="244"/>
      <c r="S39"/>
      <c r="T39" s="190">
        <f t="shared" si="1"/>
        <v>1.6455026455026456</v>
      </c>
      <c r="U39"/>
      <c r="V39"/>
    </row>
    <row r="40" spans="1:22">
      <c r="A40" s="185" t="s">
        <v>118</v>
      </c>
      <c r="C40" s="186">
        <v>4</v>
      </c>
      <c r="E40" s="191">
        <v>4</v>
      </c>
      <c r="G40" s="187">
        <v>11.34</v>
      </c>
      <c r="H40" s="241"/>
      <c r="I40" s="172">
        <f>ROUND($G40*C40,0)</f>
        <v>45</v>
      </c>
      <c r="K40" s="172">
        <f>ROUND($G40*E40,0)</f>
        <v>45</v>
      </c>
      <c r="M40" s="242">
        <f t="shared" si="2"/>
        <v>20</v>
      </c>
      <c r="N40" s="241"/>
      <c r="O40" s="172">
        <f>ROUND(M40*$E40,0)</f>
        <v>80</v>
      </c>
      <c r="P40" s="172"/>
      <c r="R40"/>
      <c r="S40"/>
      <c r="T40" s="190">
        <f t="shared" si="1"/>
        <v>0.76366843033509713</v>
      </c>
      <c r="U40"/>
      <c r="V40"/>
    </row>
    <row r="41" spans="1:22">
      <c r="A41" s="185" t="s">
        <v>120</v>
      </c>
      <c r="C41" s="191">
        <v>0</v>
      </c>
      <c r="E41" s="191">
        <v>0</v>
      </c>
      <c r="G41" s="187">
        <v>47.36</v>
      </c>
      <c r="H41" s="241"/>
      <c r="I41" s="172">
        <f>ROUND($G41*C41,0)</f>
        <v>0</v>
      </c>
      <c r="K41" s="172">
        <f>ROUND($G41*E41,0)</f>
        <v>0</v>
      </c>
      <c r="M41" s="242">
        <f t="shared" si="2"/>
        <v>120</v>
      </c>
      <c r="N41" s="241"/>
      <c r="O41" s="218">
        <f>ROUND(M41*$E41,0)</f>
        <v>0</v>
      </c>
      <c r="P41" s="172"/>
      <c r="R41"/>
      <c r="S41"/>
      <c r="T41" s="190">
        <f t="shared" si="1"/>
        <v>1.5337837837837838</v>
      </c>
      <c r="U41"/>
      <c r="V41"/>
    </row>
    <row r="42" spans="1:22">
      <c r="A42" s="220" t="s">
        <v>122</v>
      </c>
      <c r="B42" s="164"/>
      <c r="C42" s="221">
        <f>SUM(C43:C46)</f>
        <v>2042</v>
      </c>
      <c r="D42" s="245"/>
      <c r="E42" s="221">
        <f>SUM(E43:E46)</f>
        <v>2265.6214894947411</v>
      </c>
      <c r="G42" s="246"/>
      <c r="H42" s="193"/>
      <c r="I42" s="218"/>
      <c r="K42" s="218"/>
      <c r="M42" s="247"/>
      <c r="N42" s="193"/>
      <c r="O42" s="218"/>
      <c r="P42" s="172"/>
      <c r="Q42" s="171" t="s">
        <v>117</v>
      </c>
      <c r="R42" s="248">
        <f>O48/K48-1</f>
        <v>0.20598028293069492</v>
      </c>
      <c r="S42"/>
      <c r="T42"/>
      <c r="U42"/>
      <c r="V42"/>
    </row>
    <row r="43" spans="1:22">
      <c r="A43" s="220" t="s">
        <v>124</v>
      </c>
      <c r="B43" s="164"/>
      <c r="C43" s="191">
        <v>726</v>
      </c>
      <c r="E43" s="179">
        <f>C43/($C$48-$C$47)*$E$48</f>
        <v>805.50499578290828</v>
      </c>
      <c r="G43" s="246">
        <v>0</v>
      </c>
      <c r="H43" s="193"/>
      <c r="I43" s="172"/>
      <c r="K43" s="172"/>
      <c r="M43" s="247">
        <f>M22</f>
        <v>8.3117000000000001</v>
      </c>
      <c r="N43" s="193" t="s">
        <v>108</v>
      </c>
      <c r="O43" s="218">
        <f>ROUND(M43*$E43/100,0)</f>
        <v>67</v>
      </c>
      <c r="P43" s="218"/>
      <c r="Q43" s="171" t="s">
        <v>138</v>
      </c>
      <c r="R43" s="248">
        <f>(O48+O49)/(K48+K49)-1</f>
        <v>0.17052690043285934</v>
      </c>
      <c r="S43"/>
      <c r="T43"/>
      <c r="U43"/>
      <c r="V43"/>
    </row>
    <row r="44" spans="1:22" s="184" customFormat="1">
      <c r="A44" s="220" t="s">
        <v>126</v>
      </c>
      <c r="B44" s="162"/>
      <c r="C44" s="191">
        <v>935</v>
      </c>
      <c r="D44" s="164"/>
      <c r="E44" s="179">
        <f>C44/($C$48-$C$47)*$E$48</f>
        <v>1037.3927975992001</v>
      </c>
      <c r="F44" s="164"/>
      <c r="G44" s="246">
        <v>0</v>
      </c>
      <c r="H44" s="193"/>
      <c r="I44" s="249"/>
      <c r="J44" s="164"/>
      <c r="K44" s="172"/>
      <c r="L44" s="164"/>
      <c r="M44" s="247">
        <f>M23</f>
        <v>8.6117000000000008</v>
      </c>
      <c r="N44" s="193" t="s">
        <v>108</v>
      </c>
      <c r="O44" s="218">
        <f>ROUND(M44*$E44/100,0)</f>
        <v>89</v>
      </c>
      <c r="P44" s="218"/>
      <c r="Q44" s="171" t="s">
        <v>139</v>
      </c>
      <c r="R44" s="250">
        <f>E48/(E32+E39+E40)</f>
        <v>664.95296247998897</v>
      </c>
      <c r="S44" s="193"/>
      <c r="T44" s="193"/>
      <c r="U44" s="193"/>
      <c r="V44" s="193"/>
    </row>
    <row r="45" spans="1:22" s="184" customFormat="1">
      <c r="A45" s="220" t="s">
        <v>128</v>
      </c>
      <c r="B45" s="164"/>
      <c r="C45" s="191">
        <v>0</v>
      </c>
      <c r="D45" s="164"/>
      <c r="E45" s="179">
        <f>C45/($C$48-$C$47)*$E$48</f>
        <v>0</v>
      </c>
      <c r="F45" s="164"/>
      <c r="G45" s="246"/>
      <c r="H45" s="193"/>
      <c r="I45" s="172"/>
      <c r="J45" s="164"/>
      <c r="K45" s="172"/>
      <c r="L45" s="164"/>
      <c r="M45" s="247">
        <f>M24</f>
        <v>8.3117000000000001</v>
      </c>
      <c r="N45" s="193" t="s">
        <v>108</v>
      </c>
      <c r="O45" s="218">
        <f>ROUND(M45*$E45/100,0)</f>
        <v>0</v>
      </c>
      <c r="P45" s="218"/>
      <c r="Q45" s="171" t="s">
        <v>140</v>
      </c>
      <c r="R45" s="250">
        <f>SUM(E35:E37,E43,E45)/((E32+E39+E40)*5/12)</f>
        <v>663.88904882147483</v>
      </c>
      <c r="S45" s="193"/>
      <c r="T45" s="193"/>
      <c r="U45" s="193"/>
      <c r="V45" s="193"/>
    </row>
    <row r="46" spans="1:22" s="184" customFormat="1">
      <c r="A46" s="220" t="s">
        <v>130</v>
      </c>
      <c r="B46" s="162"/>
      <c r="C46" s="191">
        <v>381</v>
      </c>
      <c r="D46" s="164"/>
      <c r="E46" s="191">
        <f>E48-SUM(E35:E38,E43:E45)</f>
        <v>422.72369611263275</v>
      </c>
      <c r="F46" s="164"/>
      <c r="G46" s="246"/>
      <c r="H46" s="193"/>
      <c r="I46" s="172"/>
      <c r="J46" s="164"/>
      <c r="K46" s="172"/>
      <c r="L46" s="164"/>
      <c r="M46" s="247">
        <f>M25</f>
        <v>8.6117000000000008</v>
      </c>
      <c r="N46" s="193" t="s">
        <v>108</v>
      </c>
      <c r="O46" s="218">
        <f>ROUND(M46*$E46/100,0)</f>
        <v>36</v>
      </c>
      <c r="P46" s="218"/>
      <c r="Q46" s="171" t="s">
        <v>141</v>
      </c>
      <c r="R46" s="250">
        <f>SUM(E38,E44,E46)/((E32+E39+E40)*7/12)</f>
        <v>665.71290080749907</v>
      </c>
      <c r="S46" s="193"/>
      <c r="T46" s="193"/>
      <c r="U46" s="193"/>
      <c r="V46" s="193"/>
    </row>
    <row r="47" spans="1:22">
      <c r="A47" s="185" t="s">
        <v>132</v>
      </c>
      <c r="C47" s="227">
        <v>1813418</v>
      </c>
      <c r="E47" s="227">
        <v>0</v>
      </c>
      <c r="I47" s="228">
        <v>176295</v>
      </c>
      <c r="K47" s="229">
        <v>0</v>
      </c>
      <c r="O47" s="229">
        <v>0</v>
      </c>
      <c r="P47" s="218"/>
      <c r="Q47" s="164"/>
      <c r="R47" s="193"/>
      <c r="S47"/>
      <c r="T47"/>
      <c r="U47"/>
      <c r="V47"/>
    </row>
    <row r="48" spans="1:22" ht="16.5" thickBot="1">
      <c r="A48" s="185" t="s">
        <v>134</v>
      </c>
      <c r="C48" s="232">
        <f>SUM(C35:D37,C38,C42,C47)</f>
        <v>227932338.92374873</v>
      </c>
      <c r="E48" s="232">
        <v>250881433.12</v>
      </c>
      <c r="G48" s="234"/>
      <c r="I48" s="235">
        <f>SUM(I32:I47)</f>
        <v>19776834</v>
      </c>
      <c r="K48" s="235">
        <f>SUM(K32:K47)</f>
        <v>21730410</v>
      </c>
      <c r="M48" s="236"/>
      <c r="O48" s="235">
        <f>SUM(O32:O47)</f>
        <v>26206446</v>
      </c>
      <c r="P48" s="218"/>
      <c r="Q48" s="164"/>
      <c r="R48" s="193"/>
      <c r="S48"/>
      <c r="T48"/>
      <c r="U48"/>
      <c r="V48"/>
    </row>
    <row r="49" spans="1:22" ht="16.5" thickTop="1">
      <c r="A49" s="185" t="s">
        <v>135</v>
      </c>
      <c r="C49" s="163"/>
      <c r="E49" s="163"/>
      <c r="G49" s="238"/>
      <c r="H49" s="239"/>
      <c r="I49" s="228">
        <f>MPA!K42</f>
        <v>658179.2672</v>
      </c>
      <c r="K49" s="228">
        <f>I49</f>
        <v>658179.2672</v>
      </c>
      <c r="M49" s="180"/>
      <c r="N49" s="239"/>
      <c r="O49" s="228">
        <v>0</v>
      </c>
      <c r="P49" s="218"/>
      <c r="R49"/>
      <c r="S49"/>
      <c r="T49"/>
      <c r="U49"/>
      <c r="V49"/>
    </row>
    <row r="50" spans="1:22">
      <c r="A50" s="185" t="s">
        <v>136</v>
      </c>
      <c r="C50" s="163"/>
      <c r="E50" s="163"/>
      <c r="G50" s="238">
        <f>M50</f>
        <v>3.9100000000000003E-2</v>
      </c>
      <c r="H50" s="239"/>
      <c r="I50" s="228">
        <f>ROUND(SUM(I35:I40,-(C39+C40)*G32,I49)*$G50,0)</f>
        <v>741671</v>
      </c>
      <c r="K50" s="228">
        <f>ROUND(SUM(K35:K40,-(E39+E40)*G32,K49)*$G50,0)</f>
        <v>820073</v>
      </c>
      <c r="M50" s="180">
        <v>3.9100000000000003E-2</v>
      </c>
      <c r="N50" s="239"/>
      <c r="O50" s="228">
        <f>ROUND(SUM(O35:O38,O43:O46,O49)*$G50,0)</f>
        <v>876903</v>
      </c>
      <c r="P50" s="218"/>
      <c r="S50"/>
      <c r="T50"/>
      <c r="U50"/>
      <c r="V50"/>
    </row>
    <row r="51" spans="1:22">
      <c r="C51" s="163"/>
      <c r="E51" s="163"/>
      <c r="S51"/>
      <c r="T51"/>
      <c r="U51"/>
      <c r="V51"/>
    </row>
    <row r="52" spans="1:22">
      <c r="A52" s="181" t="s">
        <v>142</v>
      </c>
      <c r="C52" s="163"/>
      <c r="E52" s="163"/>
      <c r="S52"/>
      <c r="T52"/>
      <c r="U52"/>
      <c r="V52"/>
    </row>
    <row r="53" spans="1:22">
      <c r="A53" s="185" t="s">
        <v>104</v>
      </c>
      <c r="C53" s="186">
        <v>4290.4659999999894</v>
      </c>
      <c r="E53" s="191">
        <v>4344.1433945601248</v>
      </c>
      <c r="G53" s="187">
        <v>3.75</v>
      </c>
      <c r="H53" s="241"/>
      <c r="I53" s="172">
        <f>ROUND($G53*C53,0)</f>
        <v>16089</v>
      </c>
      <c r="K53" s="172">
        <f>ROUND($G53*E53,0)</f>
        <v>16291</v>
      </c>
      <c r="M53" s="242">
        <f>M11</f>
        <v>0</v>
      </c>
      <c r="N53" s="241"/>
      <c r="O53" s="172">
        <f>ROUND(M53*$E53,0)</f>
        <v>0</v>
      </c>
      <c r="P53" s="172"/>
      <c r="R53" s="190"/>
      <c r="S53"/>
      <c r="T53" s="190">
        <f t="shared" ref="T53:T64" si="3">M53/G53-1</f>
        <v>-1</v>
      </c>
      <c r="U53"/>
      <c r="V53"/>
    </row>
    <row r="54" spans="1:22">
      <c r="A54" s="185" t="s">
        <v>105</v>
      </c>
      <c r="C54" s="186">
        <f>C53-C55</f>
        <v>4288.4659999999894</v>
      </c>
      <c r="E54" s="191">
        <f>ROUND(C54/C53*E53,0)</f>
        <v>4342</v>
      </c>
      <c r="G54" s="187"/>
      <c r="H54" s="241"/>
      <c r="I54" s="172"/>
      <c r="K54" s="172"/>
      <c r="M54" s="242">
        <f>M12</f>
        <v>10</v>
      </c>
      <c r="N54" s="241"/>
      <c r="O54" s="172">
        <f>ROUND(M54*$E54,0)</f>
        <v>43420</v>
      </c>
      <c r="P54" s="172"/>
      <c r="R54" s="190"/>
      <c r="S54"/>
      <c r="T54" s="190"/>
      <c r="U54"/>
      <c r="V54"/>
    </row>
    <row r="55" spans="1:22">
      <c r="A55" s="185" t="s">
        <v>106</v>
      </c>
      <c r="C55" s="186">
        <v>2</v>
      </c>
      <c r="E55" s="191">
        <f>E53-E54</f>
        <v>2.1433945601247615</v>
      </c>
      <c r="G55" s="187"/>
      <c r="H55" s="241"/>
      <c r="I55" s="172"/>
      <c r="K55" s="172"/>
      <c r="M55" s="242">
        <f>M13</f>
        <v>20</v>
      </c>
      <c r="N55" s="241"/>
      <c r="O55" s="172">
        <f>ROUND(M55*$E55,0)</f>
        <v>43</v>
      </c>
      <c r="P55" s="172"/>
      <c r="R55" s="190"/>
      <c r="S55"/>
      <c r="T55" s="190"/>
      <c r="U55"/>
      <c r="V55"/>
    </row>
    <row r="56" spans="1:22">
      <c r="A56" s="185" t="s">
        <v>143</v>
      </c>
      <c r="C56" s="186">
        <v>270640</v>
      </c>
      <c r="E56" s="191">
        <f t="shared" ref="E56:E61" si="4">C56/($C$71-$C$70)*$E$71</f>
        <v>245210.54264628116</v>
      </c>
      <c r="G56" s="251">
        <v>4.3761999999999999</v>
      </c>
      <c r="H56" s="193" t="s">
        <v>108</v>
      </c>
      <c r="I56" s="172">
        <f t="shared" ref="I56:I61" si="5">ROUND($G56*C56/100,0)</f>
        <v>11844</v>
      </c>
      <c r="K56" s="172">
        <f t="shared" ref="K56:K61" si="6">ROUND($G56*E56/100,0)</f>
        <v>10731</v>
      </c>
      <c r="M56" s="252">
        <v>4.3761999999999999</v>
      </c>
      <c r="N56" s="193" t="s">
        <v>108</v>
      </c>
      <c r="O56" s="172">
        <f t="shared" ref="O56:O61" si="7">ROUND(M56*$E56/100,0)</f>
        <v>10731</v>
      </c>
      <c r="P56" s="172"/>
      <c r="S56"/>
      <c r="T56" s="190">
        <f t="shared" si="3"/>
        <v>0</v>
      </c>
      <c r="U56"/>
      <c r="V56"/>
    </row>
    <row r="57" spans="1:22">
      <c r="A57" s="185" t="s">
        <v>144</v>
      </c>
      <c r="C57" s="186">
        <v>958624.51630374242</v>
      </c>
      <c r="E57" s="191">
        <f t="shared" si="4"/>
        <v>868551.72124175832</v>
      </c>
      <c r="G57" s="251">
        <v>-1.4014</v>
      </c>
      <c r="H57" s="193" t="s">
        <v>108</v>
      </c>
      <c r="I57" s="172">
        <f t="shared" si="5"/>
        <v>-13434</v>
      </c>
      <c r="K57" s="172">
        <f t="shared" si="6"/>
        <v>-12172</v>
      </c>
      <c r="M57" s="252">
        <v>-1.4014</v>
      </c>
      <c r="N57" s="193" t="s">
        <v>108</v>
      </c>
      <c r="O57" s="172">
        <f t="shared" si="7"/>
        <v>-12172</v>
      </c>
      <c r="P57" s="172"/>
      <c r="R57"/>
      <c r="S57"/>
      <c r="T57" s="190">
        <f t="shared" si="3"/>
        <v>0</v>
      </c>
      <c r="U57"/>
      <c r="V57"/>
    </row>
    <row r="58" spans="1:22">
      <c r="A58" s="185" t="s">
        <v>107</v>
      </c>
      <c r="C58" s="191">
        <v>622997</v>
      </c>
      <c r="E58" s="191">
        <f t="shared" si="4"/>
        <v>564459.91884793527</v>
      </c>
      <c r="G58" s="205">
        <v>7.5292000000000003</v>
      </c>
      <c r="H58" s="193" t="s">
        <v>108</v>
      </c>
      <c r="I58" s="172">
        <f t="shared" si="5"/>
        <v>46907</v>
      </c>
      <c r="K58" s="172">
        <f t="shared" si="6"/>
        <v>42499</v>
      </c>
      <c r="M58" s="243">
        <f t="shared" ref="M58:M64" si="8">M14</f>
        <v>8.3117000000000001</v>
      </c>
      <c r="N58" s="193" t="s">
        <v>108</v>
      </c>
      <c r="O58" s="172">
        <f t="shared" si="7"/>
        <v>46916</v>
      </c>
      <c r="P58" s="172"/>
      <c r="R58"/>
      <c r="S58"/>
      <c r="T58" s="190">
        <f t="shared" si="3"/>
        <v>0.10392870424480694</v>
      </c>
      <c r="U58"/>
      <c r="V58" s="253"/>
    </row>
    <row r="59" spans="1:22">
      <c r="A59" s="185" t="s">
        <v>110</v>
      </c>
      <c r="C59" s="191">
        <v>433584</v>
      </c>
      <c r="E59" s="191">
        <f t="shared" si="4"/>
        <v>392844.25037963776</v>
      </c>
      <c r="G59" s="205">
        <v>9.2749000000000006</v>
      </c>
      <c r="H59" s="193" t="s">
        <v>108</v>
      </c>
      <c r="I59" s="172">
        <f t="shared" si="5"/>
        <v>40214</v>
      </c>
      <c r="K59" s="172">
        <f t="shared" si="6"/>
        <v>36436</v>
      </c>
      <c r="M59" s="243">
        <f t="shared" si="8"/>
        <v>10.238899999999999</v>
      </c>
      <c r="N59" s="193" t="s">
        <v>108</v>
      </c>
      <c r="O59" s="172">
        <f t="shared" si="7"/>
        <v>40223</v>
      </c>
      <c r="P59" s="172"/>
      <c r="R59"/>
      <c r="S59"/>
      <c r="T59" s="190">
        <f t="shared" si="3"/>
        <v>0.10393643058146163</v>
      </c>
      <c r="U59"/>
      <c r="V59" s="253"/>
    </row>
    <row r="60" spans="1:22">
      <c r="A60" s="185" t="s">
        <v>112</v>
      </c>
      <c r="C60" s="191">
        <v>174456.51630374236</v>
      </c>
      <c r="E60" s="191">
        <f t="shared" si="4"/>
        <v>158064.50277497951</v>
      </c>
      <c r="G60" s="205">
        <v>11.536099999999999</v>
      </c>
      <c r="H60" s="193" t="s">
        <v>108</v>
      </c>
      <c r="I60" s="172">
        <f t="shared" si="5"/>
        <v>20125</v>
      </c>
      <c r="K60" s="172">
        <f t="shared" si="6"/>
        <v>18234</v>
      </c>
      <c r="M60" s="243">
        <f t="shared" si="8"/>
        <v>12.735099999999999</v>
      </c>
      <c r="N60" s="193" t="s">
        <v>108</v>
      </c>
      <c r="O60" s="172">
        <f t="shared" si="7"/>
        <v>20130</v>
      </c>
      <c r="P60" s="172"/>
      <c r="R60"/>
      <c r="S60"/>
      <c r="T60" s="190">
        <f t="shared" si="3"/>
        <v>0.10393460528254783</v>
      </c>
      <c r="U60"/>
      <c r="V60"/>
    </row>
    <row r="61" spans="1:22">
      <c r="A61" s="185" t="s">
        <v>114</v>
      </c>
      <c r="C61" s="191">
        <v>1859244.9939319452</v>
      </c>
      <c r="E61" s="191">
        <f t="shared" si="4"/>
        <v>1684549.4896335867</v>
      </c>
      <c r="G61" s="205">
        <v>7.8009000000000004</v>
      </c>
      <c r="H61" s="193" t="s">
        <v>108</v>
      </c>
      <c r="I61" s="172">
        <f t="shared" si="5"/>
        <v>145038</v>
      </c>
      <c r="K61" s="172">
        <f t="shared" si="6"/>
        <v>131410</v>
      </c>
      <c r="M61" s="243">
        <f t="shared" si="8"/>
        <v>8.6117000000000008</v>
      </c>
      <c r="N61" s="193" t="s">
        <v>108</v>
      </c>
      <c r="O61" s="172">
        <f t="shared" si="7"/>
        <v>145068</v>
      </c>
      <c r="P61" s="172"/>
      <c r="R61"/>
      <c r="S61" s="193"/>
      <c r="T61" s="190">
        <f t="shared" si="3"/>
        <v>0.10393672524965081</v>
      </c>
      <c r="U61"/>
      <c r="V61"/>
    </row>
    <row r="62" spans="1:22">
      <c r="A62" s="185" t="s">
        <v>116</v>
      </c>
      <c r="C62" s="186">
        <v>51.370399999999997</v>
      </c>
      <c r="E62" s="191">
        <v>52</v>
      </c>
      <c r="G62" s="187">
        <v>3.78</v>
      </c>
      <c r="H62" s="241"/>
      <c r="I62" s="172">
        <f>ROUND($G62*C62,0)</f>
        <v>194</v>
      </c>
      <c r="K62" s="172">
        <f>ROUND($G62*E62,0)</f>
        <v>197</v>
      </c>
      <c r="M62" s="242">
        <f t="shared" si="8"/>
        <v>10</v>
      </c>
      <c r="N62" s="241"/>
      <c r="O62" s="172">
        <f>ROUND(M62*$E62,0)</f>
        <v>520</v>
      </c>
      <c r="P62" s="172"/>
      <c r="R62"/>
      <c r="S62" s="193"/>
      <c r="T62" s="190">
        <f t="shared" si="3"/>
        <v>1.6455026455026456</v>
      </c>
      <c r="U62"/>
      <c r="V62"/>
    </row>
    <row r="63" spans="1:22" s="184" customFormat="1">
      <c r="A63" s="185" t="s">
        <v>118</v>
      </c>
      <c r="B63" s="162"/>
      <c r="C63" s="186">
        <v>8.9634</v>
      </c>
      <c r="D63" s="164"/>
      <c r="E63" s="191">
        <v>9</v>
      </c>
      <c r="F63" s="164"/>
      <c r="G63" s="187">
        <v>11.34</v>
      </c>
      <c r="H63" s="241"/>
      <c r="I63" s="172">
        <f>ROUND($G63*C63,0)</f>
        <v>102</v>
      </c>
      <c r="J63" s="164"/>
      <c r="K63" s="172">
        <f>ROUND($G63*E63,0)</f>
        <v>102</v>
      </c>
      <c r="L63" s="164"/>
      <c r="M63" s="242">
        <f t="shared" si="8"/>
        <v>20</v>
      </c>
      <c r="N63" s="241"/>
      <c r="O63" s="172">
        <f>ROUND(M63*$E63,0)</f>
        <v>180</v>
      </c>
      <c r="P63" s="218"/>
      <c r="Q63" s="162"/>
      <c r="R63"/>
      <c r="S63" s="193"/>
      <c r="T63" s="190">
        <f t="shared" si="3"/>
        <v>0.76366843033509713</v>
      </c>
      <c r="U63" s="193"/>
      <c r="V63" s="193"/>
    </row>
    <row r="64" spans="1:22" s="184" customFormat="1">
      <c r="A64" s="185" t="s">
        <v>120</v>
      </c>
      <c r="B64" s="162"/>
      <c r="C64" s="191">
        <v>0</v>
      </c>
      <c r="D64" s="164"/>
      <c r="E64" s="191">
        <v>0</v>
      </c>
      <c r="F64" s="164"/>
      <c r="G64" s="187">
        <v>47.36</v>
      </c>
      <c r="H64" s="241"/>
      <c r="I64" s="172">
        <f>ROUND($G64*C64,0)</f>
        <v>0</v>
      </c>
      <c r="J64" s="164"/>
      <c r="K64" s="172">
        <f>ROUND($G64*E64,0)</f>
        <v>0</v>
      </c>
      <c r="L64" s="164"/>
      <c r="M64" s="242">
        <f t="shared" si="8"/>
        <v>120</v>
      </c>
      <c r="N64" s="241"/>
      <c r="O64" s="172">
        <f>ROUND(M64*$E64,0)</f>
        <v>0</v>
      </c>
      <c r="P64" s="218"/>
      <c r="Q64" s="162"/>
      <c r="R64"/>
      <c r="S64"/>
      <c r="T64" s="190">
        <f t="shared" si="3"/>
        <v>1.5337837837837838</v>
      </c>
      <c r="U64" s="193"/>
      <c r="V64" s="193"/>
    </row>
    <row r="65" spans="1:22" s="184" customFormat="1">
      <c r="A65" s="220" t="s">
        <v>122</v>
      </c>
      <c r="B65" s="164"/>
      <c r="C65" s="221">
        <f>SUM(C66:C69)</f>
        <v>266</v>
      </c>
      <c r="D65" s="164"/>
      <c r="E65" s="221">
        <f>SUM(E66:E69)</f>
        <v>241.00651915475848</v>
      </c>
      <c r="F65" s="164"/>
      <c r="G65" s="246"/>
      <c r="H65" s="193"/>
      <c r="I65" s="218"/>
      <c r="J65" s="164"/>
      <c r="K65" s="218"/>
      <c r="L65" s="164"/>
      <c r="M65" s="247"/>
      <c r="N65" s="193"/>
      <c r="O65" s="218"/>
      <c r="P65" s="218"/>
      <c r="Q65" s="162"/>
      <c r="R65"/>
      <c r="S65"/>
      <c r="T65" s="193"/>
      <c r="U65" s="193"/>
      <c r="V65" s="193"/>
    </row>
    <row r="66" spans="1:22">
      <c r="A66" s="220" t="s">
        <v>124</v>
      </c>
      <c r="B66" s="164"/>
      <c r="C66" s="191">
        <v>4</v>
      </c>
      <c r="E66" s="191">
        <f>C66/($C$71-$C$70)*$E$71</f>
        <v>3.6241581827709304</v>
      </c>
      <c r="G66" s="246">
        <v>0</v>
      </c>
      <c r="H66" s="193"/>
      <c r="I66" s="172"/>
      <c r="K66" s="172"/>
      <c r="M66" s="247">
        <f>M22</f>
        <v>8.3117000000000001</v>
      </c>
      <c r="N66" s="193" t="s">
        <v>108</v>
      </c>
      <c r="O66" s="218">
        <f>ROUND(M66*$E66/100,0)</f>
        <v>0</v>
      </c>
      <c r="P66" s="218"/>
      <c r="R66"/>
      <c r="T66"/>
      <c r="U66"/>
      <c r="V66"/>
    </row>
    <row r="67" spans="1:22">
      <c r="A67" s="220" t="s">
        <v>126</v>
      </c>
      <c r="C67" s="191">
        <v>76</v>
      </c>
      <c r="E67" s="191">
        <f>C67/($C$71-$C$70)*$E$71</f>
        <v>68.859005472647667</v>
      </c>
      <c r="G67" s="246">
        <v>0</v>
      </c>
      <c r="H67" s="193"/>
      <c r="I67" s="172"/>
      <c r="K67" s="172"/>
      <c r="M67" s="247">
        <f>M23</f>
        <v>8.6117000000000008</v>
      </c>
      <c r="N67" s="193" t="s">
        <v>108</v>
      </c>
      <c r="O67" s="218">
        <f>ROUND(M67*$E67/100,0)</f>
        <v>6</v>
      </c>
      <c r="P67" s="218"/>
      <c r="R67"/>
      <c r="S67"/>
      <c r="T67"/>
      <c r="U67"/>
      <c r="V67"/>
    </row>
    <row r="68" spans="1:22">
      <c r="A68" s="220" t="s">
        <v>128</v>
      </c>
      <c r="B68" s="164"/>
      <c r="C68" s="191">
        <v>153</v>
      </c>
      <c r="E68" s="191">
        <f>C68/($C$71-$C$70)*$E$71</f>
        <v>138.62405049098808</v>
      </c>
      <c r="G68" s="246"/>
      <c r="H68" s="193"/>
      <c r="I68" s="172"/>
      <c r="K68" s="172"/>
      <c r="M68" s="247">
        <f>M24</f>
        <v>8.3117000000000001</v>
      </c>
      <c r="N68" s="193" t="s">
        <v>108</v>
      </c>
      <c r="O68" s="218">
        <f>ROUND(M68*$E68/100,0)</f>
        <v>12</v>
      </c>
      <c r="P68" s="218"/>
      <c r="Q68" s="171" t="s">
        <v>117</v>
      </c>
      <c r="R68" s="248">
        <f>O71/K71-1</f>
        <v>0.21069388826889002</v>
      </c>
      <c r="S68"/>
    </row>
    <row r="69" spans="1:22">
      <c r="A69" s="220" t="s">
        <v>130</v>
      </c>
      <c r="C69" s="191">
        <v>33</v>
      </c>
      <c r="E69" s="191">
        <f>E71-SUM(E58:E61,E66:E68)</f>
        <v>29.899305008351803</v>
      </c>
      <c r="G69" s="246"/>
      <c r="H69" s="193"/>
      <c r="I69" s="172"/>
      <c r="K69" s="172"/>
      <c r="M69" s="247">
        <f>M25</f>
        <v>8.6117000000000008</v>
      </c>
      <c r="N69" s="193" t="s">
        <v>108</v>
      </c>
      <c r="O69" s="218">
        <f>ROUND(M69*$E69/100,0)</f>
        <v>3</v>
      </c>
      <c r="P69" s="218"/>
      <c r="Q69" s="171" t="s">
        <v>138</v>
      </c>
      <c r="R69" s="248">
        <f>(O71+O72)/(K71+K72)-1</f>
        <v>0.16700811026974693</v>
      </c>
      <c r="T69"/>
      <c r="U69"/>
      <c r="V69"/>
    </row>
    <row r="70" spans="1:22">
      <c r="A70" s="185" t="s">
        <v>132</v>
      </c>
      <c r="C70" s="227">
        <v>24911</v>
      </c>
      <c r="E70" s="227">
        <v>0</v>
      </c>
      <c r="I70" s="228">
        <v>2412</v>
      </c>
      <c r="K70" s="229">
        <v>0</v>
      </c>
      <c r="O70" s="229">
        <v>0</v>
      </c>
      <c r="Q70" s="171" t="s">
        <v>145</v>
      </c>
      <c r="R70" s="250">
        <f>E71/(E53+E62+E63)</f>
        <v>635.65675787380439</v>
      </c>
      <c r="T70"/>
      <c r="U70"/>
    </row>
    <row r="71" spans="1:22" ht="16.5" thickBot="1">
      <c r="A71" s="185" t="s">
        <v>134</v>
      </c>
      <c r="C71" s="232">
        <f>SUM(C58:C60,C61,C65,C70)</f>
        <v>3115459.5102356877</v>
      </c>
      <c r="E71" s="232">
        <v>2800159.1681552939</v>
      </c>
      <c r="G71" s="254"/>
      <c r="I71" s="255">
        <f>SUM(I53:I70)</f>
        <v>269491</v>
      </c>
      <c r="K71" s="255">
        <f>SUM(K53:K70)</f>
        <v>243728</v>
      </c>
      <c r="M71" s="256"/>
      <c r="O71" s="255">
        <f>SUM(O53:O70)</f>
        <v>295080</v>
      </c>
      <c r="Q71" s="164"/>
      <c r="R71" s="193"/>
      <c r="S71" s="257"/>
      <c r="T71"/>
      <c r="U71"/>
    </row>
    <row r="72" spans="1:22" ht="16.5" thickTop="1">
      <c r="A72" s="185" t="s">
        <v>135</v>
      </c>
      <c r="C72" s="163"/>
      <c r="E72" s="163"/>
      <c r="G72" s="238"/>
      <c r="H72" s="239"/>
      <c r="I72" s="228">
        <f>MPA!K61</f>
        <v>9123.7132000000001</v>
      </c>
      <c r="K72" s="228">
        <f>I72</f>
        <v>9123.7132000000001</v>
      </c>
      <c r="M72" s="180"/>
      <c r="N72" s="239"/>
      <c r="O72" s="228">
        <v>0</v>
      </c>
      <c r="P72" s="172"/>
      <c r="Q72" s="164"/>
      <c r="R72" s="193"/>
      <c r="S72" s="257"/>
    </row>
    <row r="73" spans="1:22">
      <c r="A73" s="185" t="s">
        <v>136</v>
      </c>
      <c r="C73" s="163"/>
      <c r="E73" s="163"/>
      <c r="G73" s="238">
        <f>M73</f>
        <v>3.9100000000000003E-2</v>
      </c>
      <c r="H73" s="258"/>
      <c r="I73" s="228">
        <f>ROUND(SUM(I56:I63,-(C62+C63)*G53,I72)*$G73,0)</f>
        <v>10162</v>
      </c>
      <c r="K73" s="228">
        <f>ROUND(SUM(K56:K63,-(E62+E63)*G53,K72)*$G73,0)</f>
        <v>9241</v>
      </c>
      <c r="M73" s="259">
        <f>M29</f>
        <v>3.9100000000000003E-2</v>
      </c>
      <c r="N73" s="258"/>
      <c r="O73" s="228">
        <f>ROUND(SUM(O56:O61,O66:O69,O72)*M73,0)</f>
        <v>9811</v>
      </c>
      <c r="P73" s="172"/>
      <c r="Q73" s="164"/>
      <c r="R73" s="193"/>
      <c r="S73" s="257"/>
      <c r="T73" s="257"/>
      <c r="U73" s="172"/>
      <c r="V73" s="260"/>
    </row>
    <row r="74" spans="1:22">
      <c r="C74" s="163"/>
      <c r="E74" s="163"/>
      <c r="P74" s="172"/>
      <c r="R74"/>
      <c r="S74" s="257"/>
      <c r="T74" s="257"/>
      <c r="U74" s="172"/>
      <c r="V74" s="260"/>
    </row>
    <row r="75" spans="1:22">
      <c r="A75" s="181" t="s">
        <v>146</v>
      </c>
      <c r="C75" s="163"/>
      <c r="E75" s="163"/>
      <c r="P75" s="172"/>
      <c r="U75" s="172"/>
      <c r="V75" s="260"/>
    </row>
    <row r="76" spans="1:22">
      <c r="A76" s="185" t="s">
        <v>104</v>
      </c>
      <c r="C76" s="186">
        <v>132.03450000000001</v>
      </c>
      <c r="E76" s="261">
        <v>132</v>
      </c>
      <c r="G76" s="187">
        <v>20</v>
      </c>
      <c r="H76" s="188"/>
      <c r="I76" s="172">
        <f>ROUND($G76*C76,0)</f>
        <v>2641</v>
      </c>
      <c r="K76" s="172">
        <f>ROUND($G76*E76,0)</f>
        <v>2640</v>
      </c>
      <c r="M76" s="187">
        <v>0</v>
      </c>
      <c r="N76" s="188"/>
      <c r="O76" s="172">
        <f>ROUND(M76*$E76,0)</f>
        <v>0</v>
      </c>
      <c r="P76" s="172"/>
      <c r="Q76" s="164"/>
      <c r="R76" s="184"/>
      <c r="T76" s="224"/>
      <c r="U76" s="172"/>
      <c r="V76" s="260"/>
    </row>
    <row r="77" spans="1:22">
      <c r="A77" s="185" t="s">
        <v>147</v>
      </c>
      <c r="C77" s="186">
        <v>29266.767857142899</v>
      </c>
      <c r="E77" s="261">
        <f>ROUND(C77*$E$82/$C$82,0)</f>
        <v>29289</v>
      </c>
      <c r="G77" s="187">
        <v>5.6</v>
      </c>
      <c r="H77" s="188"/>
      <c r="I77" s="172">
        <f>ROUND($G77*C77,0)</f>
        <v>163894</v>
      </c>
      <c r="K77" s="172">
        <f>ROUND($G77*E77,0)</f>
        <v>164018</v>
      </c>
      <c r="M77" s="187">
        <v>0</v>
      </c>
      <c r="N77" s="188"/>
      <c r="O77" s="172">
        <f>ROUND(M77*$E77,0)</f>
        <v>0</v>
      </c>
      <c r="P77" s="218"/>
      <c r="Q77" s="183"/>
      <c r="R77" s="218"/>
      <c r="S77"/>
      <c r="V77" s="260"/>
    </row>
    <row r="78" spans="1:22">
      <c r="A78" s="185" t="s">
        <v>148</v>
      </c>
      <c r="C78" s="186">
        <v>19540.0133333333</v>
      </c>
      <c r="E78" s="261">
        <f>ROUND(C78*$E$82/$C$82,0)</f>
        <v>19555</v>
      </c>
      <c r="G78" s="187">
        <v>-0.5</v>
      </c>
      <c r="H78" s="188"/>
      <c r="I78" s="172">
        <f>ROUND($G78*C78,0)</f>
        <v>-9770</v>
      </c>
      <c r="K78" s="172">
        <f>ROUND($G78*E78,0)</f>
        <v>-9778</v>
      </c>
      <c r="M78" s="187">
        <v>0</v>
      </c>
      <c r="N78" s="188"/>
      <c r="O78" s="172">
        <f>ROUND(M78*$E78,0)</f>
        <v>0</v>
      </c>
      <c r="P78" s="218"/>
      <c r="Q78" s="183"/>
      <c r="R78" s="218"/>
      <c r="U78" s="172"/>
    </row>
    <row r="79" spans="1:22">
      <c r="A79" s="185" t="s">
        <v>149</v>
      </c>
      <c r="C79" s="186">
        <v>12152641.303952897</v>
      </c>
      <c r="E79" s="261">
        <f>E82-E81</f>
        <v>12259604.560000001</v>
      </c>
      <c r="G79" s="205">
        <v>5.9532999999999996</v>
      </c>
      <c r="H79" s="193" t="s">
        <v>108</v>
      </c>
      <c r="I79" s="172">
        <f>ROUND($G79*C79/100,0)</f>
        <v>723483</v>
      </c>
      <c r="K79" s="172">
        <f>ROUND($G79*E79/100,0)</f>
        <v>729851</v>
      </c>
      <c r="M79" s="262">
        <v>0</v>
      </c>
      <c r="N79" s="193" t="s">
        <v>108</v>
      </c>
      <c r="O79" s="172">
        <f>ROUND(M79*$E79/100,0)</f>
        <v>0</v>
      </c>
      <c r="P79" s="218"/>
      <c r="Q79" s="263"/>
      <c r="R79" s="218"/>
      <c r="T79"/>
      <c r="U79"/>
    </row>
    <row r="80" spans="1:22">
      <c r="A80" s="185" t="s">
        <v>150</v>
      </c>
      <c r="C80" s="186">
        <v>0</v>
      </c>
      <c r="E80" s="261">
        <f>ROUND(C80*($E$76/$C$76),0)</f>
        <v>0</v>
      </c>
      <c r="G80" s="187">
        <v>5</v>
      </c>
      <c r="H80" s="188"/>
      <c r="I80" s="172">
        <f>ROUND($G80*C80,0)</f>
        <v>0</v>
      </c>
      <c r="K80" s="172">
        <f>ROUND($G80*E80,0)</f>
        <v>0</v>
      </c>
      <c r="M80" s="187">
        <v>0</v>
      </c>
      <c r="N80" s="188"/>
      <c r="O80" s="172">
        <f>ROUND(M80*$E80,0)</f>
        <v>0</v>
      </c>
      <c r="P80" s="218"/>
      <c r="Q80" s="223"/>
      <c r="R80" s="264"/>
      <c r="S80" s="257"/>
    </row>
    <row r="81" spans="1:22">
      <c r="A81" s="185" t="s">
        <v>132</v>
      </c>
      <c r="C81" s="227">
        <v>97853</v>
      </c>
      <c r="E81" s="227">
        <v>0</v>
      </c>
      <c r="I81" s="229">
        <v>7920</v>
      </c>
      <c r="K81" s="229">
        <v>0</v>
      </c>
      <c r="O81" s="229">
        <v>0</v>
      </c>
      <c r="Q81" s="223"/>
      <c r="R81" s="264"/>
      <c r="S81" s="257"/>
    </row>
    <row r="82" spans="1:22" ht="16.5" thickBot="1">
      <c r="A82" s="185" t="s">
        <v>134</v>
      </c>
      <c r="C82" s="265">
        <f>C79+C81</f>
        <v>12250494.303952897</v>
      </c>
      <c r="E82" s="232">
        <v>12259604.560000001</v>
      </c>
      <c r="G82" s="266"/>
      <c r="H82" s="267"/>
      <c r="I82" s="255">
        <f>SUM(I76:I81)</f>
        <v>888168</v>
      </c>
      <c r="K82" s="255">
        <f>SUM(K76:K81)</f>
        <v>886731</v>
      </c>
      <c r="M82" s="268"/>
      <c r="N82" s="267"/>
      <c r="O82" s="255">
        <f>SUM(O76:O81)</f>
        <v>0</v>
      </c>
      <c r="Q82" s="223"/>
      <c r="R82" s="264"/>
      <c r="S82" s="257"/>
      <c r="T82" s="257"/>
      <c r="U82" s="189"/>
    </row>
    <row r="83" spans="1:22" ht="16.5" thickTop="1">
      <c r="A83" s="185" t="s">
        <v>135</v>
      </c>
      <c r="C83" s="163"/>
      <c r="E83" s="163"/>
      <c r="G83" s="238"/>
      <c r="H83" s="239"/>
      <c r="I83" s="228">
        <f>MPA!K70</f>
        <v>39725.517899999999</v>
      </c>
      <c r="K83" s="228">
        <f>I83</f>
        <v>39725.517899999999</v>
      </c>
      <c r="M83" s="180"/>
      <c r="N83" s="239"/>
      <c r="O83" s="228">
        <v>0</v>
      </c>
      <c r="P83" s="172"/>
      <c r="Q83" s="223"/>
      <c r="R83" s="204"/>
      <c r="S83" s="257"/>
      <c r="T83" s="257"/>
      <c r="U83" s="189"/>
    </row>
    <row r="84" spans="1:22">
      <c r="A84" s="185" t="s">
        <v>136</v>
      </c>
      <c r="C84" s="163"/>
      <c r="E84" s="163"/>
      <c r="G84" s="238">
        <f>M84</f>
        <v>3.7100000000000001E-2</v>
      </c>
      <c r="H84" s="239"/>
      <c r="I84" s="228">
        <f>ROUND(SUM(I77:I79,I83)*$G84,0)</f>
        <v>34033</v>
      </c>
      <c r="K84" s="228">
        <f>ROUND(SUM(K77:K79,K83)*$G84,0)</f>
        <v>34274</v>
      </c>
      <c r="M84" s="238">
        <v>3.7100000000000001E-2</v>
      </c>
      <c r="N84" s="239"/>
      <c r="O84" s="228">
        <f>ROUND(SUM(O77:O79,O83)*M84,0)</f>
        <v>0</v>
      </c>
      <c r="P84" s="172"/>
      <c r="Q84" s="223"/>
      <c r="R84" s="264"/>
      <c r="T84" s="257"/>
      <c r="U84" s="189"/>
      <c r="V84" s="171"/>
    </row>
    <row r="85" spans="1:22">
      <c r="A85" s="185"/>
      <c r="C85" s="163"/>
      <c r="E85" s="163"/>
      <c r="G85" s="269"/>
      <c r="H85" s="267"/>
      <c r="M85" s="270"/>
      <c r="N85" s="267"/>
      <c r="P85" s="172"/>
      <c r="T85" s="257"/>
      <c r="U85" s="271"/>
      <c r="V85" s="171"/>
    </row>
    <row r="86" spans="1:22">
      <c r="A86" s="181" t="s">
        <v>151</v>
      </c>
      <c r="C86" s="163"/>
      <c r="E86" s="163"/>
      <c r="P86" s="172"/>
    </row>
    <row r="87" spans="1:22">
      <c r="A87" s="185" t="s">
        <v>104</v>
      </c>
      <c r="C87" s="186">
        <v>14.967000000000001</v>
      </c>
      <c r="E87" s="261">
        <f>ROUND(E76*C87/C76,0)</f>
        <v>15</v>
      </c>
      <c r="G87" s="213">
        <v>8</v>
      </c>
      <c r="H87" s="272"/>
      <c r="I87" s="172">
        <f>ROUND($G87*C87,0)</f>
        <v>120</v>
      </c>
      <c r="K87" s="172">
        <f>ROUND($G87*E87,0)</f>
        <v>120</v>
      </c>
      <c r="M87" s="273">
        <f>M620</f>
        <v>10</v>
      </c>
      <c r="N87" s="272"/>
      <c r="O87" s="172">
        <f>ROUND(M87*$E87,0)</f>
        <v>150</v>
      </c>
      <c r="P87" s="172"/>
      <c r="Q87" s="274"/>
    </row>
    <row r="88" spans="1:22">
      <c r="A88" s="185" t="s">
        <v>152</v>
      </c>
      <c r="C88" s="186">
        <v>33.167199248120298</v>
      </c>
      <c r="E88" s="261">
        <f>ROUND(E$645*C88/C$645,0)</f>
        <v>36</v>
      </c>
      <c r="G88" s="213">
        <v>7.25</v>
      </c>
      <c r="H88" s="272"/>
      <c r="I88" s="172">
        <f>ROUND($G88*C88,0)</f>
        <v>240</v>
      </c>
      <c r="K88" s="172">
        <f>ROUND($G88*E88,0)</f>
        <v>261</v>
      </c>
      <c r="M88" s="273">
        <f t="shared" ref="M88:M95" si="9">M621</f>
        <v>8.4</v>
      </c>
      <c r="N88" s="272"/>
      <c r="O88" s="172">
        <f>ROUND(M88*$E88,0)</f>
        <v>302</v>
      </c>
      <c r="P88" s="172"/>
      <c r="Q88" s="242"/>
    </row>
    <row r="89" spans="1:22">
      <c r="A89" s="185" t="s">
        <v>153</v>
      </c>
      <c r="C89" s="186">
        <v>11</v>
      </c>
      <c r="E89" s="261">
        <f>ROUND(E$645*C89/C$645,0)</f>
        <v>12</v>
      </c>
      <c r="G89" s="213">
        <v>7.3</v>
      </c>
      <c r="H89" s="272"/>
      <c r="I89" s="172">
        <f>ROUND($G89*C89,0)</f>
        <v>80</v>
      </c>
      <c r="K89" s="172">
        <f>ROUND($G89*E89,0)</f>
        <v>88</v>
      </c>
      <c r="M89" s="273">
        <f t="shared" si="9"/>
        <v>8.5</v>
      </c>
      <c r="N89" s="272"/>
      <c r="O89" s="172">
        <f>ROUND(M89*$E89,0)</f>
        <v>102</v>
      </c>
      <c r="P89" s="172"/>
      <c r="Q89" s="242"/>
    </row>
    <row r="90" spans="1:22">
      <c r="A90" s="185" t="s">
        <v>154</v>
      </c>
      <c r="C90" s="186">
        <v>0</v>
      </c>
      <c r="E90" s="261">
        <f>ROUND(E$645*C90/C$645,0)</f>
        <v>0</v>
      </c>
      <c r="G90" s="213">
        <v>-0.41</v>
      </c>
      <c r="H90" s="272"/>
      <c r="I90" s="172">
        <f>ROUND($G90*C90,0)</f>
        <v>0</v>
      </c>
      <c r="K90" s="172">
        <f>ROUND($G90*E90,0)</f>
        <v>0</v>
      </c>
      <c r="M90" s="273">
        <f t="shared" si="9"/>
        <v>-0.48</v>
      </c>
      <c r="N90" s="272"/>
      <c r="O90" s="172">
        <f>ROUND(M90*$E90,0)</f>
        <v>0</v>
      </c>
      <c r="P90" s="172"/>
      <c r="Q90" s="242"/>
    </row>
    <row r="91" spans="1:22">
      <c r="A91" s="185" t="s">
        <v>155</v>
      </c>
      <c r="C91" s="186">
        <v>11986</v>
      </c>
      <c r="E91" s="261">
        <f>ROUND(E$645*C91/SUM(C$639:C$642),0)</f>
        <v>13028</v>
      </c>
      <c r="G91" s="269">
        <v>9.8214000000000006</v>
      </c>
      <c r="H91" s="193" t="s">
        <v>108</v>
      </c>
      <c r="I91" s="172">
        <f>ROUND($G91*C91/100,0)</f>
        <v>1177</v>
      </c>
      <c r="K91" s="172">
        <f>ROUND($G91*E91/100,0)</f>
        <v>1280</v>
      </c>
      <c r="M91" s="270">
        <f t="shared" si="9"/>
        <v>11.411799999999999</v>
      </c>
      <c r="N91" s="193" t="s">
        <v>108</v>
      </c>
      <c r="O91" s="172">
        <f>ROUND(M91*$E91/100,0)</f>
        <v>1487</v>
      </c>
      <c r="P91" s="172"/>
      <c r="R91" s="275"/>
      <c r="S91"/>
    </row>
    <row r="92" spans="1:22">
      <c r="A92" s="185" t="s">
        <v>156</v>
      </c>
      <c r="C92" s="186">
        <v>39244</v>
      </c>
      <c r="E92" s="261">
        <f>ROUND(E$645*C92/SUM(C$639:C$642),0)</f>
        <v>42657</v>
      </c>
      <c r="G92" s="269">
        <v>5.5063000000000004</v>
      </c>
      <c r="H92" s="193" t="s">
        <v>108</v>
      </c>
      <c r="I92" s="172">
        <f>ROUND($G92*C92/100,0)</f>
        <v>2161</v>
      </c>
      <c r="K92" s="172">
        <f>ROUND($G92*E92/100,0)</f>
        <v>2349</v>
      </c>
      <c r="M92" s="270">
        <f t="shared" si="9"/>
        <v>6.3979999999999997</v>
      </c>
      <c r="N92" s="193" t="s">
        <v>108</v>
      </c>
      <c r="O92" s="172">
        <f>ROUND(M92*$E92/100,0)</f>
        <v>2729</v>
      </c>
      <c r="P92" s="218"/>
      <c r="Q92" s="242"/>
      <c r="R92" s="275"/>
    </row>
    <row r="93" spans="1:22">
      <c r="A93" s="185" t="s">
        <v>157</v>
      </c>
      <c r="C93" s="186">
        <v>10036</v>
      </c>
      <c r="E93" s="261">
        <f>ROUND(E$645*C93/SUM(C$639:C$642),0)</f>
        <v>10909</v>
      </c>
      <c r="G93" s="269">
        <v>9.0399999999999991</v>
      </c>
      <c r="H93" s="193" t="s">
        <v>108</v>
      </c>
      <c r="I93" s="172">
        <f>ROUND($G93*C93/100,0)</f>
        <v>907</v>
      </c>
      <c r="K93" s="172">
        <f>ROUND($G93*E93/100,0)</f>
        <v>986</v>
      </c>
      <c r="M93" s="270">
        <f t="shared" si="9"/>
        <v>10.5039</v>
      </c>
      <c r="N93" s="193" t="s">
        <v>108</v>
      </c>
      <c r="O93" s="172">
        <f>ROUND(M93*$E93/100,0)</f>
        <v>1146</v>
      </c>
      <c r="P93" s="218"/>
      <c r="R93" s="275"/>
      <c r="T93"/>
      <c r="U93"/>
    </row>
    <row r="94" spans="1:22">
      <c r="A94" s="185" t="s">
        <v>158</v>
      </c>
      <c r="C94" s="186">
        <v>27316</v>
      </c>
      <c r="E94" s="261">
        <f>E97-SUM(E91:E93)</f>
        <v>22769</v>
      </c>
      <c r="G94" s="269">
        <v>5.0688000000000004</v>
      </c>
      <c r="H94" s="193" t="s">
        <v>108</v>
      </c>
      <c r="I94" s="172">
        <f>ROUND($G94*C94/100,0)</f>
        <v>1385</v>
      </c>
      <c r="K94" s="172">
        <f>ROUND($G94*E94/100,0)</f>
        <v>1154</v>
      </c>
      <c r="M94" s="270">
        <f t="shared" si="9"/>
        <v>5.8887999999999998</v>
      </c>
      <c r="N94" s="193" t="s">
        <v>108</v>
      </c>
      <c r="O94" s="172">
        <f>ROUND(M94*$E94/100,0)</f>
        <v>1341</v>
      </c>
      <c r="P94" s="218"/>
      <c r="R94" s="275"/>
    </row>
    <row r="95" spans="1:22">
      <c r="A95" s="185" t="s">
        <v>159</v>
      </c>
      <c r="C95" s="186">
        <v>0</v>
      </c>
      <c r="E95" s="261">
        <f>ROUND(C95*E87/C87,0)</f>
        <v>0</v>
      </c>
      <c r="G95" s="213">
        <v>96</v>
      </c>
      <c r="H95" s="272"/>
      <c r="I95" s="172">
        <f>ROUND($G95*C95,0)</f>
        <v>0</v>
      </c>
      <c r="K95" s="172">
        <f>ROUND($G95*E95,0)</f>
        <v>0</v>
      </c>
      <c r="M95" s="273">
        <f t="shared" si="9"/>
        <v>120</v>
      </c>
      <c r="N95" s="272"/>
      <c r="O95" s="172">
        <f>ROUND(M95*$E95,0)</f>
        <v>0</v>
      </c>
      <c r="P95" s="218"/>
      <c r="V95"/>
    </row>
    <row r="96" spans="1:22">
      <c r="A96" s="185" t="s">
        <v>132</v>
      </c>
      <c r="C96" s="227">
        <v>713</v>
      </c>
      <c r="E96" s="227">
        <v>0</v>
      </c>
      <c r="I96" s="229">
        <v>58</v>
      </c>
      <c r="K96" s="229">
        <v>0</v>
      </c>
      <c r="O96" s="228">
        <v>0</v>
      </c>
    </row>
    <row r="97" spans="1:22" ht="16.5" thickBot="1">
      <c r="A97" s="185" t="s">
        <v>134</v>
      </c>
      <c r="C97" s="265">
        <f>SUM(C91:C94,C96)</f>
        <v>89295</v>
      </c>
      <c r="E97" s="265">
        <v>89363</v>
      </c>
      <c r="G97" s="254"/>
      <c r="I97" s="255">
        <f>SUM(I87:I96)</f>
        <v>6128</v>
      </c>
      <c r="K97" s="255">
        <f>SUM(K87:K96)</f>
        <v>6238</v>
      </c>
      <c r="M97" s="256"/>
      <c r="O97" s="255">
        <f>SUM(O87:O96)</f>
        <v>7257</v>
      </c>
      <c r="Q97" s="171" t="s">
        <v>117</v>
      </c>
      <c r="R97" s="248">
        <f>O97/K97-1</f>
        <v>0.16335363898685484</v>
      </c>
    </row>
    <row r="98" spans="1:22" ht="16.5" thickTop="1">
      <c r="A98" s="185" t="s">
        <v>135</v>
      </c>
      <c r="C98" s="163"/>
      <c r="E98" s="276"/>
      <c r="G98" s="238"/>
      <c r="H98" s="239"/>
      <c r="I98" s="228">
        <f>ROUND(I83*I97/(I97+I111),0)</f>
        <v>319</v>
      </c>
      <c r="K98" s="228">
        <f>I98</f>
        <v>319</v>
      </c>
      <c r="M98" s="180"/>
      <c r="N98" s="239"/>
      <c r="O98" s="228">
        <v>0</v>
      </c>
      <c r="P98" s="172"/>
      <c r="Q98" s="161" t="s">
        <v>138</v>
      </c>
      <c r="R98" s="264">
        <f>(O97+O98)/(K97+K98)-1</f>
        <v>0.1067561384779625</v>
      </c>
    </row>
    <row r="99" spans="1:22">
      <c r="A99" s="185" t="s">
        <v>136</v>
      </c>
      <c r="C99" s="163"/>
      <c r="E99" s="276"/>
      <c r="G99" s="238">
        <f>M99</f>
        <v>3.95E-2</v>
      </c>
      <c r="H99" s="258"/>
      <c r="I99" s="228">
        <f>ROUND(SUM(I88:I94,I98)*$G99,0)</f>
        <v>248</v>
      </c>
      <c r="K99" s="228">
        <f>ROUND(SUM(K88:K94,K98)*$G99,0)</f>
        <v>254</v>
      </c>
      <c r="M99" s="277">
        <v>3.95E-2</v>
      </c>
      <c r="N99" s="258"/>
      <c r="O99" s="228">
        <f>ROUND(SUM(O88:O94,O98)*M99,0)</f>
        <v>281</v>
      </c>
      <c r="P99" s="172"/>
      <c r="R99"/>
    </row>
    <row r="100" spans="1:22">
      <c r="C100" s="163"/>
      <c r="E100" s="163"/>
      <c r="P100" s="172"/>
    </row>
    <row r="101" spans="1:22">
      <c r="A101" s="181" t="s">
        <v>160</v>
      </c>
      <c r="C101" s="163"/>
      <c r="E101" s="163"/>
      <c r="P101" s="172"/>
    </row>
    <row r="102" spans="1:22">
      <c r="A102" s="185" t="s">
        <v>104</v>
      </c>
      <c r="C102" s="186">
        <v>117.06750000000001</v>
      </c>
      <c r="E102" s="163">
        <f>E76-E87</f>
        <v>117</v>
      </c>
      <c r="G102" s="213">
        <v>45</v>
      </c>
      <c r="H102" s="272"/>
      <c r="I102" s="172">
        <f>ROUND($G102*C102,0)</f>
        <v>5268</v>
      </c>
      <c r="K102" s="172">
        <f>ROUND($G102*E102,0)</f>
        <v>5265</v>
      </c>
      <c r="M102" s="273">
        <f>M116</f>
        <v>53</v>
      </c>
      <c r="N102" s="272"/>
      <c r="O102" s="172">
        <f>ROUND(M102*$E102,0)</f>
        <v>6201</v>
      </c>
      <c r="P102" s="172"/>
      <c r="T102" s="190">
        <f>M102/G102-1</f>
        <v>0.17777777777777781</v>
      </c>
    </row>
    <row r="103" spans="1:22">
      <c r="A103" s="185" t="s">
        <v>161</v>
      </c>
      <c r="C103" s="186">
        <v>12803.999718045114</v>
      </c>
      <c r="E103" s="163">
        <f>ROUND(E$139*C103/C$139,0)</f>
        <v>13911</v>
      </c>
      <c r="G103" s="213">
        <v>15.16</v>
      </c>
      <c r="H103" s="272"/>
      <c r="I103" s="172">
        <f>ROUND($G103*C103,0)</f>
        <v>194109</v>
      </c>
      <c r="K103" s="172">
        <f>ROUND($G103*E103,0)</f>
        <v>210891</v>
      </c>
      <c r="M103" s="273">
        <f>M117</f>
        <v>17.829999999999998</v>
      </c>
      <c r="N103" s="272"/>
      <c r="O103" s="172">
        <f>ROUND(M103*$E103,0)</f>
        <v>248033</v>
      </c>
      <c r="P103" s="172"/>
      <c r="T103" s="190">
        <f>M103/G103-1</f>
        <v>0.17612137203166212</v>
      </c>
    </row>
    <row r="104" spans="1:22">
      <c r="A104" s="185" t="s">
        <v>162</v>
      </c>
      <c r="C104" s="186">
        <v>16205.6</v>
      </c>
      <c r="E104" s="163">
        <f>ROUND(E$139*C104/C$139,0)</f>
        <v>17607</v>
      </c>
      <c r="G104" s="213">
        <v>12.17</v>
      </c>
      <c r="H104" s="272"/>
      <c r="I104" s="172">
        <f>ROUND($G104*C104,0)</f>
        <v>197222</v>
      </c>
      <c r="K104" s="172">
        <f>ROUND($G104*E104,0)</f>
        <v>214277</v>
      </c>
      <c r="M104" s="273">
        <f>M118</f>
        <v>14.31</v>
      </c>
      <c r="N104" s="272"/>
      <c r="O104" s="172">
        <f>ROUND(M104*$E104,0)</f>
        <v>251956</v>
      </c>
      <c r="P104" s="172"/>
      <c r="T104" s="190">
        <f>M104/G104-1</f>
        <v>0.17584223500410845</v>
      </c>
    </row>
    <row r="105" spans="1:22">
      <c r="A105" s="185" t="s">
        <v>154</v>
      </c>
      <c r="C105" s="186">
        <v>19540.013333333329</v>
      </c>
      <c r="E105" s="163">
        <f>ROUND(E$139*C105/C$139,0)</f>
        <v>21230</v>
      </c>
      <c r="G105" s="213">
        <v>-0.78</v>
      </c>
      <c r="H105" s="272"/>
      <c r="I105" s="172">
        <f>ROUND($G105*C105,0)</f>
        <v>-15241</v>
      </c>
      <c r="K105" s="172">
        <f>ROUND($G105*E105,0)</f>
        <v>-16559</v>
      </c>
      <c r="M105" s="273">
        <f>M119</f>
        <v>-0.92</v>
      </c>
      <c r="N105" s="272"/>
      <c r="O105" s="172">
        <f>ROUND(M105*$E105,0)</f>
        <v>-19532</v>
      </c>
      <c r="P105" s="172"/>
      <c r="S105"/>
      <c r="T105" s="190">
        <f>M105/G105-1</f>
        <v>0.17948717948717952</v>
      </c>
    </row>
    <row r="106" spans="1:22">
      <c r="A106" s="185" t="s">
        <v>149</v>
      </c>
      <c r="C106" s="278">
        <f>SUM(C107:C108)</f>
        <v>12064060</v>
      </c>
      <c r="E106" s="163">
        <f>SUM(E107:E108)</f>
        <v>12170241.560000001</v>
      </c>
      <c r="G106" s="269"/>
      <c r="H106" s="193"/>
      <c r="I106" s="172"/>
      <c r="K106" s="172"/>
      <c r="M106" s="270"/>
      <c r="N106" s="193"/>
      <c r="O106" s="172"/>
      <c r="P106" s="218"/>
    </row>
    <row r="107" spans="1:22">
      <c r="A107" s="185" t="s">
        <v>163</v>
      </c>
      <c r="C107" s="186">
        <v>4995071</v>
      </c>
      <c r="E107" s="163">
        <f>ROUND(E$139*C107/(C$139-C$138),0)</f>
        <v>5442889</v>
      </c>
      <c r="G107" s="269">
        <v>3.1907000000000001</v>
      </c>
      <c r="H107" s="193" t="s">
        <v>108</v>
      </c>
      <c r="I107" s="172">
        <f>ROUND($G107*C107/100,0)</f>
        <v>159378</v>
      </c>
      <c r="K107" s="172">
        <f>ROUND($G107*E107/100,0)</f>
        <v>173666</v>
      </c>
      <c r="M107" s="270">
        <f>M121</f>
        <v>3.7528000000000001</v>
      </c>
      <c r="N107" s="193" t="s">
        <v>108</v>
      </c>
      <c r="O107" s="172">
        <f>ROUND(M107*$E107/100,0)</f>
        <v>204261</v>
      </c>
      <c r="P107" s="218"/>
      <c r="T107" s="190">
        <f>M107/G107-1</f>
        <v>0.17616823894443234</v>
      </c>
      <c r="U107"/>
    </row>
    <row r="108" spans="1:22">
      <c r="A108" s="185" t="s">
        <v>164</v>
      </c>
      <c r="C108" s="186">
        <v>7068989</v>
      </c>
      <c r="E108" s="163">
        <f>E111-E107</f>
        <v>6727352.5600000005</v>
      </c>
      <c r="G108" s="269">
        <v>2.9416000000000002</v>
      </c>
      <c r="H108" s="193" t="s">
        <v>108</v>
      </c>
      <c r="I108" s="172">
        <f>ROUND($G108*C108/100,0)</f>
        <v>207941</v>
      </c>
      <c r="K108" s="172">
        <f>ROUND($G108*E108/100,0)</f>
        <v>197892</v>
      </c>
      <c r="M108" s="270">
        <f>M122</f>
        <v>3.4609999999999999</v>
      </c>
      <c r="N108" s="193" t="s">
        <v>108</v>
      </c>
      <c r="O108" s="172">
        <f>ROUND(M108*$E108/100,0)</f>
        <v>232834</v>
      </c>
      <c r="P108" s="218"/>
      <c r="Q108" s="242"/>
      <c r="T108" s="190">
        <f>M108/G108-1</f>
        <v>0.1765705738373673</v>
      </c>
    </row>
    <row r="109" spans="1:22">
      <c r="A109" s="185" t="s">
        <v>159</v>
      </c>
      <c r="C109" s="191">
        <v>0</v>
      </c>
      <c r="E109" s="163">
        <f>ROUND(C109*E102/C102,0)</f>
        <v>0</v>
      </c>
      <c r="G109" s="213">
        <v>540</v>
      </c>
      <c r="H109" s="272"/>
      <c r="I109" s="172">
        <f>ROUND($G109*C109,0)</f>
        <v>0</v>
      </c>
      <c r="K109" s="172">
        <f>ROUND($G109*E109,0)</f>
        <v>0</v>
      </c>
      <c r="M109" s="273">
        <f>M123</f>
        <v>636</v>
      </c>
      <c r="N109" s="272"/>
      <c r="O109" s="172">
        <f>ROUND(M109*$E109,0)</f>
        <v>0</v>
      </c>
      <c r="P109" s="218"/>
      <c r="T109" s="190">
        <f>M109/G109-1</f>
        <v>0.17777777777777781</v>
      </c>
      <c r="V109"/>
    </row>
    <row r="110" spans="1:22">
      <c r="A110" s="185" t="s">
        <v>132</v>
      </c>
      <c r="C110" s="227">
        <f>C81-C96</f>
        <v>97140</v>
      </c>
      <c r="E110" s="227">
        <v>0</v>
      </c>
      <c r="I110" s="229">
        <f>I81-I96</f>
        <v>7862</v>
      </c>
      <c r="K110" s="229">
        <v>0</v>
      </c>
      <c r="O110" s="229">
        <v>0</v>
      </c>
    </row>
    <row r="111" spans="1:22" ht="16.5" thickBot="1">
      <c r="A111" s="185" t="s">
        <v>134</v>
      </c>
      <c r="C111" s="265">
        <f>SUM(C107:C108,C110)</f>
        <v>12161200</v>
      </c>
      <c r="E111" s="265">
        <f>E82-E97</f>
        <v>12170241.560000001</v>
      </c>
      <c r="G111" s="254"/>
      <c r="I111" s="255">
        <f>SUM(I102:I110)</f>
        <v>756539</v>
      </c>
      <c r="K111" s="255">
        <f>SUM(K102:K110)</f>
        <v>785432</v>
      </c>
      <c r="M111" s="256"/>
      <c r="O111" s="255">
        <f>SUM(O102:O110)</f>
        <v>923753</v>
      </c>
      <c r="Q111" s="171" t="s">
        <v>117</v>
      </c>
      <c r="R111" s="248">
        <f>O111/K111-1</f>
        <v>0.17610817995701722</v>
      </c>
    </row>
    <row r="112" spans="1:22" ht="16.5" thickTop="1">
      <c r="A112" s="185" t="s">
        <v>135</v>
      </c>
      <c r="C112" s="163"/>
      <c r="E112" s="163"/>
      <c r="G112" s="238"/>
      <c r="H112" s="239"/>
      <c r="I112" s="228">
        <f>I83-I98</f>
        <v>39406.517899999999</v>
      </c>
      <c r="K112" s="228">
        <f>I112</f>
        <v>39406.517899999999</v>
      </c>
      <c r="M112" s="180"/>
      <c r="N112" s="239"/>
      <c r="O112" s="228">
        <v>0</v>
      </c>
      <c r="P112" s="172"/>
      <c r="Q112" s="161" t="s">
        <v>138</v>
      </c>
      <c r="R112" s="264">
        <f>(O111+O112)/(K111+K112)-1</f>
        <v>0.11991981454967893</v>
      </c>
    </row>
    <row r="113" spans="1:22">
      <c r="A113" s="185" t="s">
        <v>136</v>
      </c>
      <c r="C113" s="163"/>
      <c r="E113" s="163"/>
      <c r="G113" s="238">
        <f>M113</f>
        <v>3.7600000000000001E-2</v>
      </c>
      <c r="H113" s="258"/>
      <c r="I113" s="228">
        <f>ROUND(SUM(I103:I108,I112)*$G113,0)</f>
        <v>29434</v>
      </c>
      <c r="K113" s="228">
        <f>ROUND(SUM(K103:K108,K112)*$G113,0)</f>
        <v>30816</v>
      </c>
      <c r="M113" s="277">
        <v>3.7600000000000001E-2</v>
      </c>
      <c r="N113" s="258"/>
      <c r="O113" s="228">
        <f>ROUND(SUM(O103:O108,O112)*M113,0)</f>
        <v>34500</v>
      </c>
      <c r="P113" s="172"/>
      <c r="R113"/>
    </row>
    <row r="114" spans="1:22">
      <c r="P114" s="172"/>
    </row>
    <row r="115" spans="1:22">
      <c r="A115" s="181" t="s">
        <v>165</v>
      </c>
      <c r="C115" s="163"/>
      <c r="E115" s="163"/>
      <c r="P115" s="172"/>
      <c r="S115" s="257"/>
      <c r="V115" s="171"/>
    </row>
    <row r="116" spans="1:22">
      <c r="A116" s="185" t="s">
        <v>104</v>
      </c>
      <c r="C116" s="163">
        <f t="shared" ref="C116:C125" si="10">C130+C144+C158</f>
        <v>150898.7963555539</v>
      </c>
      <c r="E116" s="163">
        <f t="shared" ref="E116:E125" si="11">E130+E144+E158</f>
        <v>157795</v>
      </c>
      <c r="G116" s="187">
        <v>45</v>
      </c>
      <c r="H116" s="188"/>
      <c r="I116" s="172">
        <f>ROUND($G116*C116,0)</f>
        <v>6790446</v>
      </c>
      <c r="K116" s="172">
        <f>ROUND($G116*E116,0)</f>
        <v>7100775</v>
      </c>
      <c r="M116" s="189">
        <f>ROUND(G116*(1+R123),0)</f>
        <v>53</v>
      </c>
      <c r="N116" s="188"/>
      <c r="O116" s="172">
        <f>ROUND(M116*$E116,0)</f>
        <v>8363135</v>
      </c>
      <c r="P116" s="172"/>
      <c r="T116" s="190">
        <f>M116/G116-1</f>
        <v>0.17777777777777781</v>
      </c>
      <c r="V116" s="252"/>
    </row>
    <row r="117" spans="1:22">
      <c r="A117" s="185" t="s">
        <v>161</v>
      </c>
      <c r="C117" s="163">
        <f t="shared" si="10"/>
        <v>7057894.4626066536</v>
      </c>
      <c r="E117" s="163">
        <f t="shared" si="11"/>
        <v>7603766</v>
      </c>
      <c r="G117" s="187">
        <v>15.16</v>
      </c>
      <c r="H117" s="188"/>
      <c r="I117" s="172">
        <f>ROUND($G117*C117,0)</f>
        <v>106997680</v>
      </c>
      <c r="K117" s="172">
        <f>ROUND($G117*E117,0)</f>
        <v>115273093</v>
      </c>
      <c r="M117" s="187">
        <f>ROUND(G117*(1+$R$125),2)</f>
        <v>17.829999999999998</v>
      </c>
      <c r="N117" s="188"/>
      <c r="O117" s="172">
        <f>ROUND(M117*$E117,0)</f>
        <v>135575148</v>
      </c>
      <c r="P117" s="172"/>
      <c r="S117" s="224"/>
      <c r="T117" s="190">
        <f>M117/G117-1</f>
        <v>0.17612137203166212</v>
      </c>
      <c r="U117" s="172"/>
    </row>
    <row r="118" spans="1:22">
      <c r="A118" s="185" t="s">
        <v>162</v>
      </c>
      <c r="C118" s="163">
        <f t="shared" si="10"/>
        <v>8488687.854879098</v>
      </c>
      <c r="E118" s="163">
        <f t="shared" si="11"/>
        <v>9144303</v>
      </c>
      <c r="G118" s="187">
        <v>12.17</v>
      </c>
      <c r="H118" s="188"/>
      <c r="I118" s="172">
        <f>ROUND($G118*C118,0)</f>
        <v>103307331</v>
      </c>
      <c r="K118" s="172">
        <f>ROUND($G118*E118,0)</f>
        <v>111286168</v>
      </c>
      <c r="M118" s="187">
        <f>ROUND(G118*(1+$R$125),2)</f>
        <v>14.31</v>
      </c>
      <c r="N118" s="188"/>
      <c r="O118" s="172">
        <f>ROUND(M118*$E118,0)</f>
        <v>130854976</v>
      </c>
      <c r="P118" s="172"/>
      <c r="Q118" s="242"/>
      <c r="R118" s="275"/>
      <c r="T118" s="190">
        <f>M118/G118-1</f>
        <v>0.17584223500410845</v>
      </c>
      <c r="U118" s="172"/>
    </row>
    <row r="119" spans="1:22">
      <c r="A119" s="185" t="s">
        <v>154</v>
      </c>
      <c r="C119" s="163">
        <f t="shared" si="10"/>
        <v>510539.27925581927</v>
      </c>
      <c r="E119" s="163">
        <f t="shared" si="11"/>
        <v>541336</v>
      </c>
      <c r="G119" s="187">
        <v>-0.78</v>
      </c>
      <c r="H119" s="188"/>
      <c r="I119" s="172">
        <f>ROUND($G119*C119,0)</f>
        <v>-398221</v>
      </c>
      <c r="K119" s="172">
        <f>ROUND($G119*E119,0)</f>
        <v>-422242</v>
      </c>
      <c r="M119" s="187">
        <f>ROUND(G119*(1+$R$125),2)</f>
        <v>-0.92</v>
      </c>
      <c r="N119" s="188"/>
      <c r="O119" s="172">
        <f>ROUND(M119*$E119,0)</f>
        <v>-498029</v>
      </c>
      <c r="P119" s="172"/>
      <c r="Q119" s="198" t="s">
        <v>111</v>
      </c>
      <c r="R119" s="199">
        <f>O111+O125+O181+O195</f>
        <v>488659268</v>
      </c>
      <c r="T119" s="190">
        <f>M119/G119-1</f>
        <v>0.17948717948717952</v>
      </c>
      <c r="U119" s="172"/>
      <c r="V119" s="260"/>
    </row>
    <row r="120" spans="1:22">
      <c r="A120" s="185" t="s">
        <v>149</v>
      </c>
      <c r="C120" s="163">
        <f t="shared" si="10"/>
        <v>5446749961.592536</v>
      </c>
      <c r="E120" s="163">
        <f t="shared" si="11"/>
        <v>5890642305.7789135</v>
      </c>
      <c r="G120" s="251"/>
      <c r="H120" s="193"/>
      <c r="I120" s="172"/>
      <c r="K120" s="172"/>
      <c r="M120" s="251"/>
      <c r="N120" s="193"/>
      <c r="O120" s="172"/>
      <c r="P120" s="218"/>
      <c r="Q120" s="202" t="s">
        <v>113</v>
      </c>
      <c r="R120" s="203">
        <f>(RateSpread!O20+RateSpread!O22)*1000</f>
        <v>488659003.55559999</v>
      </c>
      <c r="V120" s="260"/>
    </row>
    <row r="121" spans="1:22">
      <c r="A121" s="185" t="s">
        <v>166</v>
      </c>
      <c r="C121" s="163">
        <f t="shared" si="10"/>
        <v>2431525176.4231091</v>
      </c>
      <c r="E121" s="163">
        <f t="shared" si="11"/>
        <v>2629252324</v>
      </c>
      <c r="G121" s="269">
        <v>3.1907000000000001</v>
      </c>
      <c r="H121" s="193" t="s">
        <v>108</v>
      </c>
      <c r="I121" s="172">
        <f>ROUND($G121*C121/100,0)</f>
        <v>77582674</v>
      </c>
      <c r="K121" s="172">
        <f>ROUND($G121*E121/100,0)</f>
        <v>83891554</v>
      </c>
      <c r="M121" s="269">
        <f>ROUND(G121*(1+$R$125),4)</f>
        <v>3.7528000000000001</v>
      </c>
      <c r="N121" s="193" t="s">
        <v>108</v>
      </c>
      <c r="O121" s="172">
        <f>ROUND(M121*$E121/100,0)</f>
        <v>98670581</v>
      </c>
      <c r="P121" s="218"/>
      <c r="Q121" s="207" t="s">
        <v>115</v>
      </c>
      <c r="R121" s="208">
        <f>R120-R119</f>
        <v>-264.44440001249313</v>
      </c>
      <c r="S121"/>
      <c r="T121" s="190">
        <f>M121/G121-1</f>
        <v>0.17616823894443234</v>
      </c>
      <c r="U121" s="172"/>
      <c r="V121"/>
    </row>
    <row r="122" spans="1:22">
      <c r="A122" s="185" t="s">
        <v>167</v>
      </c>
      <c r="C122" s="163">
        <f t="shared" si="10"/>
        <v>3015224785.1694274</v>
      </c>
      <c r="E122" s="163">
        <f t="shared" si="11"/>
        <v>3261389981.778914</v>
      </c>
      <c r="G122" s="269">
        <v>2.9416000000000002</v>
      </c>
      <c r="H122" s="193" t="s">
        <v>108</v>
      </c>
      <c r="I122" s="172">
        <f>ROUND($G122*C122/100,0)</f>
        <v>88695852</v>
      </c>
      <c r="K122" s="172">
        <f>ROUND($G122*E122/100,0)</f>
        <v>95937048</v>
      </c>
      <c r="M122" s="279">
        <f>ROUND((R120-SUM(O102:O107,O109,O116:O121,O123,O172:O177,O179,O186:O191,O193))/(E108+E122+E178+E192)*100,4)+R628</f>
        <v>3.4609999999999999</v>
      </c>
      <c r="N122" s="193" t="s">
        <v>108</v>
      </c>
      <c r="O122" s="172">
        <f>ROUND(M122*$E122/100,0)</f>
        <v>112876707</v>
      </c>
      <c r="P122" s="218"/>
      <c r="Q122" s="210" t="s">
        <v>117</v>
      </c>
      <c r="R122" s="280">
        <f>R119/(K111+K125+K181+K195)-1</f>
        <v>0.17618482451504813</v>
      </c>
      <c r="T122" s="190">
        <f>M122/G122-1</f>
        <v>0.1765705738373673</v>
      </c>
      <c r="V122"/>
    </row>
    <row r="123" spans="1:22">
      <c r="A123" s="185" t="s">
        <v>159</v>
      </c>
      <c r="C123" s="163">
        <f t="shared" si="10"/>
        <v>0</v>
      </c>
      <c r="E123" s="163">
        <f t="shared" si="11"/>
        <v>0</v>
      </c>
      <c r="G123" s="187">
        <v>540</v>
      </c>
      <c r="H123" s="241"/>
      <c r="I123" s="172">
        <f>ROUND($G123*C123,0)</f>
        <v>0</v>
      </c>
      <c r="K123" s="172">
        <f>ROUND($G123*E123,0)</f>
        <v>0</v>
      </c>
      <c r="M123" s="187">
        <f>M116*12</f>
        <v>636</v>
      </c>
      <c r="N123" s="241"/>
      <c r="O123" s="172">
        <f>ROUND(M123*$E123,0)</f>
        <v>0</v>
      </c>
      <c r="P123" s="218"/>
      <c r="Q123" s="214" t="s">
        <v>119</v>
      </c>
      <c r="R123" s="281">
        <f>R120/(K111+K125+K181+K195)-1</f>
        <v>0.17618418800713642</v>
      </c>
      <c r="T123" s="190">
        <f>M123/G123-1</f>
        <v>0.17777777777777781</v>
      </c>
      <c r="U123"/>
      <c r="V123"/>
    </row>
    <row r="124" spans="1:22">
      <c r="A124" s="185" t="s">
        <v>132</v>
      </c>
      <c r="C124" s="282">
        <f t="shared" si="10"/>
        <v>16322705</v>
      </c>
      <c r="E124" s="282">
        <f t="shared" si="11"/>
        <v>0</v>
      </c>
      <c r="I124" s="228">
        <f>I138+I152+I166</f>
        <v>1689419</v>
      </c>
      <c r="K124" s="229">
        <v>0</v>
      </c>
      <c r="M124" s="161"/>
      <c r="O124" s="229">
        <v>0</v>
      </c>
      <c r="Q124" s="210" t="s">
        <v>123</v>
      </c>
      <c r="R124" s="211">
        <f>M116/G116-1</f>
        <v>0.17777777777777781</v>
      </c>
    </row>
    <row r="125" spans="1:22" ht="16.5" thickBot="1">
      <c r="A125" s="185" t="s">
        <v>134</v>
      </c>
      <c r="C125" s="265">
        <f t="shared" si="10"/>
        <v>5463072666.592536</v>
      </c>
      <c r="E125" s="265">
        <f t="shared" si="11"/>
        <v>5890642305.7789135</v>
      </c>
      <c r="G125" s="254"/>
      <c r="I125" s="255">
        <f>SUM(I116:I124)</f>
        <v>384665181</v>
      </c>
      <c r="K125" s="255">
        <f>SUM(K116:K124)</f>
        <v>413066396</v>
      </c>
      <c r="M125" s="254"/>
      <c r="O125" s="255">
        <f>SUM(O116:O124)</f>
        <v>485842518</v>
      </c>
      <c r="Q125" s="214" t="s">
        <v>168</v>
      </c>
      <c r="R125" s="281">
        <f>(R120-O102-O109-O116-O123-O172-O179-O186-O193)/SUM(K103:K108,K117:K122,K173:K178,K187:K192)-1</f>
        <v>0.17615639265245586</v>
      </c>
    </row>
    <row r="126" spans="1:22" ht="16.5" thickTop="1">
      <c r="A126" s="185" t="s">
        <v>135</v>
      </c>
      <c r="C126" s="163"/>
      <c r="E126" s="163"/>
      <c r="G126" s="238"/>
      <c r="H126" s="239"/>
      <c r="I126" s="228">
        <f>MPA!K82</f>
        <v>18544517.8191</v>
      </c>
      <c r="K126" s="228">
        <f>I126</f>
        <v>18544517.8191</v>
      </c>
      <c r="M126" s="180"/>
      <c r="N126" s="239"/>
      <c r="O126" s="228">
        <v>0</v>
      </c>
      <c r="P126" s="172"/>
      <c r="Q126" s="283" t="s">
        <v>138</v>
      </c>
      <c r="R126" s="284">
        <f>(O125+O126)/(K125+K126)-1</f>
        <v>0.12564928838576583</v>
      </c>
    </row>
    <row r="127" spans="1:22">
      <c r="A127" s="185" t="s">
        <v>136</v>
      </c>
      <c r="C127" s="163"/>
      <c r="E127" s="163"/>
      <c r="G127" s="238">
        <f>M127</f>
        <v>3.7600000000000001E-2</v>
      </c>
      <c r="H127" s="239"/>
      <c r="I127" s="228">
        <f>ROUND(SUM(I117:I122,I126)*$G127,0)</f>
        <v>14841842</v>
      </c>
      <c r="K127" s="228">
        <f>ROUND(SUM(K117:K122,K126)*$G127,0)</f>
        <v>15961581</v>
      </c>
      <c r="M127" s="238">
        <v>3.7600000000000001E-2</v>
      </c>
      <c r="N127" s="239"/>
      <c r="O127" s="228">
        <f>ROUND(SUM(O117:O122,O126)*M127,0)</f>
        <v>17953225</v>
      </c>
      <c r="P127" s="172"/>
    </row>
    <row r="128" spans="1:22">
      <c r="C128" s="163"/>
      <c r="E128" s="163"/>
      <c r="P128" s="172"/>
    </row>
    <row r="129" spans="1:22">
      <c r="A129" s="181" t="s">
        <v>169</v>
      </c>
      <c r="C129" s="163"/>
      <c r="E129" s="163"/>
      <c r="P129" s="172"/>
    </row>
    <row r="130" spans="1:22">
      <c r="A130" s="185" t="s">
        <v>104</v>
      </c>
      <c r="C130" s="186">
        <v>136081.94469629452</v>
      </c>
      <c r="E130" s="163">
        <v>143779</v>
      </c>
      <c r="G130" s="213">
        <v>45</v>
      </c>
      <c r="H130" s="272"/>
      <c r="I130" s="172">
        <f>ROUND($G130*C130,0)</f>
        <v>6123688</v>
      </c>
      <c r="K130" s="172">
        <f>ROUND($G130*E130,0)</f>
        <v>6470055</v>
      </c>
      <c r="M130" s="273">
        <f>M116</f>
        <v>53</v>
      </c>
      <c r="N130" s="272"/>
      <c r="O130" s="172">
        <f>ROUND(M130*$E130,0)</f>
        <v>7620287</v>
      </c>
      <c r="P130" s="172"/>
      <c r="T130" s="190">
        <f>M130/G130-1</f>
        <v>0.17777777777777781</v>
      </c>
    </row>
    <row r="131" spans="1:22">
      <c r="A131" s="185" t="s">
        <v>161</v>
      </c>
      <c r="C131" s="186">
        <v>6064923.1779749859</v>
      </c>
      <c r="E131" s="163">
        <f>ROUND(E$139*C131/C$139,0)</f>
        <v>6589408</v>
      </c>
      <c r="G131" s="213">
        <v>15.16</v>
      </c>
      <c r="H131" s="272"/>
      <c r="I131" s="172">
        <f>ROUND($G131*C131,0)</f>
        <v>91944235</v>
      </c>
      <c r="K131" s="172">
        <f>ROUND($G131*E131,0)</f>
        <v>99895425</v>
      </c>
      <c r="M131" s="273">
        <f>M117</f>
        <v>17.829999999999998</v>
      </c>
      <c r="N131" s="272"/>
      <c r="O131" s="172">
        <f>ROUND(M131*$E131,0)</f>
        <v>117489145</v>
      </c>
      <c r="P131" s="172"/>
      <c r="T131" s="190">
        <f>M131/G131-1</f>
        <v>0.17612137203166212</v>
      </c>
    </row>
    <row r="132" spans="1:22">
      <c r="A132" s="185" t="s">
        <v>162</v>
      </c>
      <c r="C132" s="186">
        <v>7280298.1901584938</v>
      </c>
      <c r="E132" s="163">
        <f>ROUND(E$139*C132/C$139,0)</f>
        <v>7909887</v>
      </c>
      <c r="G132" s="213">
        <v>12.17</v>
      </c>
      <c r="H132" s="272"/>
      <c r="I132" s="172">
        <f>ROUND($G132*C132,0)</f>
        <v>88601229</v>
      </c>
      <c r="K132" s="172">
        <f>ROUND($G132*E132,0)</f>
        <v>96263325</v>
      </c>
      <c r="M132" s="273">
        <f>M118</f>
        <v>14.31</v>
      </c>
      <c r="N132" s="272"/>
      <c r="O132" s="172">
        <f>ROUND(M132*$E132,0)</f>
        <v>113190483</v>
      </c>
      <c r="P132" s="172"/>
      <c r="T132" s="190">
        <f>M132/G132-1</f>
        <v>0.17584223500410845</v>
      </c>
    </row>
    <row r="133" spans="1:22">
      <c r="A133" s="185" t="s">
        <v>154</v>
      </c>
      <c r="C133" s="186">
        <v>304782.3101126863</v>
      </c>
      <c r="E133" s="163">
        <f>ROUND(E$139*C133/C$139,0)</f>
        <v>331139</v>
      </c>
      <c r="G133" s="213">
        <v>-0.78</v>
      </c>
      <c r="H133" s="272"/>
      <c r="I133" s="172">
        <f>ROUND($G133*C133,0)</f>
        <v>-237730</v>
      </c>
      <c r="K133" s="172">
        <f>ROUND($G133*E133,0)</f>
        <v>-258288</v>
      </c>
      <c r="M133" s="273">
        <f>M119</f>
        <v>-0.92</v>
      </c>
      <c r="N133" s="272"/>
      <c r="O133" s="172">
        <f>ROUND(M133*$E133,0)</f>
        <v>-304648</v>
      </c>
      <c r="P133" s="172"/>
      <c r="S133"/>
      <c r="T133" s="190">
        <f>M133/G133-1</f>
        <v>0.17948717948717952</v>
      </c>
    </row>
    <row r="134" spans="1:22">
      <c r="A134" s="185" t="s">
        <v>149</v>
      </c>
      <c r="C134" s="278">
        <f>SUM(C135:C136)</f>
        <v>4758324668.592536</v>
      </c>
      <c r="E134" s="163">
        <f>SUM(E135:E136)</f>
        <v>5184917925</v>
      </c>
      <c r="G134" s="269"/>
      <c r="H134" s="193"/>
      <c r="I134" s="172"/>
      <c r="K134" s="172"/>
      <c r="M134" s="270"/>
      <c r="N134" s="193"/>
      <c r="O134" s="172"/>
      <c r="P134" s="218"/>
    </row>
    <row r="135" spans="1:22">
      <c r="A135" s="185" t="s">
        <v>163</v>
      </c>
      <c r="C135" s="186">
        <v>2117454826.0779479</v>
      </c>
      <c r="E135" s="163">
        <f>ROUND(E$139*C135/(C$139-C$138),0)</f>
        <v>2307288856</v>
      </c>
      <c r="G135" s="269">
        <v>3.1907000000000001</v>
      </c>
      <c r="H135" s="193" t="s">
        <v>108</v>
      </c>
      <c r="I135" s="172">
        <f>ROUND($G135*C135/100,0)</f>
        <v>67561631</v>
      </c>
      <c r="K135" s="172">
        <f>ROUND($G135*E135/100,0)</f>
        <v>73618666</v>
      </c>
      <c r="M135" s="270">
        <f>M121</f>
        <v>3.7528000000000001</v>
      </c>
      <c r="N135" s="193" t="s">
        <v>108</v>
      </c>
      <c r="O135" s="172">
        <f>ROUND(M135*$E135/100,0)</f>
        <v>86587936</v>
      </c>
      <c r="P135" s="218"/>
      <c r="T135" s="190">
        <f>M135/G135-1</f>
        <v>0.17616823894443234</v>
      </c>
      <c r="U135"/>
    </row>
    <row r="136" spans="1:22">
      <c r="A136" s="185" t="s">
        <v>164</v>
      </c>
      <c r="C136" s="186">
        <v>2640869842.5145884</v>
      </c>
      <c r="E136" s="163">
        <f>E139-E135</f>
        <v>2877629069</v>
      </c>
      <c r="G136" s="269">
        <v>2.9416000000000002</v>
      </c>
      <c r="H136" s="193" t="s">
        <v>108</v>
      </c>
      <c r="I136" s="172">
        <f>ROUND($G136*C136/100,0)</f>
        <v>77683827</v>
      </c>
      <c r="K136" s="172">
        <f>ROUND($G136*E136/100,0)</f>
        <v>84648337</v>
      </c>
      <c r="M136" s="270">
        <f>M122</f>
        <v>3.4609999999999999</v>
      </c>
      <c r="N136" s="193" t="s">
        <v>108</v>
      </c>
      <c r="O136" s="172">
        <f>ROUND(M136*$E136/100,0)</f>
        <v>99594742</v>
      </c>
      <c r="P136" s="218"/>
      <c r="Q136" s="242"/>
      <c r="T136" s="190">
        <f>M136/G136-1</f>
        <v>0.1765705738373673</v>
      </c>
    </row>
    <row r="137" spans="1:22">
      <c r="A137" s="185" t="s">
        <v>159</v>
      </c>
      <c r="C137" s="191">
        <v>0</v>
      </c>
      <c r="E137" s="163">
        <f>ROUND(C137*E130/C130,0)</f>
        <v>0</v>
      </c>
      <c r="G137" s="213">
        <v>540</v>
      </c>
      <c r="H137" s="272"/>
      <c r="I137" s="172">
        <f>ROUND($G137*C137,0)</f>
        <v>0</v>
      </c>
      <c r="K137" s="172">
        <f>ROUND($G137*E137,0)</f>
        <v>0</v>
      </c>
      <c r="M137" s="273">
        <f>M123</f>
        <v>636</v>
      </c>
      <c r="N137" s="272"/>
      <c r="O137" s="172">
        <f>ROUND(M137*$E137,0)</f>
        <v>0</v>
      </c>
      <c r="P137" s="218"/>
      <c r="T137" s="190">
        <f>M137/G137-1</f>
        <v>0.17777777777777781</v>
      </c>
      <c r="V137"/>
    </row>
    <row r="138" spans="1:22">
      <c r="A138" s="185" t="s">
        <v>132</v>
      </c>
      <c r="C138" s="227">
        <v>13898923</v>
      </c>
      <c r="E138" s="227">
        <v>0</v>
      </c>
      <c r="I138" s="229">
        <v>1577620</v>
      </c>
      <c r="K138" s="229">
        <v>0</v>
      </c>
      <c r="O138" s="229">
        <v>0</v>
      </c>
    </row>
    <row r="139" spans="1:22" ht="16.5" thickBot="1">
      <c r="A139" s="185" t="s">
        <v>134</v>
      </c>
      <c r="C139" s="265">
        <f>SUM(C135:C136,C138)</f>
        <v>4772223591.592536</v>
      </c>
      <c r="E139" s="265">
        <v>5184917925</v>
      </c>
      <c r="G139" s="254"/>
      <c r="I139" s="255">
        <f>SUM(I130:I138)</f>
        <v>333254500</v>
      </c>
      <c r="K139" s="255">
        <f>SUM(K130:K138)</f>
        <v>360637520</v>
      </c>
      <c r="M139" s="256"/>
      <c r="O139" s="255">
        <f>SUM(O130:O138)</f>
        <v>424177945</v>
      </c>
      <c r="Q139" s="171" t="s">
        <v>117</v>
      </c>
      <c r="R139" s="248">
        <f>O139/K139-1</f>
        <v>0.1761891691136297</v>
      </c>
    </row>
    <row r="140" spans="1:22" ht="16.5" thickTop="1">
      <c r="A140" s="185" t="s">
        <v>135</v>
      </c>
      <c r="C140" s="163"/>
      <c r="E140" s="163"/>
      <c r="G140" s="238"/>
      <c r="H140" s="239"/>
      <c r="I140" s="228">
        <f>ROUND($I$126*I139/$I$125,0)</f>
        <v>16066034</v>
      </c>
      <c r="K140" s="228">
        <f>I140</f>
        <v>16066034</v>
      </c>
      <c r="M140" s="180"/>
      <c r="N140" s="239"/>
      <c r="O140" s="228">
        <v>0</v>
      </c>
      <c r="P140" s="172"/>
      <c r="Q140" s="161" t="s">
        <v>138</v>
      </c>
      <c r="R140" s="264">
        <f>(O139+O140)/(K139+K140)-1</f>
        <v>0.12602586435911345</v>
      </c>
    </row>
    <row r="141" spans="1:22">
      <c r="A141" s="185" t="s">
        <v>136</v>
      </c>
      <c r="C141" s="163"/>
      <c r="E141" s="163"/>
      <c r="G141" s="238">
        <f>M141</f>
        <v>3.7600000000000001E-2</v>
      </c>
      <c r="H141" s="258"/>
      <c r="I141" s="228">
        <f>ROUND(SUM(I131:I136,I140)*$G141,0)</f>
        <v>12844883</v>
      </c>
      <c r="K141" s="228">
        <f>ROUND(SUM(K131:K136,K140)*$G141,0)</f>
        <v>13920780</v>
      </c>
      <c r="M141" s="259">
        <f>M127</f>
        <v>3.7600000000000001E-2</v>
      </c>
      <c r="N141" s="258"/>
      <c r="O141" s="228">
        <f>ROUND(SUM(O131:O136,O140)*M141,0)</f>
        <v>15662568</v>
      </c>
      <c r="P141" s="172"/>
      <c r="R141"/>
    </row>
    <row r="142" spans="1:22">
      <c r="P142" s="172"/>
    </row>
    <row r="143" spans="1:22">
      <c r="A143" s="181" t="s">
        <v>170</v>
      </c>
      <c r="C143" s="163"/>
      <c r="E143" s="163"/>
      <c r="P143" s="172"/>
    </row>
    <row r="144" spans="1:22">
      <c r="A144" s="185" t="s">
        <v>104</v>
      </c>
      <c r="C144" s="186">
        <v>14768.851511111212</v>
      </c>
      <c r="E144" s="163">
        <v>13968</v>
      </c>
      <c r="G144" s="213">
        <v>45</v>
      </c>
      <c r="H144" s="272"/>
      <c r="I144" s="172">
        <f>ROUND($G144*C144,0)</f>
        <v>664598</v>
      </c>
      <c r="K144" s="172">
        <f>ROUND($G144*E144,0)</f>
        <v>628560</v>
      </c>
      <c r="M144" s="273">
        <f>M116</f>
        <v>53</v>
      </c>
      <c r="N144" s="272"/>
      <c r="O144" s="172">
        <f>ROUND(M144*$E144,0)</f>
        <v>740304</v>
      </c>
      <c r="P144" s="172"/>
      <c r="T144" s="190">
        <f>M144/G144-1</f>
        <v>0.17777777777777781</v>
      </c>
    </row>
    <row r="145" spans="1:22">
      <c r="A145" s="185" t="s">
        <v>161</v>
      </c>
      <c r="C145" s="186">
        <v>990022.24969276774</v>
      </c>
      <c r="E145" s="163">
        <f>ROUND(C145/C$153*E$153,0)</f>
        <v>1011385</v>
      </c>
      <c r="G145" s="213">
        <v>15.16</v>
      </c>
      <c r="H145" s="272"/>
      <c r="I145" s="172">
        <f>ROUND($G145*C145,0)</f>
        <v>15008737</v>
      </c>
      <c r="K145" s="172">
        <f>ROUND($G145*E145,0)</f>
        <v>15332597</v>
      </c>
      <c r="M145" s="273">
        <f>M117</f>
        <v>17.829999999999998</v>
      </c>
      <c r="N145" s="272"/>
      <c r="O145" s="172">
        <f>ROUND(M145*$E145,0)</f>
        <v>18032995</v>
      </c>
      <c r="P145" s="172"/>
      <c r="T145" s="190">
        <f>M145/G145-1</f>
        <v>0.17612137203166212</v>
      </c>
    </row>
    <row r="146" spans="1:22">
      <c r="A146" s="185" t="s">
        <v>162</v>
      </c>
      <c r="C146" s="186">
        <v>1204852.6989157663</v>
      </c>
      <c r="E146" s="163">
        <f>ROUND(C146/C$153*E$153,0)</f>
        <v>1230851</v>
      </c>
      <c r="G146" s="213">
        <v>12.17</v>
      </c>
      <c r="H146" s="272"/>
      <c r="I146" s="172">
        <f>ROUND($G146*C146,0)</f>
        <v>14663057</v>
      </c>
      <c r="K146" s="172">
        <f>ROUND($G146*E146,0)</f>
        <v>14979457</v>
      </c>
      <c r="M146" s="273">
        <f>M118</f>
        <v>14.31</v>
      </c>
      <c r="N146" s="272"/>
      <c r="O146" s="172">
        <f>ROUND(M146*$E146,0)</f>
        <v>17613478</v>
      </c>
      <c r="P146" s="172"/>
      <c r="T146" s="190">
        <f>M146/G146-1</f>
        <v>0.17584223500410845</v>
      </c>
    </row>
    <row r="147" spans="1:22">
      <c r="A147" s="185" t="s">
        <v>154</v>
      </c>
      <c r="C147" s="186">
        <v>205756.969143133</v>
      </c>
      <c r="E147" s="163">
        <f>ROUND(C147/C$153*E$153,0)</f>
        <v>210197</v>
      </c>
      <c r="G147" s="213">
        <v>-0.78</v>
      </c>
      <c r="H147" s="272"/>
      <c r="I147" s="172">
        <f>ROUND($G147*C147,0)</f>
        <v>-160490</v>
      </c>
      <c r="K147" s="172">
        <f>ROUND($G147*E147,0)</f>
        <v>-163954</v>
      </c>
      <c r="M147" s="273">
        <f>M119</f>
        <v>-0.92</v>
      </c>
      <c r="N147" s="272"/>
      <c r="O147" s="172">
        <f>ROUND(M147*$E147,0)</f>
        <v>-193381</v>
      </c>
      <c r="P147" s="218"/>
      <c r="S147"/>
      <c r="T147" s="190">
        <f>M147/G147-1</f>
        <v>0.17948717948717952</v>
      </c>
    </row>
    <row r="148" spans="1:22">
      <c r="A148" s="185" t="s">
        <v>149</v>
      </c>
      <c r="C148" s="186">
        <f>SUM(C149:C150)</f>
        <v>686093213</v>
      </c>
      <c r="E148" s="163">
        <f>E153</f>
        <v>703378899.54225004</v>
      </c>
      <c r="G148" s="269"/>
      <c r="H148" s="193"/>
      <c r="I148" s="172"/>
      <c r="K148" s="172"/>
      <c r="M148" s="270"/>
      <c r="N148" s="193"/>
      <c r="O148" s="172"/>
      <c r="P148" s="218"/>
    </row>
    <row r="149" spans="1:22">
      <c r="A149" s="185" t="s">
        <v>163</v>
      </c>
      <c r="C149" s="186">
        <v>313058037.05415273</v>
      </c>
      <c r="E149" s="163">
        <f>ROUND(C149/(C$153-C$152)*E$153,0)</f>
        <v>320945337</v>
      </c>
      <c r="G149" s="269">
        <v>3.1907000000000001</v>
      </c>
      <c r="H149" s="193" t="s">
        <v>108</v>
      </c>
      <c r="I149" s="172">
        <f>ROUND($G149*C149/100,0)</f>
        <v>9988743</v>
      </c>
      <c r="K149" s="172">
        <f>ROUND($G149*E149/100,0)</f>
        <v>10240403</v>
      </c>
      <c r="M149" s="270">
        <f>M121</f>
        <v>3.7528000000000001</v>
      </c>
      <c r="N149" s="193" t="s">
        <v>108</v>
      </c>
      <c r="O149" s="172">
        <f>ROUND(M149*$E149/100,0)</f>
        <v>12044437</v>
      </c>
      <c r="P149" s="218"/>
      <c r="R149" s="275"/>
      <c r="T149" s="190">
        <f>M149/G149-1</f>
        <v>0.17616823894443234</v>
      </c>
      <c r="U149"/>
    </row>
    <row r="150" spans="1:22">
      <c r="A150" s="185" t="s">
        <v>164</v>
      </c>
      <c r="C150" s="186">
        <v>373035175.94584727</v>
      </c>
      <c r="E150" s="163">
        <f>E148-E149</f>
        <v>382433562.54225004</v>
      </c>
      <c r="G150" s="269">
        <v>2.9416000000000002</v>
      </c>
      <c r="H150" s="193" t="s">
        <v>108</v>
      </c>
      <c r="I150" s="172">
        <f>ROUND($G150*C150/100,0)</f>
        <v>10973203</v>
      </c>
      <c r="K150" s="172">
        <f>ROUND($G150*E150/100,0)</f>
        <v>11249666</v>
      </c>
      <c r="M150" s="270">
        <f>M122</f>
        <v>3.4609999999999999</v>
      </c>
      <c r="N150" s="193" t="s">
        <v>108</v>
      </c>
      <c r="O150" s="172">
        <f>ROUND(M150*$E150/100,0)</f>
        <v>13236026</v>
      </c>
      <c r="P150" s="218"/>
      <c r="R150" s="275"/>
      <c r="T150" s="190">
        <f>M150/G150-1</f>
        <v>0.1765705738373673</v>
      </c>
    </row>
    <row r="151" spans="1:22">
      <c r="A151" s="185" t="s">
        <v>159</v>
      </c>
      <c r="C151" s="191">
        <v>0</v>
      </c>
      <c r="E151" s="163">
        <f>ROUND(C151*E144/C144,0)</f>
        <v>0</v>
      </c>
      <c r="G151" s="213">
        <v>540</v>
      </c>
      <c r="H151" s="272"/>
      <c r="I151" s="172">
        <f>ROUND($G151*C151,0)</f>
        <v>0</v>
      </c>
      <c r="K151" s="172">
        <f>ROUND($G151*E151,0)</f>
        <v>0</v>
      </c>
      <c r="M151" s="273">
        <f>M137</f>
        <v>636</v>
      </c>
      <c r="N151" s="272"/>
      <c r="O151" s="172">
        <f>ROUND(M151*$E151,0)</f>
        <v>0</v>
      </c>
      <c r="P151" s="218"/>
      <c r="T151" s="190">
        <f>M151/G151-1</f>
        <v>0.17777777777777781</v>
      </c>
      <c r="V151"/>
    </row>
    <row r="152" spans="1:22">
      <c r="A152" s="185" t="s">
        <v>132</v>
      </c>
      <c r="C152" s="227">
        <v>2429040</v>
      </c>
      <c r="E152" s="282">
        <v>0</v>
      </c>
      <c r="I152" s="229">
        <v>111261</v>
      </c>
      <c r="K152" s="229">
        <v>0</v>
      </c>
      <c r="O152" s="229">
        <v>0</v>
      </c>
    </row>
    <row r="153" spans="1:22" ht="16.5" thickBot="1">
      <c r="A153" s="185" t="s">
        <v>134</v>
      </c>
      <c r="C153" s="265">
        <f>C148+C152</f>
        <v>688522253</v>
      </c>
      <c r="E153" s="265">
        <v>703378899.54225004</v>
      </c>
      <c r="G153" s="254"/>
      <c r="I153" s="255">
        <f>SUM(I144:I152)</f>
        <v>51249109</v>
      </c>
      <c r="K153" s="255">
        <f>SUM(K144:K152)</f>
        <v>52266729</v>
      </c>
      <c r="M153" s="256"/>
      <c r="O153" s="255">
        <f>SUM(O144:O152)</f>
        <v>61473859</v>
      </c>
      <c r="Q153" s="171" t="s">
        <v>117</v>
      </c>
      <c r="R153" s="248">
        <f>O153/K153-1</f>
        <v>0.17615661389485471</v>
      </c>
    </row>
    <row r="154" spans="1:22" ht="16.5" thickTop="1">
      <c r="A154" s="185" t="s">
        <v>135</v>
      </c>
      <c r="C154" s="163"/>
      <c r="E154" s="163"/>
      <c r="G154" s="238"/>
      <c r="H154" s="239"/>
      <c r="I154" s="228">
        <f>ROUND($I$126*I153/$I$125,0)</f>
        <v>2470694</v>
      </c>
      <c r="K154" s="228">
        <f>I154</f>
        <v>2470694</v>
      </c>
      <c r="M154" s="180"/>
      <c r="N154" s="239"/>
      <c r="O154" s="228">
        <v>0</v>
      </c>
      <c r="P154" s="172"/>
      <c r="Q154" s="161" t="s">
        <v>138</v>
      </c>
      <c r="R154" s="264">
        <f>(O153+O154)/(K153+K154)-1</f>
        <v>0.12306819778490485</v>
      </c>
    </row>
    <row r="155" spans="1:22">
      <c r="A155" s="185" t="s">
        <v>136</v>
      </c>
      <c r="C155" s="163"/>
      <c r="E155" s="163"/>
      <c r="G155" s="238">
        <f>M155</f>
        <v>3.7600000000000001E-2</v>
      </c>
      <c r="H155" s="258"/>
      <c r="I155" s="228">
        <f>ROUND(SUM(I145:I150,I154)*$G155,0)</f>
        <v>1990692</v>
      </c>
      <c r="K155" s="228">
        <f>ROUND(SUM(K145:K150,K154)*$G155,0)</f>
        <v>2034493</v>
      </c>
      <c r="M155" s="259">
        <f>M127</f>
        <v>3.7600000000000001E-2</v>
      </c>
      <c r="N155" s="258"/>
      <c r="O155" s="228">
        <f>ROUND(SUM(O145:O150,O154)*M155,0)</f>
        <v>2283582</v>
      </c>
      <c r="P155" s="172"/>
      <c r="R155"/>
    </row>
    <row r="156" spans="1:22">
      <c r="C156" s="163"/>
      <c r="E156" s="163"/>
      <c r="P156" s="172"/>
    </row>
    <row r="157" spans="1:22">
      <c r="A157" s="181" t="s">
        <v>171</v>
      </c>
      <c r="C157" s="163"/>
      <c r="E157" s="163"/>
      <c r="P157" s="172"/>
    </row>
    <row r="158" spans="1:22">
      <c r="A158" s="185" t="s">
        <v>104</v>
      </c>
      <c r="C158" s="186">
        <v>48.000148148148099</v>
      </c>
      <c r="E158" s="163">
        <v>48</v>
      </c>
      <c r="G158" s="213">
        <v>45</v>
      </c>
      <c r="H158" s="272"/>
      <c r="I158" s="172">
        <f>ROUND($G158*C158,0)</f>
        <v>2160</v>
      </c>
      <c r="K158" s="172">
        <f>ROUND($G158*E158,0)</f>
        <v>2160</v>
      </c>
      <c r="M158" s="273">
        <f>M116</f>
        <v>53</v>
      </c>
      <c r="N158" s="272"/>
      <c r="O158" s="172">
        <f>ROUND(M158*$E158,0)</f>
        <v>2544</v>
      </c>
      <c r="P158" s="172"/>
      <c r="T158" s="190">
        <f>M158/G158-1</f>
        <v>0.17777777777777781</v>
      </c>
    </row>
    <row r="159" spans="1:22">
      <c r="A159" s="185" t="s">
        <v>161</v>
      </c>
      <c r="C159" s="186">
        <v>2949.0349388997402</v>
      </c>
      <c r="E159" s="163">
        <f>ROUND(C159/C$167*E$167,0)</f>
        <v>2973</v>
      </c>
      <c r="G159" s="213">
        <v>15.16</v>
      </c>
      <c r="H159" s="272"/>
      <c r="I159" s="172">
        <f>ROUND($G159*C159,0)</f>
        <v>44707</v>
      </c>
      <c r="K159" s="172">
        <f>ROUND($G159*E159,0)</f>
        <v>45071</v>
      </c>
      <c r="M159" s="273">
        <f>M117</f>
        <v>17.829999999999998</v>
      </c>
      <c r="N159" s="272"/>
      <c r="O159" s="172">
        <f>ROUND(M159*$E159,0)</f>
        <v>53009</v>
      </c>
      <c r="P159" s="172"/>
      <c r="T159" s="190">
        <f>M159/G159-1</f>
        <v>0.17612137203166212</v>
      </c>
    </row>
    <row r="160" spans="1:22">
      <c r="A160" s="185" t="s">
        <v>162</v>
      </c>
      <c r="C160" s="186">
        <v>3536.9658048373599</v>
      </c>
      <c r="E160" s="163">
        <f>ROUND(C160/C$167*E$167,0)</f>
        <v>3565</v>
      </c>
      <c r="G160" s="213">
        <v>12.17</v>
      </c>
      <c r="H160" s="272"/>
      <c r="I160" s="172">
        <f>ROUND($G160*C160,0)</f>
        <v>43045</v>
      </c>
      <c r="K160" s="172">
        <f>ROUND($G160*E160,0)</f>
        <v>43386</v>
      </c>
      <c r="M160" s="273">
        <f>M118</f>
        <v>14.31</v>
      </c>
      <c r="N160" s="272"/>
      <c r="O160" s="172">
        <f>ROUND(M160*$E160,0)</f>
        <v>51015</v>
      </c>
      <c r="P160" s="172"/>
      <c r="T160" s="190">
        <f>M160/G160-1</f>
        <v>0.17584223500410845</v>
      </c>
    </row>
    <row r="161" spans="1:22">
      <c r="A161" s="185" t="s">
        <v>154</v>
      </c>
      <c r="C161" s="186">
        <v>0</v>
      </c>
      <c r="E161" s="163">
        <f>ROUND(C161/C$167*E$167,0)</f>
        <v>0</v>
      </c>
      <c r="G161" s="213">
        <v>-0.78</v>
      </c>
      <c r="H161" s="272"/>
      <c r="I161" s="172">
        <f>ROUND($G161*C161,0)</f>
        <v>0</v>
      </c>
      <c r="K161" s="172">
        <f>ROUND($G161*E161,0)</f>
        <v>0</v>
      </c>
      <c r="M161" s="273">
        <f>M119</f>
        <v>-0.92</v>
      </c>
      <c r="N161" s="272"/>
      <c r="O161" s="172">
        <f>ROUND(M161*$E161,0)</f>
        <v>0</v>
      </c>
      <c r="P161" s="218"/>
      <c r="S161"/>
      <c r="T161" s="190">
        <f>M161/G161-1</f>
        <v>0.17948717948717952</v>
      </c>
    </row>
    <row r="162" spans="1:22">
      <c r="A162" s="185" t="s">
        <v>149</v>
      </c>
      <c r="C162" s="186">
        <f>SUM(C163:C164)</f>
        <v>2332080</v>
      </c>
      <c r="E162" s="163">
        <f>E167</f>
        <v>2345481.2366637802</v>
      </c>
      <c r="G162" s="269"/>
      <c r="H162" s="193"/>
      <c r="I162" s="172"/>
      <c r="K162" s="172"/>
      <c r="M162" s="270"/>
      <c r="N162" s="193"/>
      <c r="O162" s="172"/>
      <c r="P162" s="218"/>
    </row>
    <row r="163" spans="1:22">
      <c r="A163" s="185" t="s">
        <v>163</v>
      </c>
      <c r="C163" s="186">
        <v>1012313.2910085</v>
      </c>
      <c r="E163" s="163">
        <f>ROUND(C163/(C$167-C$166)*E$167,0)</f>
        <v>1018131</v>
      </c>
      <c r="G163" s="269">
        <v>3.1907000000000001</v>
      </c>
      <c r="H163" s="193" t="s">
        <v>108</v>
      </c>
      <c r="I163" s="172">
        <f>ROUND($G163*C163/100,0)</f>
        <v>32300</v>
      </c>
      <c r="K163" s="172">
        <f>ROUND($G163*E163/100,0)</f>
        <v>32486</v>
      </c>
      <c r="M163" s="270">
        <f>M121</f>
        <v>3.7528000000000001</v>
      </c>
      <c r="N163" s="193" t="s">
        <v>108</v>
      </c>
      <c r="O163" s="172">
        <f>ROUND(M163*$E163/100,0)</f>
        <v>38208</v>
      </c>
      <c r="P163" s="218"/>
      <c r="R163" s="275"/>
      <c r="T163" s="190">
        <f>M163/G163-1</f>
        <v>0.17616823894443234</v>
      </c>
      <c r="U163"/>
    </row>
    <row r="164" spans="1:22">
      <c r="A164" s="185" t="s">
        <v>164</v>
      </c>
      <c r="C164" s="186">
        <v>1319766.7089915001</v>
      </c>
      <c r="E164" s="163">
        <f>E162-E163</f>
        <v>1327350.2366637802</v>
      </c>
      <c r="G164" s="269">
        <v>2.9416000000000002</v>
      </c>
      <c r="H164" s="193" t="s">
        <v>108</v>
      </c>
      <c r="I164" s="172">
        <f>ROUND($G164*C164/100,0)</f>
        <v>38822</v>
      </c>
      <c r="K164" s="172">
        <f>ROUND($G164*E164/100,0)</f>
        <v>39045</v>
      </c>
      <c r="M164" s="270">
        <f>M122</f>
        <v>3.4609999999999999</v>
      </c>
      <c r="N164" s="193" t="s">
        <v>108</v>
      </c>
      <c r="O164" s="172">
        <f>ROUND(M164*$E164/100,0)</f>
        <v>45940</v>
      </c>
      <c r="P164" s="218"/>
      <c r="R164" s="275"/>
      <c r="S164" s="257"/>
      <c r="T164" s="190">
        <f>M164/G164-1</f>
        <v>0.1765705738373673</v>
      </c>
    </row>
    <row r="165" spans="1:22">
      <c r="A165" s="185" t="s">
        <v>159</v>
      </c>
      <c r="C165" s="191">
        <v>0</v>
      </c>
      <c r="E165" s="163">
        <f>ROUND(C165*E158/C158,0)</f>
        <v>0</v>
      </c>
      <c r="G165" s="213">
        <v>540</v>
      </c>
      <c r="H165" s="272"/>
      <c r="I165" s="172">
        <f>ROUND($G165*C165,0)</f>
        <v>0</v>
      </c>
      <c r="K165" s="172">
        <f>ROUND($G165*E165,0)</f>
        <v>0</v>
      </c>
      <c r="M165" s="273">
        <f>M137</f>
        <v>636</v>
      </c>
      <c r="N165" s="272"/>
      <c r="O165" s="172">
        <f>ROUND(M165*$E165,0)</f>
        <v>0</v>
      </c>
      <c r="P165" s="218"/>
      <c r="S165" s="257"/>
      <c r="T165" s="190">
        <f>M165/G165-1</f>
        <v>0.17777777777777781</v>
      </c>
      <c r="V165"/>
    </row>
    <row r="166" spans="1:22">
      <c r="A166" s="185" t="s">
        <v>132</v>
      </c>
      <c r="C166" s="227">
        <v>-5258</v>
      </c>
      <c r="E166" s="282">
        <v>0</v>
      </c>
      <c r="I166" s="229">
        <v>538</v>
      </c>
      <c r="K166" s="229">
        <v>0</v>
      </c>
      <c r="O166" s="229">
        <v>0</v>
      </c>
      <c r="S166" s="257"/>
      <c r="T166" s="257"/>
      <c r="U166" s="172"/>
    </row>
    <row r="167" spans="1:22" ht="16.5" thickBot="1">
      <c r="A167" s="185" t="s">
        <v>134</v>
      </c>
      <c r="C167" s="265">
        <f>C162+C166</f>
        <v>2326822</v>
      </c>
      <c r="E167" s="265">
        <v>2345481.2366637802</v>
      </c>
      <c r="G167" s="254"/>
      <c r="I167" s="255">
        <f>SUM(I158:I166)</f>
        <v>161572</v>
      </c>
      <c r="K167" s="255">
        <f>SUM(K158:K166)</f>
        <v>162148</v>
      </c>
      <c r="M167" s="256"/>
      <c r="O167" s="255">
        <f>SUM(O158:O166)</f>
        <v>190716</v>
      </c>
      <c r="Q167" s="171" t="s">
        <v>117</v>
      </c>
      <c r="R167" s="248">
        <f>O167/K167-1</f>
        <v>0.17618472013222486</v>
      </c>
      <c r="S167" s="257"/>
      <c r="T167" s="257"/>
      <c r="U167" s="172"/>
    </row>
    <row r="168" spans="1:22" ht="16.5" thickTop="1">
      <c r="A168" s="185" t="s">
        <v>135</v>
      </c>
      <c r="C168" s="163"/>
      <c r="E168" s="163"/>
      <c r="G168" s="238"/>
      <c r="H168" s="239"/>
      <c r="I168" s="228">
        <f>I126-I140-I154</f>
        <v>7789.8190999999642</v>
      </c>
      <c r="K168" s="228">
        <f>I168</f>
        <v>7789.8190999999642</v>
      </c>
      <c r="M168" s="180"/>
      <c r="N168" s="239"/>
      <c r="O168" s="228">
        <v>0</v>
      </c>
      <c r="P168" s="172"/>
      <c r="Q168" s="161" t="s">
        <v>138</v>
      </c>
      <c r="R168" s="264">
        <f>(O167+O168)/(K167+K168)-1</f>
        <v>0.12226931597711688</v>
      </c>
      <c r="S168" s="257"/>
      <c r="T168" s="257"/>
      <c r="U168" s="172"/>
      <c r="V168" s="260"/>
    </row>
    <row r="169" spans="1:22">
      <c r="A169" s="185" t="s">
        <v>136</v>
      </c>
      <c r="C169" s="163"/>
      <c r="E169" s="163"/>
      <c r="G169" s="238">
        <f>M169</f>
        <v>3.7600000000000001E-2</v>
      </c>
      <c r="H169" s="258"/>
      <c r="I169" s="228">
        <f>ROUND(SUM(I159:I164,I168)*$G169,0)</f>
        <v>6267</v>
      </c>
      <c r="K169" s="228">
        <f>ROUND(SUM(K159:K164,K168)*$G169,0)</f>
        <v>6308</v>
      </c>
      <c r="M169" s="259">
        <f>M127</f>
        <v>3.7600000000000001E-2</v>
      </c>
      <c r="N169" s="258"/>
      <c r="O169" s="228">
        <f>ROUND(SUM(O159:O164,O168)*M169,0)</f>
        <v>7075</v>
      </c>
      <c r="P169" s="172"/>
      <c r="R169"/>
      <c r="S169" s="257"/>
      <c r="T169" s="257"/>
      <c r="U169" s="172"/>
      <c r="V169" s="260"/>
    </row>
    <row r="170" spans="1:22">
      <c r="P170" s="172"/>
      <c r="S170" s="257"/>
      <c r="T170" s="257"/>
      <c r="U170" s="172"/>
      <c r="V170" s="260"/>
    </row>
    <row r="171" spans="1:22">
      <c r="A171" s="181" t="s">
        <v>172</v>
      </c>
      <c r="C171" s="163"/>
      <c r="D171" s="272"/>
      <c r="E171" s="163"/>
      <c r="F171" s="272"/>
      <c r="J171" s="272"/>
      <c r="L171" s="272"/>
      <c r="P171" s="172"/>
    </row>
    <row r="172" spans="1:22">
      <c r="A172" s="185" t="s">
        <v>104</v>
      </c>
      <c r="C172" s="186">
        <v>231.498622222222</v>
      </c>
      <c r="E172" s="163">
        <v>264</v>
      </c>
      <c r="G172" s="187">
        <v>45</v>
      </c>
      <c r="H172" s="285"/>
      <c r="I172" s="172">
        <f>ROUND($G172*C172,0)</f>
        <v>10417</v>
      </c>
      <c r="K172" s="172">
        <f>ROUND($G172*E172,0)</f>
        <v>11880</v>
      </c>
      <c r="M172" s="187">
        <f>M116</f>
        <v>53</v>
      </c>
      <c r="N172" s="285"/>
      <c r="O172" s="172">
        <f>ROUND(M172*$E172,0)</f>
        <v>13992</v>
      </c>
      <c r="P172" s="172"/>
      <c r="T172" s="190">
        <f>M172/G172-1</f>
        <v>0.17777777777777781</v>
      </c>
    </row>
    <row r="173" spans="1:22">
      <c r="A173" s="185" t="s">
        <v>173</v>
      </c>
      <c r="C173" s="186">
        <v>13416.282962184699</v>
      </c>
      <c r="E173" s="163">
        <f>ROUND(C173*$E$181/$C$181,0)</f>
        <v>21128</v>
      </c>
      <c r="G173" s="187">
        <v>15.16</v>
      </c>
      <c r="H173" s="285"/>
      <c r="I173" s="172">
        <f>ROUND($G173*C173,0)</f>
        <v>203391</v>
      </c>
      <c r="K173" s="172">
        <f>ROUND($G173*E173,0)</f>
        <v>320300</v>
      </c>
      <c r="M173" s="187">
        <f>M117</f>
        <v>17.829999999999998</v>
      </c>
      <c r="N173" s="285"/>
      <c r="O173" s="172">
        <f>ROUND(M173*$E173,0)</f>
        <v>376712</v>
      </c>
      <c r="P173" s="172"/>
      <c r="S173" s="224"/>
      <c r="T173" s="190">
        <f>M173/G173-1</f>
        <v>0.17612137203166212</v>
      </c>
    </row>
    <row r="174" spans="1:22">
      <c r="A174" s="185" t="s">
        <v>174</v>
      </c>
      <c r="C174" s="186">
        <v>14064.6538782319</v>
      </c>
      <c r="E174" s="163">
        <f>ROUND(C174*$E$181/$C$181,0)</f>
        <v>22149</v>
      </c>
      <c r="G174" s="187">
        <v>12.17</v>
      </c>
      <c r="H174" s="285"/>
      <c r="I174" s="172">
        <f>ROUND($G174*C174,0)</f>
        <v>171167</v>
      </c>
      <c r="K174" s="172">
        <f>ROUND($G174*E174,0)</f>
        <v>269553</v>
      </c>
      <c r="M174" s="187">
        <f>M118</f>
        <v>14.31</v>
      </c>
      <c r="N174" s="285"/>
      <c r="O174" s="172">
        <f>ROUND(M174*$E174,0)</f>
        <v>316952</v>
      </c>
      <c r="P174" s="172"/>
      <c r="T174" s="190">
        <f>M174/G174-1</f>
        <v>0.17584223500410845</v>
      </c>
    </row>
    <row r="175" spans="1:22">
      <c r="A175" s="185" t="s">
        <v>154</v>
      </c>
      <c r="C175" s="186">
        <v>0</v>
      </c>
      <c r="E175" s="163">
        <f>ROUND(C175*$E$181/$C$181,0)</f>
        <v>0</v>
      </c>
      <c r="G175" s="187">
        <v>-0.78</v>
      </c>
      <c r="H175" s="285"/>
      <c r="I175" s="172">
        <f>ROUND($G175*C175,0)</f>
        <v>0</v>
      </c>
      <c r="K175" s="172">
        <f>ROUND($G175*E175,0)</f>
        <v>0</v>
      </c>
      <c r="M175" s="187">
        <f>M119</f>
        <v>-0.92</v>
      </c>
      <c r="N175" s="285"/>
      <c r="O175" s="172">
        <f>ROUND(M175*$E175,0)</f>
        <v>0</v>
      </c>
      <c r="P175" s="172"/>
      <c r="R175" s="275"/>
      <c r="S175"/>
      <c r="T175" s="190">
        <f>M175/G175-1</f>
        <v>0.17948717948717952</v>
      </c>
    </row>
    <row r="176" spans="1:22">
      <c r="A176" s="185" t="s">
        <v>149</v>
      </c>
      <c r="C176" s="278">
        <f>C177+C178</f>
        <v>9092918.0341745205</v>
      </c>
      <c r="E176" s="163">
        <f>SUM(E177:E178)</f>
        <v>14361290</v>
      </c>
      <c r="G176" s="269"/>
      <c r="H176" s="193"/>
      <c r="I176" s="172"/>
      <c r="K176" s="172"/>
      <c r="M176" s="270"/>
      <c r="N176" s="193"/>
      <c r="O176" s="172"/>
      <c r="P176" s="218"/>
      <c r="R176" s="275"/>
    </row>
    <row r="177" spans="1:22">
      <c r="A177" s="185" t="s">
        <v>163</v>
      </c>
      <c r="C177" s="186">
        <v>4583893.0455210628</v>
      </c>
      <c r="E177" s="163">
        <f>ROUND(C177*$E$181/($C$181-$C$180),0)</f>
        <v>7239768</v>
      </c>
      <c r="G177" s="269">
        <v>3.1907000000000001</v>
      </c>
      <c r="H177" s="193" t="s">
        <v>108</v>
      </c>
      <c r="I177" s="172">
        <f>ROUND($G177*C177/100,0)</f>
        <v>146258</v>
      </c>
      <c r="K177" s="172">
        <f>ROUND($G177*E177/100,0)</f>
        <v>230999</v>
      </c>
      <c r="M177" s="270">
        <f>M121</f>
        <v>3.7528000000000001</v>
      </c>
      <c r="N177" s="193" t="s">
        <v>108</v>
      </c>
      <c r="O177" s="172">
        <f>ROUND(M177*$E177/100,0)</f>
        <v>271694</v>
      </c>
      <c r="P177" s="218"/>
      <c r="T177" s="190">
        <f>M177/G177-1</f>
        <v>0.17616823894443234</v>
      </c>
      <c r="U177"/>
    </row>
    <row r="178" spans="1:22">
      <c r="A178" s="185" t="s">
        <v>164</v>
      </c>
      <c r="C178" s="186">
        <v>4509024.9886534577</v>
      </c>
      <c r="E178" s="163">
        <f>E181-E177</f>
        <v>7121522</v>
      </c>
      <c r="G178" s="269">
        <v>2.9416000000000002</v>
      </c>
      <c r="H178" s="193" t="s">
        <v>108</v>
      </c>
      <c r="I178" s="172">
        <f>ROUND($G178*C178/100,0)</f>
        <v>132637</v>
      </c>
      <c r="K178" s="172">
        <f>ROUND($G178*E178/100,0)</f>
        <v>209487</v>
      </c>
      <c r="M178" s="270">
        <f>M122</f>
        <v>3.4609999999999999</v>
      </c>
      <c r="N178" s="193" t="s">
        <v>108</v>
      </c>
      <c r="O178" s="172">
        <f>ROUND(M178*$E178/100,0)</f>
        <v>246476</v>
      </c>
      <c r="P178" s="218"/>
      <c r="T178" s="190">
        <f>M178/G178-1</f>
        <v>0.1765705738373673</v>
      </c>
    </row>
    <row r="179" spans="1:22">
      <c r="A179" s="185" t="s">
        <v>159</v>
      </c>
      <c r="C179" s="186">
        <v>0</v>
      </c>
      <c r="D179" s="272"/>
      <c r="E179" s="163">
        <f>ROUND(C179*E172/C172,0)</f>
        <v>0</v>
      </c>
      <c r="F179" s="272"/>
      <c r="G179" s="187">
        <v>540</v>
      </c>
      <c r="H179" s="241"/>
      <c r="I179" s="172">
        <f>ROUND($G179*C179,0)</f>
        <v>0</v>
      </c>
      <c r="J179" s="272"/>
      <c r="K179" s="172">
        <f>ROUND($G179*E179,0)</f>
        <v>0</v>
      </c>
      <c r="L179" s="272"/>
      <c r="M179" s="187">
        <f>M123</f>
        <v>636</v>
      </c>
      <c r="N179" s="241"/>
      <c r="O179" s="172">
        <f>ROUND(M179*$E179,0)</f>
        <v>0</v>
      </c>
      <c r="P179" s="218"/>
      <c r="Q179" s="171" t="s">
        <v>117</v>
      </c>
      <c r="R179" s="248">
        <f>O181/K181-1</f>
        <v>0.17616930798613351</v>
      </c>
      <c r="T179" s="190">
        <f>M179/G179-1</f>
        <v>0.17777777777777781</v>
      </c>
      <c r="V179"/>
    </row>
    <row r="180" spans="1:22">
      <c r="A180" s="185" t="s">
        <v>132</v>
      </c>
      <c r="C180" s="227">
        <v>26543</v>
      </c>
      <c r="E180" s="227">
        <v>0</v>
      </c>
      <c r="I180" s="229">
        <v>3158</v>
      </c>
      <c r="K180" s="229">
        <v>0</v>
      </c>
      <c r="O180" s="229">
        <v>0</v>
      </c>
      <c r="Q180" s="161" t="s">
        <v>138</v>
      </c>
      <c r="R180" s="264">
        <f>(O181+O182)/(K181+K182)-1</f>
        <v>0.16440235906390899</v>
      </c>
    </row>
    <row r="181" spans="1:22" ht="16.5" thickBot="1">
      <c r="A181" s="185" t="s">
        <v>134</v>
      </c>
      <c r="C181" s="265">
        <f>C176+C180</f>
        <v>9119461.0341745205</v>
      </c>
      <c r="E181" s="265">
        <v>14361290</v>
      </c>
      <c r="G181" s="254"/>
      <c r="I181" s="255">
        <f>SUM(I172:I180)</f>
        <v>667028</v>
      </c>
      <c r="K181" s="255">
        <f>SUM(K172:K180)</f>
        <v>1042219</v>
      </c>
      <c r="M181" s="256"/>
      <c r="O181" s="255">
        <f>SUM(O172:O180)</f>
        <v>1225826</v>
      </c>
      <c r="R181"/>
    </row>
    <row r="182" spans="1:22" ht="16.5" thickTop="1">
      <c r="A182" s="185" t="s">
        <v>135</v>
      </c>
      <c r="C182" s="163"/>
      <c r="E182" s="163"/>
      <c r="G182" s="238"/>
      <c r="H182" s="239"/>
      <c r="I182" s="228">
        <f>MPA!K106</f>
        <v>10532.216499999999</v>
      </c>
      <c r="K182" s="228">
        <f>I182</f>
        <v>10532.216499999999</v>
      </c>
      <c r="M182" s="180"/>
      <c r="N182" s="239"/>
      <c r="O182" s="228">
        <v>0</v>
      </c>
      <c r="P182" s="172"/>
    </row>
    <row r="183" spans="1:22">
      <c r="A183" s="185" t="s">
        <v>136</v>
      </c>
      <c r="C183" s="163"/>
      <c r="E183" s="163"/>
      <c r="G183" s="238">
        <f>M183</f>
        <v>3.7600000000000001E-2</v>
      </c>
      <c r="H183" s="258"/>
      <c r="I183" s="228">
        <f>ROUND(SUM(I173:I179,I182)*$G183,0)</f>
        <v>24966</v>
      </c>
      <c r="K183" s="228">
        <f>ROUND(SUM(K173:K179,K182)*$G183,0)</f>
        <v>39137</v>
      </c>
      <c r="M183" s="259">
        <f>M169</f>
        <v>3.7600000000000001E-2</v>
      </c>
      <c r="N183" s="258"/>
      <c r="O183" s="228">
        <f>ROUND(SUM(O173:O178,O182)*M183,0)</f>
        <v>45565</v>
      </c>
      <c r="P183" s="172"/>
    </row>
    <row r="184" spans="1:22">
      <c r="C184" s="163"/>
      <c r="E184" s="163"/>
      <c r="P184" s="172"/>
    </row>
    <row r="185" spans="1:22">
      <c r="A185" s="181" t="s">
        <v>175</v>
      </c>
      <c r="C185" s="163"/>
      <c r="E185" s="163"/>
      <c r="P185" s="172"/>
    </row>
    <row r="186" spans="1:22">
      <c r="A186" s="286" t="s">
        <v>104</v>
      </c>
      <c r="C186" s="186">
        <v>108.99921481481501</v>
      </c>
      <c r="E186" s="163">
        <v>96</v>
      </c>
      <c r="G186" s="187">
        <v>45</v>
      </c>
      <c r="H186" s="285"/>
      <c r="I186" s="172">
        <f>ROUND($G186*C186,0)</f>
        <v>4905</v>
      </c>
      <c r="K186" s="172">
        <f>ROUND($G186*E186,0)</f>
        <v>4320</v>
      </c>
      <c r="M186" s="187">
        <f>M116</f>
        <v>53</v>
      </c>
      <c r="N186" s="285"/>
      <c r="O186" s="172">
        <f>ROUND(M186*$E186,0)</f>
        <v>5088</v>
      </c>
      <c r="P186" s="172"/>
      <c r="T186" s="190">
        <f>M186/G186-1</f>
        <v>0.17777777777777781</v>
      </c>
    </row>
    <row r="187" spans="1:22">
      <c r="A187" s="185" t="s">
        <v>173</v>
      </c>
      <c r="C187" s="186">
        <v>10738.4543979599</v>
      </c>
      <c r="E187" s="163">
        <f>ROUND(C187*$E$195/$C$195,0)</f>
        <v>10928</v>
      </c>
      <c r="G187" s="187">
        <v>15.16</v>
      </c>
      <c r="H187" s="285"/>
      <c r="I187" s="172">
        <f>ROUND($G187*C187,0)</f>
        <v>162795</v>
      </c>
      <c r="K187" s="172">
        <f>ROUND($G187*E187,0)</f>
        <v>165668</v>
      </c>
      <c r="M187" s="187">
        <f>M117</f>
        <v>17.829999999999998</v>
      </c>
      <c r="N187" s="285"/>
      <c r="O187" s="172">
        <f>ROUND(M187*$E187,0)</f>
        <v>194846</v>
      </c>
      <c r="P187" s="172"/>
      <c r="S187" s="224"/>
      <c r="T187" s="190">
        <f>M187/G187-1</f>
        <v>0.17612137203166212</v>
      </c>
    </row>
    <row r="188" spans="1:22">
      <c r="A188" s="185" t="s">
        <v>174</v>
      </c>
      <c r="C188" s="186">
        <v>12815.544620517099</v>
      </c>
      <c r="E188" s="163">
        <f>ROUND(C188*$E$195/$C$195,0)</f>
        <v>13042</v>
      </c>
      <c r="G188" s="187">
        <v>12.17</v>
      </c>
      <c r="H188" s="285"/>
      <c r="I188" s="172">
        <f>ROUND($G188*C188,0)</f>
        <v>155965</v>
      </c>
      <c r="K188" s="172">
        <f>ROUND($G188*E188,0)</f>
        <v>158721</v>
      </c>
      <c r="M188" s="187">
        <f>M118</f>
        <v>14.31</v>
      </c>
      <c r="N188" s="285"/>
      <c r="O188" s="172">
        <f>ROUND(M188*$E188,0)</f>
        <v>186631</v>
      </c>
      <c r="P188" s="172"/>
      <c r="T188" s="190">
        <f>M188/G188-1</f>
        <v>0.17584223500410845</v>
      </c>
    </row>
    <row r="189" spans="1:22">
      <c r="A189" s="185" t="s">
        <v>154</v>
      </c>
      <c r="C189" s="186">
        <v>0</v>
      </c>
      <c r="E189" s="163">
        <f>ROUND(C189*$E$195/$C$195,0)</f>
        <v>0</v>
      </c>
      <c r="G189" s="187">
        <v>-0.78</v>
      </c>
      <c r="H189" s="285"/>
      <c r="I189" s="172">
        <f>ROUND($G189*C189,0)</f>
        <v>0</v>
      </c>
      <c r="K189" s="172">
        <f>ROUND($G189*E189,0)</f>
        <v>0</v>
      </c>
      <c r="M189" s="187">
        <f>M119</f>
        <v>-0.92</v>
      </c>
      <c r="N189" s="285"/>
      <c r="O189" s="172">
        <f>ROUND(M189*$E189,0)</f>
        <v>0</v>
      </c>
      <c r="P189" s="172"/>
      <c r="R189" s="275"/>
      <c r="S189"/>
      <c r="T189" s="190">
        <f>M189/G189-1</f>
        <v>0.17948717948717952</v>
      </c>
    </row>
    <row r="190" spans="1:22">
      <c r="A190" s="185" t="s">
        <v>149</v>
      </c>
      <c r="C190" s="186">
        <f>C191+C192</f>
        <v>7619856</v>
      </c>
      <c r="E190" s="163">
        <f>SUM(E191:E192)</f>
        <v>7781950</v>
      </c>
      <c r="G190" s="269"/>
      <c r="H190" s="193"/>
      <c r="I190" s="172"/>
      <c r="K190" s="172"/>
      <c r="M190" s="270"/>
      <c r="N190" s="193"/>
      <c r="O190" s="172"/>
      <c r="P190" s="218"/>
      <c r="R190" s="275"/>
    </row>
    <row r="191" spans="1:22">
      <c r="A191" s="185" t="s">
        <v>163</v>
      </c>
      <c r="C191" s="186">
        <v>3782760.97916988</v>
      </c>
      <c r="E191" s="163">
        <f>ROUND(C191*$E$195/($C$195-$C$194),0)</f>
        <v>3863230</v>
      </c>
      <c r="G191" s="269">
        <v>3.1907000000000001</v>
      </c>
      <c r="H191" s="193" t="s">
        <v>108</v>
      </c>
      <c r="I191" s="172">
        <f>ROUND($G191*C191/100,0)</f>
        <v>120697</v>
      </c>
      <c r="K191" s="172">
        <f>ROUND($G191*E191/100,0)</f>
        <v>123264</v>
      </c>
      <c r="M191" s="270">
        <f>M121</f>
        <v>3.7528000000000001</v>
      </c>
      <c r="N191" s="193" t="s">
        <v>108</v>
      </c>
      <c r="O191" s="172">
        <f>ROUND(M191*$E191/100,0)</f>
        <v>144979</v>
      </c>
      <c r="P191" s="218"/>
      <c r="T191" s="190">
        <f>M191/G191-1</f>
        <v>0.17616823894443234</v>
      </c>
      <c r="U191"/>
    </row>
    <row r="192" spans="1:22">
      <c r="A192" s="185" t="s">
        <v>164</v>
      </c>
      <c r="C192" s="186">
        <v>3837095.02083012</v>
      </c>
      <c r="E192" s="163">
        <f>E195-E191</f>
        <v>3918720</v>
      </c>
      <c r="G192" s="269">
        <v>2.9416000000000002</v>
      </c>
      <c r="H192" s="193" t="s">
        <v>108</v>
      </c>
      <c r="I192" s="172">
        <f>ROUND($G192*C192/100,0)</f>
        <v>112872</v>
      </c>
      <c r="K192" s="172">
        <f>ROUND($G192*E192/100,0)</f>
        <v>115273</v>
      </c>
      <c r="M192" s="270">
        <f>M122</f>
        <v>3.4609999999999999</v>
      </c>
      <c r="N192" s="193" t="s">
        <v>108</v>
      </c>
      <c r="O192" s="172">
        <f>ROUND(M192*$E192/100,0)</f>
        <v>135627</v>
      </c>
      <c r="P192" s="218"/>
      <c r="T192" s="190">
        <f>M192/G192-1</f>
        <v>0.1765705738373673</v>
      </c>
    </row>
    <row r="193" spans="1:22">
      <c r="A193" s="185" t="s">
        <v>159</v>
      </c>
      <c r="C193" s="186">
        <v>0</v>
      </c>
      <c r="D193" s="272"/>
      <c r="E193" s="163">
        <f>ROUND(C193*E186/C186,0)</f>
        <v>0</v>
      </c>
      <c r="F193" s="272"/>
      <c r="G193" s="187">
        <v>540</v>
      </c>
      <c r="H193" s="241"/>
      <c r="I193" s="172">
        <f>ROUND($G193*C193,0)</f>
        <v>0</v>
      </c>
      <c r="J193" s="272"/>
      <c r="K193" s="172">
        <f>ROUND($G193*E193,0)</f>
        <v>0</v>
      </c>
      <c r="L193" s="272"/>
      <c r="M193" s="187">
        <f>M123</f>
        <v>636</v>
      </c>
      <c r="N193" s="241"/>
      <c r="O193" s="172">
        <f>ROUND(M193*$E193,0)</f>
        <v>0</v>
      </c>
      <c r="P193" s="218"/>
      <c r="Q193" s="171" t="s">
        <v>117</v>
      </c>
      <c r="R193" s="248">
        <f>O195/K195-1</f>
        <v>0.17615813950208548</v>
      </c>
      <c r="S193" s="253"/>
      <c r="T193" s="190">
        <f>M193/G193-1</f>
        <v>0.17777777777777781</v>
      </c>
      <c r="V193"/>
    </row>
    <row r="194" spans="1:22">
      <c r="A194" s="185" t="s">
        <v>132</v>
      </c>
      <c r="C194" s="227">
        <v>26977</v>
      </c>
      <c r="E194" s="227">
        <v>0</v>
      </c>
      <c r="I194" s="229">
        <v>1214</v>
      </c>
      <c r="K194" s="229">
        <v>0</v>
      </c>
      <c r="O194" s="229">
        <v>0</v>
      </c>
      <c r="Q194" s="161" t="s">
        <v>138</v>
      </c>
      <c r="R194" s="264">
        <f>(O195+O196)/(K195+K196)-1</f>
        <v>0.14922881462818882</v>
      </c>
      <c r="S194" s="253"/>
    </row>
    <row r="195" spans="1:22" ht="16.5" thickBot="1">
      <c r="A195" s="185" t="s">
        <v>134</v>
      </c>
      <c r="C195" s="265">
        <f>C190+C194</f>
        <v>7646833</v>
      </c>
      <c r="E195" s="265">
        <v>7781950</v>
      </c>
      <c r="G195" s="254"/>
      <c r="I195" s="255">
        <f>SUM(I186:I194)</f>
        <v>558448</v>
      </c>
      <c r="K195" s="255">
        <f>SUM(K186:K194)</f>
        <v>567246</v>
      </c>
      <c r="M195" s="256"/>
      <c r="O195" s="255">
        <f>SUM(O186:O194)</f>
        <v>667171</v>
      </c>
      <c r="R195"/>
      <c r="S195" s="253"/>
      <c r="T195" s="253"/>
    </row>
    <row r="196" spans="1:22" ht="16.5" thickTop="1">
      <c r="A196" s="185" t="s">
        <v>135</v>
      </c>
      <c r="C196" s="163"/>
      <c r="E196" s="163"/>
      <c r="G196" s="238"/>
      <c r="H196" s="239"/>
      <c r="I196" s="228">
        <f>MPA!K118</f>
        <v>13292.002099999998</v>
      </c>
      <c r="K196" s="228">
        <f>I196</f>
        <v>13292.002099999998</v>
      </c>
      <c r="M196" s="180"/>
      <c r="N196" s="239"/>
      <c r="O196" s="228">
        <v>0</v>
      </c>
      <c r="P196" s="172"/>
      <c r="S196" s="253"/>
      <c r="T196" s="253"/>
    </row>
    <row r="197" spans="1:22">
      <c r="A197" s="185" t="s">
        <v>136</v>
      </c>
      <c r="C197" s="163"/>
      <c r="E197" s="163"/>
      <c r="G197" s="238">
        <f>M197</f>
        <v>3.7600000000000001E-2</v>
      </c>
      <c r="H197" s="258"/>
      <c r="I197" s="228">
        <f>ROUND(SUM(I187:I193,I196)*$G197,0)</f>
        <v>21267</v>
      </c>
      <c r="K197" s="228">
        <f>ROUND(SUM(K187:K193,K196)*$G197,0)</f>
        <v>21666</v>
      </c>
      <c r="M197" s="259">
        <f>M183</f>
        <v>3.7600000000000001E-2</v>
      </c>
      <c r="N197" s="258"/>
      <c r="O197" s="228">
        <f>ROUND(SUM(O187:O192,O196)*M197,0)</f>
        <v>24894</v>
      </c>
      <c r="P197" s="273"/>
      <c r="S197" s="253"/>
      <c r="T197" s="253"/>
      <c r="V197" s="287"/>
    </row>
    <row r="198" spans="1:22">
      <c r="C198" s="163"/>
      <c r="E198" s="163"/>
      <c r="P198" s="172"/>
      <c r="Q198" s="259"/>
      <c r="R198" s="288"/>
      <c r="S198" s="253"/>
      <c r="T198" s="253"/>
      <c r="V198" s="287"/>
    </row>
    <row r="199" spans="1:22">
      <c r="A199" s="181" t="s">
        <v>176</v>
      </c>
      <c r="C199" s="163"/>
      <c r="E199" s="163"/>
      <c r="G199" s="269"/>
      <c r="H199" s="267"/>
      <c r="M199" s="270"/>
      <c r="N199" s="267"/>
      <c r="P199" s="172"/>
      <c r="S199" s="257"/>
      <c r="T199" s="257"/>
      <c r="U199" s="172"/>
      <c r="V199" s="260"/>
    </row>
    <row r="200" spans="1:22">
      <c r="A200" s="185" t="s">
        <v>104</v>
      </c>
      <c r="C200" s="163">
        <f t="shared" ref="C200:C209" si="12">C214+C228</f>
        <v>23972.122192592691</v>
      </c>
      <c r="E200" s="163">
        <f t="shared" ref="E200:E209" si="13">E214+E228</f>
        <v>25273</v>
      </c>
      <c r="G200" s="187">
        <v>45</v>
      </c>
      <c r="H200" s="241"/>
      <c r="I200" s="172">
        <f>ROUND($G200*C200,0)</f>
        <v>1078745</v>
      </c>
      <c r="K200" s="172">
        <f>ROUND($G200*E200,0)</f>
        <v>1137285</v>
      </c>
      <c r="M200" s="187">
        <f>M116</f>
        <v>53</v>
      </c>
      <c r="N200" s="241"/>
      <c r="O200" s="172">
        <f>ROUND(M200*$E200,0)</f>
        <v>1339469</v>
      </c>
      <c r="P200" s="172"/>
      <c r="Q200" s="198" t="s">
        <v>111</v>
      </c>
      <c r="R200" s="199">
        <f>O209</f>
        <v>30068725</v>
      </c>
      <c r="T200" s="190">
        <f t="shared" ref="T200:T207" si="14">M200/G200-1</f>
        <v>0.17777777777777781</v>
      </c>
      <c r="U200" s="172"/>
      <c r="V200" s="260"/>
    </row>
    <row r="201" spans="1:22">
      <c r="A201" s="185" t="s">
        <v>177</v>
      </c>
      <c r="C201" s="163">
        <f t="shared" si="12"/>
        <v>764460.32062397338</v>
      </c>
      <c r="D201" s="272"/>
      <c r="E201" s="163">
        <f t="shared" si="13"/>
        <v>845471</v>
      </c>
      <c r="F201" s="272"/>
      <c r="G201" s="187">
        <v>5.37</v>
      </c>
      <c r="H201" s="188"/>
      <c r="I201" s="172">
        <f>ROUND($G201*C201,0)</f>
        <v>4105152</v>
      </c>
      <c r="J201" s="272"/>
      <c r="K201" s="172">
        <f>ROUND($G201*E201,0)</f>
        <v>4540179</v>
      </c>
      <c r="L201" s="272"/>
      <c r="M201" s="187">
        <f>ROUND(G201*(1+$R$205),2)</f>
        <v>6.31</v>
      </c>
      <c r="N201" s="188"/>
      <c r="O201" s="172">
        <f>ROUND(M201*$E201,0)</f>
        <v>5334922</v>
      </c>
      <c r="P201" s="172"/>
      <c r="Q201" s="202" t="s">
        <v>113</v>
      </c>
      <c r="R201" s="203">
        <f>RateSpread!O21*1000</f>
        <v>30068704.827199999</v>
      </c>
      <c r="S201" s="224"/>
      <c r="T201" s="190">
        <f t="shared" si="14"/>
        <v>0.17504655493482302</v>
      </c>
      <c r="U201" s="172"/>
      <c r="V201" s="260"/>
    </row>
    <row r="202" spans="1:22">
      <c r="A202" s="185" t="s">
        <v>178</v>
      </c>
      <c r="C202" s="163">
        <f t="shared" si="12"/>
        <v>913634.90868596802</v>
      </c>
      <c r="D202" s="272"/>
      <c r="E202" s="163">
        <f t="shared" si="13"/>
        <v>1010482</v>
      </c>
      <c r="F202" s="272"/>
      <c r="G202" s="187">
        <v>4.5</v>
      </c>
      <c r="H202" s="188"/>
      <c r="I202" s="172">
        <f>ROUND($G202*C202,0)</f>
        <v>4111357</v>
      </c>
      <c r="J202" s="272"/>
      <c r="K202" s="172">
        <f>ROUND($G202*E202,0)</f>
        <v>4547169</v>
      </c>
      <c r="L202" s="272"/>
      <c r="M202" s="187">
        <f>ROUND(G202*(1+$R$205),2)</f>
        <v>5.29</v>
      </c>
      <c r="N202" s="188"/>
      <c r="O202" s="172">
        <f>ROUND(M202*$E202,0)</f>
        <v>5345450</v>
      </c>
      <c r="P202" s="172"/>
      <c r="Q202" s="207" t="s">
        <v>115</v>
      </c>
      <c r="R202" s="208">
        <f>R201-R200</f>
        <v>-20.172800000756979</v>
      </c>
      <c r="S202" s="224"/>
      <c r="T202" s="190">
        <f t="shared" si="14"/>
        <v>0.17555555555555546</v>
      </c>
      <c r="V202" s="260"/>
    </row>
    <row r="203" spans="1:22">
      <c r="A203" s="185" t="s">
        <v>154</v>
      </c>
      <c r="C203" s="163">
        <f t="shared" si="12"/>
        <v>23625</v>
      </c>
      <c r="D203" s="272"/>
      <c r="E203" s="163">
        <f t="shared" si="13"/>
        <v>26033</v>
      </c>
      <c r="F203" s="272"/>
      <c r="G203" s="187">
        <v>-0.5</v>
      </c>
      <c r="H203" s="188"/>
      <c r="I203" s="172">
        <f>ROUND($G203*C203,0)</f>
        <v>-11813</v>
      </c>
      <c r="J203" s="272"/>
      <c r="K203" s="172">
        <f>ROUND($G203*E203,0)</f>
        <v>-13017</v>
      </c>
      <c r="L203" s="272"/>
      <c r="M203" s="187">
        <f>ROUND(G203*(1+$R$205),2)</f>
        <v>-0.59</v>
      </c>
      <c r="N203" s="188"/>
      <c r="O203" s="172">
        <f>ROUND(M203*$E203,0)</f>
        <v>-15359</v>
      </c>
      <c r="P203" s="172"/>
      <c r="Q203" s="210" t="s">
        <v>117</v>
      </c>
      <c r="R203" s="280">
        <f>R200/K209-1</f>
        <v>0.17551118335014637</v>
      </c>
      <c r="T203" s="190">
        <f t="shared" si="14"/>
        <v>0.17999999999999994</v>
      </c>
      <c r="U203" s="172"/>
      <c r="V203" s="260"/>
    </row>
    <row r="204" spans="1:22">
      <c r="A204" s="185" t="s">
        <v>143</v>
      </c>
      <c r="C204" s="163">
        <f t="shared" si="12"/>
        <v>47538268</v>
      </c>
      <c r="D204" s="272"/>
      <c r="E204" s="163">
        <f t="shared" si="13"/>
        <v>52632310</v>
      </c>
      <c r="F204" s="272"/>
      <c r="G204" s="251">
        <v>9.8184000000000005</v>
      </c>
      <c r="H204" s="193" t="s">
        <v>108</v>
      </c>
      <c r="I204" s="172">
        <f>ROUND($G204*C204/100,0)</f>
        <v>4667497</v>
      </c>
      <c r="J204" s="272"/>
      <c r="K204" s="172">
        <f>ROUND($G204*E204/100,0)</f>
        <v>5167651</v>
      </c>
      <c r="L204" s="272"/>
      <c r="M204" s="251">
        <f>ROUND(G204*(1+$R$205),4)</f>
        <v>11.5406</v>
      </c>
      <c r="N204" s="193" t="s">
        <v>108</v>
      </c>
      <c r="O204" s="172">
        <f>ROUND(M204*$E204/100,0)</f>
        <v>6074084</v>
      </c>
      <c r="P204" s="218"/>
      <c r="Q204" s="214" t="s">
        <v>119</v>
      </c>
      <c r="R204" s="281">
        <f>R201/K209-1</f>
        <v>0.17551039471171892</v>
      </c>
      <c r="T204" s="190">
        <f t="shared" si="14"/>
        <v>0.17540536136234008</v>
      </c>
      <c r="U204" s="172"/>
      <c r="V204" s="260"/>
    </row>
    <row r="205" spans="1:22">
      <c r="A205" s="185" t="s">
        <v>144</v>
      </c>
      <c r="C205" s="163">
        <f t="shared" si="12"/>
        <v>49066764.721354015</v>
      </c>
      <c r="D205" s="272"/>
      <c r="E205" s="163">
        <f t="shared" si="13"/>
        <v>54439038</v>
      </c>
      <c r="F205" s="272"/>
      <c r="G205" s="251">
        <v>2.956</v>
      </c>
      <c r="H205" s="193" t="s">
        <v>108</v>
      </c>
      <c r="I205" s="172">
        <f>ROUND($G205*C205/100,0)</f>
        <v>1450414</v>
      </c>
      <c r="J205" s="272"/>
      <c r="K205" s="172">
        <f>ROUND($G205*E205/100,0)</f>
        <v>1609218</v>
      </c>
      <c r="L205" s="272"/>
      <c r="M205" s="251">
        <f>ROUND(G205*(1+$R$205),4)</f>
        <v>3.4744999999999999</v>
      </c>
      <c r="N205" s="193" t="s">
        <v>108</v>
      </c>
      <c r="O205" s="172">
        <f>ROUND(M205*$E205/100,0)</f>
        <v>1891484</v>
      </c>
      <c r="P205" s="218"/>
      <c r="Q205" s="230" t="s">
        <v>168</v>
      </c>
      <c r="R205" s="284">
        <f>(R201-O200)/(K209-K200)-1</f>
        <v>0.17540489345569266</v>
      </c>
      <c r="T205" s="190">
        <f t="shared" si="14"/>
        <v>0.17540595399188086</v>
      </c>
      <c r="V205"/>
    </row>
    <row r="206" spans="1:22">
      <c r="A206" s="185" t="s">
        <v>179</v>
      </c>
      <c r="C206" s="163">
        <f t="shared" si="12"/>
        <v>73841984</v>
      </c>
      <c r="D206" s="272"/>
      <c r="E206" s="163">
        <f t="shared" si="13"/>
        <v>81904480</v>
      </c>
      <c r="F206" s="272"/>
      <c r="G206" s="251">
        <v>8.2071000000000005</v>
      </c>
      <c r="H206" s="193" t="s">
        <v>108</v>
      </c>
      <c r="I206" s="172">
        <f>ROUND($G206*C206/100,0)</f>
        <v>6060285</v>
      </c>
      <c r="J206" s="272"/>
      <c r="K206" s="172">
        <f>ROUND($G206*E206/100,0)</f>
        <v>6721983</v>
      </c>
      <c r="L206" s="272"/>
      <c r="M206" s="251">
        <f>ROUND(G206*(1+$R$205),4)</f>
        <v>9.6466999999999992</v>
      </c>
      <c r="N206" s="193" t="s">
        <v>108</v>
      </c>
      <c r="O206" s="172">
        <f>ROUND(M206*$E206/100,0)</f>
        <v>7901079</v>
      </c>
      <c r="P206" s="218"/>
      <c r="Q206" s="289" t="s">
        <v>138</v>
      </c>
      <c r="R206" s="280">
        <f>(O209+O210)/(K209+K210)-1</f>
        <v>0.12576408138163098</v>
      </c>
      <c r="T206" s="190">
        <f t="shared" si="14"/>
        <v>0.17540909700137663</v>
      </c>
      <c r="U206" s="172"/>
      <c r="V206"/>
    </row>
    <row r="207" spans="1:22">
      <c r="A207" s="185" t="s">
        <v>180</v>
      </c>
      <c r="C207" s="163">
        <f t="shared" si="12"/>
        <v>67862464.804096475</v>
      </c>
      <c r="D207" s="272"/>
      <c r="E207" s="163">
        <f t="shared" si="13"/>
        <v>75409909.959862694</v>
      </c>
      <c r="F207" s="272"/>
      <c r="G207" s="251">
        <v>2.4782000000000002</v>
      </c>
      <c r="H207" s="193" t="s">
        <v>108</v>
      </c>
      <c r="I207" s="172">
        <f>ROUND($G207*C207/100,0)</f>
        <v>1681768</v>
      </c>
      <c r="J207" s="272"/>
      <c r="K207" s="172">
        <f>ROUND($G207*E207/100,0)</f>
        <v>1868808</v>
      </c>
      <c r="L207" s="272"/>
      <c r="M207" s="290">
        <f>ROUND((R201-SUM(O200:O206))/E207*100,4)</f>
        <v>2.9142000000000001</v>
      </c>
      <c r="N207" s="193" t="s">
        <v>108</v>
      </c>
      <c r="O207" s="172">
        <f>ROUND(M207*$E207/100,0)</f>
        <v>2197596</v>
      </c>
      <c r="P207" s="218"/>
      <c r="Q207" s="210" t="s">
        <v>181</v>
      </c>
      <c r="R207" s="211">
        <f>E204/(E204+E205)</f>
        <v>0.49156297163644563</v>
      </c>
      <c r="T207" s="190">
        <f t="shared" si="14"/>
        <v>0.17593414575094823</v>
      </c>
      <c r="V207"/>
    </row>
    <row r="208" spans="1:22">
      <c r="A208" s="185" t="s">
        <v>132</v>
      </c>
      <c r="C208" s="282">
        <f t="shared" si="12"/>
        <v>735195</v>
      </c>
      <c r="E208" s="282">
        <f t="shared" si="13"/>
        <v>0</v>
      </c>
      <c r="I208" s="229">
        <f>I222+I236</f>
        <v>97549</v>
      </c>
      <c r="K208" s="229">
        <f>K222+K236</f>
        <v>0</v>
      </c>
      <c r="O208" s="228">
        <v>0</v>
      </c>
      <c r="Q208" s="214" t="s">
        <v>182</v>
      </c>
      <c r="R208" s="215">
        <f>E206/(E206+E207)</f>
        <v>0.52064200878824352</v>
      </c>
      <c r="V208"/>
    </row>
    <row r="209" spans="1:22" ht="16.5" thickBot="1">
      <c r="A209" s="185" t="s">
        <v>134</v>
      </c>
      <c r="C209" s="265">
        <f t="shared" si="12"/>
        <v>239044676.52545047</v>
      </c>
      <c r="E209" s="265">
        <f t="shared" si="13"/>
        <v>264385737.95986271</v>
      </c>
      <c r="G209" s="254"/>
      <c r="I209" s="255">
        <f>SUM(I200:I208)</f>
        <v>23240954</v>
      </c>
      <c r="K209" s="255">
        <f>SUM(K200:K208)</f>
        <v>25579276</v>
      </c>
      <c r="M209" s="256"/>
      <c r="O209" s="255">
        <f>SUM(O200:O208)</f>
        <v>30068725</v>
      </c>
      <c r="Q209" s="214" t="s">
        <v>145</v>
      </c>
      <c r="R209" s="291">
        <f>E209/E200</f>
        <v>10461.193287692902</v>
      </c>
    </row>
    <row r="210" spans="1:22" ht="16.5" thickTop="1">
      <c r="A210" s="185" t="s">
        <v>135</v>
      </c>
      <c r="C210" s="163"/>
      <c r="E210" s="163"/>
      <c r="G210" s="238"/>
      <c r="H210" s="239"/>
      <c r="I210" s="228">
        <f>MPA!K94</f>
        <v>1130338.8272000002</v>
      </c>
      <c r="K210" s="228">
        <f>I210</f>
        <v>1130338.8272000002</v>
      </c>
      <c r="M210" s="180"/>
      <c r="N210" s="239"/>
      <c r="O210" s="228">
        <v>0</v>
      </c>
      <c r="P210" s="172"/>
      <c r="Q210" s="230" t="s">
        <v>183</v>
      </c>
      <c r="R210" s="292">
        <f>(E201+E202)/E200</f>
        <v>73.436196731689947</v>
      </c>
    </row>
    <row r="211" spans="1:22">
      <c r="A211" s="185" t="s">
        <v>136</v>
      </c>
      <c r="C211" s="163"/>
      <c r="E211" s="163"/>
      <c r="G211" s="238">
        <f>M211</f>
        <v>3.8699999999999998E-2</v>
      </c>
      <c r="H211" s="239"/>
      <c r="I211" s="228">
        <f>ROUND(SUM(I201:I207,I210)*$G211,0)</f>
        <v>897646</v>
      </c>
      <c r="K211" s="228">
        <f>ROUND(SUM(K201:K207,K210)*$G211,0)</f>
        <v>989649</v>
      </c>
      <c r="M211" s="180">
        <v>3.8699999999999998E-2</v>
      </c>
      <c r="N211" s="239"/>
      <c r="O211" s="228">
        <f>ROUND(SUM(O201:O207,O210)*M211,0)</f>
        <v>1111822</v>
      </c>
      <c r="P211" s="172"/>
    </row>
    <row r="212" spans="1:22">
      <c r="C212" s="163"/>
      <c r="E212" s="163"/>
      <c r="P212" s="172"/>
    </row>
    <row r="213" spans="1:22">
      <c r="A213" s="181" t="s">
        <v>184</v>
      </c>
      <c r="C213" s="163"/>
      <c r="E213" s="163"/>
      <c r="G213" s="269"/>
      <c r="H213" s="267"/>
      <c r="M213" s="270"/>
      <c r="N213" s="267"/>
      <c r="P213" s="172"/>
    </row>
    <row r="214" spans="1:22">
      <c r="A214" s="185" t="s">
        <v>104</v>
      </c>
      <c r="C214" s="186">
        <v>20977.218000000099</v>
      </c>
      <c r="E214" s="163">
        <v>22363</v>
      </c>
      <c r="G214" s="213">
        <v>45</v>
      </c>
      <c r="H214" s="272"/>
      <c r="I214" s="172">
        <f>ROUND($G214*C214,0)</f>
        <v>943975</v>
      </c>
      <c r="K214" s="172">
        <f>ROUND($G214*E214,0)</f>
        <v>1006335</v>
      </c>
      <c r="M214" s="273">
        <f t="shared" ref="M214:M221" si="15">M200</f>
        <v>53</v>
      </c>
      <c r="N214" s="272"/>
      <c r="O214" s="172">
        <f>ROUND(M214*$E214,0)</f>
        <v>1185239</v>
      </c>
      <c r="P214" s="172"/>
      <c r="T214" s="190">
        <f t="shared" ref="T214:T221" si="16">M214/G214-1</f>
        <v>0.17777777777777781</v>
      </c>
    </row>
    <row r="215" spans="1:22">
      <c r="A215" s="185" t="s">
        <v>177</v>
      </c>
      <c r="C215" s="186">
        <v>602996.25962975388</v>
      </c>
      <c r="E215" s="163">
        <f>ROUND(C215*$E$223/$C$223,0)</f>
        <v>670482</v>
      </c>
      <c r="G215" s="213">
        <v>5.37</v>
      </c>
      <c r="H215" s="272"/>
      <c r="I215" s="172">
        <f>ROUND($G215*C215,0)</f>
        <v>3238090</v>
      </c>
      <c r="K215" s="172">
        <f>ROUND($G215*E215,0)</f>
        <v>3600488</v>
      </c>
      <c r="M215" s="273">
        <f t="shared" si="15"/>
        <v>6.31</v>
      </c>
      <c r="N215" s="272"/>
      <c r="O215" s="172">
        <f>ROUND(M215*$E215,0)</f>
        <v>4230741</v>
      </c>
      <c r="P215" s="172"/>
      <c r="T215" s="190">
        <f t="shared" si="16"/>
        <v>0.17504655493482302</v>
      </c>
    </row>
    <row r="216" spans="1:22">
      <c r="A216" s="185" t="s">
        <v>178</v>
      </c>
      <c r="C216" s="186">
        <v>721646.50556792808</v>
      </c>
      <c r="E216" s="163">
        <f>ROUND(C216*$E$223/$C$223,0)</f>
        <v>802411</v>
      </c>
      <c r="G216" s="213">
        <v>4.5</v>
      </c>
      <c r="H216" s="272"/>
      <c r="I216" s="172">
        <f>ROUND($G216*C216,0)</f>
        <v>3247409</v>
      </c>
      <c r="K216" s="172">
        <f>ROUND($G216*E216,0)</f>
        <v>3610850</v>
      </c>
      <c r="M216" s="273">
        <f t="shared" si="15"/>
        <v>5.29</v>
      </c>
      <c r="N216" s="272"/>
      <c r="O216" s="172">
        <f>ROUND(M216*$E216,0)</f>
        <v>4244754</v>
      </c>
      <c r="P216" s="172"/>
      <c r="T216" s="190">
        <f t="shared" si="16"/>
        <v>0.17555555555555546</v>
      </c>
    </row>
    <row r="217" spans="1:22">
      <c r="A217" s="185" t="s">
        <v>154</v>
      </c>
      <c r="C217" s="186">
        <v>15226</v>
      </c>
      <c r="E217" s="163">
        <f>ROUND(C217*$E$223/$C$223,0)</f>
        <v>16930</v>
      </c>
      <c r="G217" s="213">
        <v>-0.5</v>
      </c>
      <c r="H217" s="272"/>
      <c r="I217" s="172">
        <f>ROUND($G217*C217,0)</f>
        <v>-7613</v>
      </c>
      <c r="K217" s="172">
        <f>ROUND($G217*E217,0)</f>
        <v>-8465</v>
      </c>
      <c r="M217" s="273">
        <f t="shared" si="15"/>
        <v>-0.59</v>
      </c>
      <c r="N217" s="272"/>
      <c r="O217" s="172">
        <f>ROUND(M217*$E217,0)</f>
        <v>-9989</v>
      </c>
      <c r="P217" s="172"/>
      <c r="S217"/>
      <c r="T217" s="190">
        <f t="shared" si="16"/>
        <v>0.17999999999999994</v>
      </c>
    </row>
    <row r="218" spans="1:22">
      <c r="A218" s="185" t="s">
        <v>143</v>
      </c>
      <c r="C218" s="186">
        <v>33666634</v>
      </c>
      <c r="E218" s="163">
        <f>ROUND(C218*($E$223-$E$222)/($C$223-$C$222),0)</f>
        <v>37545465</v>
      </c>
      <c r="G218" s="293">
        <v>9.8184000000000005</v>
      </c>
      <c r="H218" s="193" t="s">
        <v>108</v>
      </c>
      <c r="I218" s="172">
        <f>ROUND($G218*C218/100,0)</f>
        <v>3305525</v>
      </c>
      <c r="K218" s="172">
        <f>ROUND($G218*E218/100,0)</f>
        <v>3686364</v>
      </c>
      <c r="M218" s="294">
        <f t="shared" si="15"/>
        <v>11.5406</v>
      </c>
      <c r="N218" s="193" t="s">
        <v>108</v>
      </c>
      <c r="O218" s="172">
        <f>ROUND(M218*$E218/100,0)</f>
        <v>4332972</v>
      </c>
      <c r="P218" s="218"/>
      <c r="T218" s="190">
        <f t="shared" si="16"/>
        <v>0.17540536136234008</v>
      </c>
    </row>
    <row r="219" spans="1:22">
      <c r="A219" s="185" t="s">
        <v>144</v>
      </c>
      <c r="C219" s="186">
        <v>38894259.721354015</v>
      </c>
      <c r="D219" s="272"/>
      <c r="E219" s="163">
        <f>ROUND(C219*($E$223-$E$222)/($C$223-$C$222),0)</f>
        <v>43375380</v>
      </c>
      <c r="F219" s="272"/>
      <c r="G219" s="293">
        <v>2.956</v>
      </c>
      <c r="H219" s="193" t="s">
        <v>108</v>
      </c>
      <c r="I219" s="172">
        <f>ROUND($G219*C219/100,0)</f>
        <v>1149714</v>
      </c>
      <c r="J219" s="272"/>
      <c r="K219" s="172">
        <f>ROUND($G219*E219/100,0)</f>
        <v>1282176</v>
      </c>
      <c r="L219" s="272"/>
      <c r="M219" s="294">
        <f t="shared" si="15"/>
        <v>3.4744999999999999</v>
      </c>
      <c r="N219" s="193" t="s">
        <v>108</v>
      </c>
      <c r="O219" s="172">
        <f>ROUND(M219*$E219/100,0)</f>
        <v>1507078</v>
      </c>
      <c r="P219" s="218"/>
      <c r="T219" s="190">
        <f t="shared" si="16"/>
        <v>0.17540595399188086</v>
      </c>
      <c r="U219"/>
    </row>
    <row r="220" spans="1:22">
      <c r="A220" s="185" t="s">
        <v>179</v>
      </c>
      <c r="C220" s="186">
        <v>57722035</v>
      </c>
      <c r="E220" s="163">
        <f>ROUND(C220*($E$223-$E$222)/($C$223-$C$222),0)</f>
        <v>64372358</v>
      </c>
      <c r="G220" s="293">
        <v>8.2071000000000005</v>
      </c>
      <c r="H220" s="193" t="s">
        <v>108</v>
      </c>
      <c r="I220" s="172">
        <f>ROUND($G220*C220/100,0)</f>
        <v>4737305</v>
      </c>
      <c r="K220" s="172">
        <f>ROUND($G220*E220/100,0)</f>
        <v>5283104</v>
      </c>
      <c r="M220" s="294">
        <f t="shared" si="15"/>
        <v>9.6466999999999992</v>
      </c>
      <c r="N220" s="193" t="s">
        <v>108</v>
      </c>
      <c r="O220" s="172">
        <f>ROUND(M220*$E220/100,0)</f>
        <v>6209808</v>
      </c>
      <c r="P220" s="218"/>
      <c r="T220" s="190">
        <f t="shared" si="16"/>
        <v>0.17540909700137663</v>
      </c>
    </row>
    <row r="221" spans="1:22">
      <c r="A221" s="185" t="s">
        <v>180</v>
      </c>
      <c r="C221" s="186">
        <v>58040035.804096475</v>
      </c>
      <c r="D221" s="272"/>
      <c r="E221" s="163">
        <f>E223-E218-E219-E220</f>
        <v>64726997</v>
      </c>
      <c r="F221" s="272"/>
      <c r="G221" s="293">
        <v>2.4782000000000002</v>
      </c>
      <c r="H221" s="193" t="s">
        <v>108</v>
      </c>
      <c r="I221" s="172">
        <f>ROUND($G221*C221/100,0)</f>
        <v>1438348</v>
      </c>
      <c r="J221" s="272"/>
      <c r="K221" s="172">
        <f>ROUND($G221*E221/100,0)</f>
        <v>1604064</v>
      </c>
      <c r="L221" s="272"/>
      <c r="M221" s="294">
        <f t="shared" si="15"/>
        <v>2.9142000000000001</v>
      </c>
      <c r="N221" s="193" t="s">
        <v>108</v>
      </c>
      <c r="O221" s="172">
        <f>ROUND(M221*$E221/100,0)</f>
        <v>1886274</v>
      </c>
      <c r="P221" s="218"/>
      <c r="Q221" s="171" t="s">
        <v>117</v>
      </c>
      <c r="R221" s="248">
        <f>O223/K223-1</f>
        <v>0.17552832017836506</v>
      </c>
      <c r="T221" s="190">
        <f t="shared" si="16"/>
        <v>0.17593414575094823</v>
      </c>
      <c r="V221"/>
    </row>
    <row r="222" spans="1:22">
      <c r="A222" s="185" t="s">
        <v>132</v>
      </c>
      <c r="C222" s="227">
        <v>558223</v>
      </c>
      <c r="E222" s="282">
        <v>0</v>
      </c>
      <c r="I222" s="229">
        <v>86407</v>
      </c>
      <c r="K222" s="229">
        <v>0</v>
      </c>
      <c r="O222" s="228">
        <v>0</v>
      </c>
      <c r="Q222" s="161" t="s">
        <v>138</v>
      </c>
      <c r="R222" s="264">
        <f>(O223+O224)/(K223+K224)-1</f>
        <v>0.12601972222824265</v>
      </c>
    </row>
    <row r="223" spans="1:22" ht="16.5" thickBot="1">
      <c r="A223" s="185" t="s">
        <v>134</v>
      </c>
      <c r="C223" s="265">
        <f>C218+C219+C222+C220+C221</f>
        <v>188881187.52545047</v>
      </c>
      <c r="E223" s="265">
        <v>210020200</v>
      </c>
      <c r="G223" s="254"/>
      <c r="I223" s="255">
        <f>SUM(I214:I222)</f>
        <v>18139160</v>
      </c>
      <c r="K223" s="255">
        <f>SUM(K214:K222)</f>
        <v>20064916</v>
      </c>
      <c r="M223" s="256"/>
      <c r="O223" s="255">
        <f>SUM(O214:O222)</f>
        <v>23586877</v>
      </c>
      <c r="R223"/>
    </row>
    <row r="224" spans="1:22" ht="16.5" thickTop="1">
      <c r="A224" s="185" t="s">
        <v>135</v>
      </c>
      <c r="C224" s="163"/>
      <c r="E224" s="163"/>
      <c r="G224" s="238"/>
      <c r="H224" s="239"/>
      <c r="I224" s="228">
        <f>ROUND(I210*I223/I209,0)</f>
        <v>882210</v>
      </c>
      <c r="K224" s="228">
        <f>I224</f>
        <v>882210</v>
      </c>
      <c r="M224" s="180"/>
      <c r="N224" s="239"/>
      <c r="O224" s="228">
        <v>0</v>
      </c>
      <c r="P224" s="172"/>
    </row>
    <row r="225" spans="1:22">
      <c r="A225" s="185" t="s">
        <v>136</v>
      </c>
      <c r="C225" s="163"/>
      <c r="E225" s="163"/>
      <c r="G225" s="238">
        <f>M225</f>
        <v>3.8699999999999998E-2</v>
      </c>
      <c r="H225" s="258"/>
      <c r="I225" s="228">
        <f>ROUND(SUM(I215:I221,I224)*G225,0)</f>
        <v>696251</v>
      </c>
      <c r="K225" s="228">
        <f>ROUND(SUM(K215:K221,K224)*G225,0)</f>
        <v>771709</v>
      </c>
      <c r="M225" s="259">
        <f>M211</f>
        <v>3.8699999999999998E-2</v>
      </c>
      <c r="N225" s="258"/>
      <c r="O225" s="228">
        <f>ROUND(SUM(O215:O221,O224)*M225,0)</f>
        <v>866943</v>
      </c>
      <c r="P225" s="172"/>
    </row>
    <row r="226" spans="1:22">
      <c r="C226" s="163"/>
      <c r="E226" s="163"/>
      <c r="P226" s="172"/>
    </row>
    <row r="227" spans="1:22">
      <c r="A227" s="181" t="s">
        <v>185</v>
      </c>
      <c r="C227" s="163"/>
      <c r="E227" s="163"/>
      <c r="G227" s="269"/>
      <c r="H227" s="267"/>
      <c r="M227" s="270"/>
      <c r="N227" s="267"/>
      <c r="P227" s="172"/>
    </row>
    <row r="228" spans="1:22">
      <c r="A228" s="185" t="s">
        <v>104</v>
      </c>
      <c r="C228" s="186">
        <v>2994.9041925925912</v>
      </c>
      <c r="E228" s="278">
        <v>2910</v>
      </c>
      <c r="G228" s="213">
        <v>45</v>
      </c>
      <c r="H228" s="272"/>
      <c r="I228" s="172">
        <f>ROUND($G228*C228,0)</f>
        <v>134771</v>
      </c>
      <c r="K228" s="172">
        <f>ROUND($G228*E228,0)</f>
        <v>130950</v>
      </c>
      <c r="M228" s="273">
        <f t="shared" ref="M228:M235" si="17">M200</f>
        <v>53</v>
      </c>
      <c r="N228" s="272"/>
      <c r="O228" s="172">
        <f>ROUND(M228*$E228,0)</f>
        <v>154230</v>
      </c>
      <c r="P228" s="172"/>
      <c r="T228" s="190">
        <f t="shared" ref="T228:T235" si="18">M228/G228-1</f>
        <v>0.17777777777777781</v>
      </c>
    </row>
    <row r="229" spans="1:22">
      <c r="A229" s="185" t="s">
        <v>177</v>
      </c>
      <c r="C229" s="186">
        <v>161464.06099421953</v>
      </c>
      <c r="E229" s="163">
        <f>ROUND(C229*$E$237/$C$237,0)</f>
        <v>174989</v>
      </c>
      <c r="G229" s="213">
        <v>5.37</v>
      </c>
      <c r="H229" s="272"/>
      <c r="I229" s="172">
        <f>ROUND($G229*C229,0)</f>
        <v>867062</v>
      </c>
      <c r="K229" s="172">
        <f>ROUND($G229*E229,0)</f>
        <v>939691</v>
      </c>
      <c r="M229" s="273">
        <f t="shared" si="17"/>
        <v>6.31</v>
      </c>
      <c r="N229" s="272"/>
      <c r="O229" s="172">
        <f>ROUND(M229*$E229,0)</f>
        <v>1104181</v>
      </c>
      <c r="P229" s="172"/>
      <c r="T229" s="190">
        <f t="shared" si="18"/>
        <v>0.17504655493482302</v>
      </c>
    </row>
    <row r="230" spans="1:22">
      <c r="A230" s="185" t="s">
        <v>178</v>
      </c>
      <c r="C230" s="186">
        <v>191988.40311804001</v>
      </c>
      <c r="E230" s="163">
        <f>ROUND(C230*$E$237/$C$237,0)</f>
        <v>208071</v>
      </c>
      <c r="G230" s="213">
        <v>4.5</v>
      </c>
      <c r="H230" s="272"/>
      <c r="I230" s="172">
        <f>ROUND($G230*C230,0)</f>
        <v>863948</v>
      </c>
      <c r="K230" s="172">
        <f>ROUND($G230*E230,0)</f>
        <v>936320</v>
      </c>
      <c r="M230" s="273">
        <f t="shared" si="17"/>
        <v>5.29</v>
      </c>
      <c r="N230" s="272"/>
      <c r="O230" s="172">
        <f>ROUND(M230*$E230,0)</f>
        <v>1100696</v>
      </c>
      <c r="P230" s="172"/>
      <c r="T230" s="190">
        <f t="shared" si="18"/>
        <v>0.17555555555555546</v>
      </c>
    </row>
    <row r="231" spans="1:22">
      <c r="A231" s="185" t="s">
        <v>154</v>
      </c>
      <c r="C231" s="186">
        <v>8399</v>
      </c>
      <c r="D231" s="272"/>
      <c r="E231" s="163">
        <f>ROUND(C231*$E$237/$C$237,0)</f>
        <v>9103</v>
      </c>
      <c r="F231" s="272"/>
      <c r="G231" s="213">
        <v>-0.5</v>
      </c>
      <c r="H231" s="272"/>
      <c r="I231" s="172">
        <f>ROUND($G231*C231,0)</f>
        <v>-4200</v>
      </c>
      <c r="J231" s="272"/>
      <c r="K231" s="172">
        <f>ROUND($G231*E231,0)</f>
        <v>-4552</v>
      </c>
      <c r="L231" s="272"/>
      <c r="M231" s="273">
        <f t="shared" si="17"/>
        <v>-0.59</v>
      </c>
      <c r="N231" s="272"/>
      <c r="O231" s="172">
        <f>ROUND(M231*$E231,0)</f>
        <v>-5371</v>
      </c>
      <c r="P231" s="172"/>
      <c r="S231"/>
      <c r="T231" s="190">
        <f t="shared" si="18"/>
        <v>0.17999999999999994</v>
      </c>
    </row>
    <row r="232" spans="1:22">
      <c r="A232" s="185" t="s">
        <v>143</v>
      </c>
      <c r="C232" s="186">
        <v>13871634</v>
      </c>
      <c r="D232" s="272"/>
      <c r="E232" s="163">
        <f>ROUND(C232*($E$237-$E$236)/($C$237-$C$236),0)</f>
        <v>15086845</v>
      </c>
      <c r="F232" s="272"/>
      <c r="G232" s="293">
        <v>9.8184000000000005</v>
      </c>
      <c r="H232" s="193" t="s">
        <v>108</v>
      </c>
      <c r="I232" s="172">
        <f>ROUND($G232*C232/100,0)</f>
        <v>1361973</v>
      </c>
      <c r="J232" s="272"/>
      <c r="K232" s="172">
        <f>ROUND($G232*E232/100,0)</f>
        <v>1481287</v>
      </c>
      <c r="L232" s="272"/>
      <c r="M232" s="294">
        <f t="shared" si="17"/>
        <v>11.5406</v>
      </c>
      <c r="N232" s="193" t="s">
        <v>108</v>
      </c>
      <c r="O232" s="172">
        <f>ROUND(M232*$E232/100,0)</f>
        <v>1741112</v>
      </c>
      <c r="P232" s="218"/>
      <c r="T232" s="190">
        <f t="shared" si="18"/>
        <v>0.17540536136234008</v>
      </c>
    </row>
    <row r="233" spans="1:22">
      <c r="A233" s="185" t="s">
        <v>144</v>
      </c>
      <c r="C233" s="186">
        <v>10172505</v>
      </c>
      <c r="D233" s="272"/>
      <c r="E233" s="163">
        <f>ROUND(C233*($E$237-$E$236)/($C$237-$C$236),0)</f>
        <v>11063658</v>
      </c>
      <c r="F233" s="272"/>
      <c r="G233" s="293">
        <v>2.956</v>
      </c>
      <c r="H233" s="193" t="s">
        <v>108</v>
      </c>
      <c r="I233" s="172">
        <f>ROUND($G233*C233/100,0)</f>
        <v>300699</v>
      </c>
      <c r="J233" s="272"/>
      <c r="K233" s="172">
        <f>ROUND($G233*E233/100,0)</f>
        <v>327042</v>
      </c>
      <c r="L233" s="272"/>
      <c r="M233" s="294">
        <f t="shared" si="17"/>
        <v>3.4744999999999999</v>
      </c>
      <c r="N233" s="193" t="s">
        <v>108</v>
      </c>
      <c r="O233" s="172">
        <f>ROUND(M233*$E233/100,0)</f>
        <v>384407</v>
      </c>
      <c r="P233" s="218"/>
      <c r="T233" s="190">
        <f t="shared" si="18"/>
        <v>0.17540595399188086</v>
      </c>
      <c r="U233"/>
    </row>
    <row r="234" spans="1:22">
      <c r="A234" s="185" t="s">
        <v>179</v>
      </c>
      <c r="C234" s="186">
        <v>16119949</v>
      </c>
      <c r="D234" s="272"/>
      <c r="E234" s="163">
        <f>ROUND(C234*($E$237-$E$236)/($C$237-$C$236),0)</f>
        <v>17532122</v>
      </c>
      <c r="F234" s="272"/>
      <c r="G234" s="293">
        <v>8.2071000000000005</v>
      </c>
      <c r="H234" s="193" t="s">
        <v>108</v>
      </c>
      <c r="I234" s="172">
        <f>ROUND($G234*C234/100,0)</f>
        <v>1322980</v>
      </c>
      <c r="J234" s="272"/>
      <c r="K234" s="172">
        <f>ROUND($G234*E234/100,0)</f>
        <v>1438879</v>
      </c>
      <c r="L234" s="272"/>
      <c r="M234" s="294">
        <f t="shared" si="17"/>
        <v>9.6466999999999992</v>
      </c>
      <c r="N234" s="193" t="s">
        <v>108</v>
      </c>
      <c r="O234" s="172">
        <f>ROUND(M234*$E234/100,0)</f>
        <v>1691271</v>
      </c>
      <c r="P234" s="218"/>
      <c r="T234" s="190">
        <f t="shared" si="18"/>
        <v>0.17540909700137663</v>
      </c>
    </row>
    <row r="235" spans="1:22">
      <c r="A235" s="185" t="s">
        <v>180</v>
      </c>
      <c r="C235" s="186">
        <v>9822429</v>
      </c>
      <c r="D235" s="272"/>
      <c r="E235" s="163">
        <f>E237-E232-E233-E234</f>
        <v>10682912.959862694</v>
      </c>
      <c r="F235" s="272"/>
      <c r="G235" s="293">
        <v>2.4782000000000002</v>
      </c>
      <c r="H235" s="193" t="s">
        <v>108</v>
      </c>
      <c r="I235" s="172">
        <f>ROUND($G235*C235/100,0)</f>
        <v>243419</v>
      </c>
      <c r="J235" s="272"/>
      <c r="K235" s="172">
        <f>ROUND($G235*E235/100,0)</f>
        <v>264744</v>
      </c>
      <c r="L235" s="272"/>
      <c r="M235" s="294">
        <f t="shared" si="17"/>
        <v>2.9142000000000001</v>
      </c>
      <c r="N235" s="193" t="s">
        <v>108</v>
      </c>
      <c r="O235" s="172">
        <f>ROUND(M235*$E235/100,0)</f>
        <v>311321</v>
      </c>
      <c r="P235" s="218"/>
      <c r="Q235" s="171" t="s">
        <v>117</v>
      </c>
      <c r="R235" s="248">
        <f>O237/K237-1</f>
        <v>0.17544843364444218</v>
      </c>
      <c r="T235" s="190">
        <f t="shared" si="18"/>
        <v>0.17593414575094823</v>
      </c>
      <c r="V235"/>
    </row>
    <row r="236" spans="1:22">
      <c r="A236" s="185" t="s">
        <v>132</v>
      </c>
      <c r="C236" s="227">
        <v>176972</v>
      </c>
      <c r="E236" s="282">
        <v>0</v>
      </c>
      <c r="I236" s="229">
        <v>11142</v>
      </c>
      <c r="K236" s="229">
        <v>0</v>
      </c>
      <c r="O236" s="228">
        <v>0</v>
      </c>
      <c r="Q236" s="161" t="s">
        <v>138</v>
      </c>
      <c r="R236" s="264">
        <f>(O237+O238)/(K237+K238)-1</f>
        <v>0.1248344369137977</v>
      </c>
    </row>
    <row r="237" spans="1:22" ht="16.5" thickBot="1">
      <c r="A237" s="185" t="s">
        <v>134</v>
      </c>
      <c r="C237" s="265">
        <f>C232+C233+C236+C234+C235</f>
        <v>50163489</v>
      </c>
      <c r="D237" s="272"/>
      <c r="E237" s="265">
        <v>54365537.959862694</v>
      </c>
      <c r="F237" s="272"/>
      <c r="G237" s="254"/>
      <c r="I237" s="255">
        <f>SUM(I228:I236)</f>
        <v>5101794</v>
      </c>
      <c r="K237" s="255">
        <f>SUM(K228:K236)</f>
        <v>5514361</v>
      </c>
      <c r="L237" s="272"/>
      <c r="M237" s="256"/>
      <c r="O237" s="255">
        <f>SUM(O228:O236)</f>
        <v>6481847</v>
      </c>
      <c r="R237"/>
    </row>
    <row r="238" spans="1:22" ht="16.5" thickTop="1">
      <c r="A238" s="185" t="s">
        <v>135</v>
      </c>
      <c r="C238" s="163"/>
      <c r="E238" s="163"/>
      <c r="G238" s="238"/>
      <c r="H238" s="239"/>
      <c r="I238" s="228">
        <f>I210-I224</f>
        <v>248128.82720000017</v>
      </c>
      <c r="K238" s="228">
        <f>I238</f>
        <v>248128.82720000017</v>
      </c>
      <c r="M238" s="180"/>
      <c r="N238" s="239"/>
      <c r="O238" s="228">
        <v>0</v>
      </c>
      <c r="P238" s="172"/>
    </row>
    <row r="239" spans="1:22">
      <c r="A239" s="185" t="s">
        <v>136</v>
      </c>
      <c r="C239" s="163"/>
      <c r="E239" s="163"/>
      <c r="G239" s="238">
        <f>M239</f>
        <v>3.8699999999999998E-2</v>
      </c>
      <c r="H239" s="258"/>
      <c r="I239" s="228">
        <f>ROUND(SUM(I229:I235,I238)*G239,0)</f>
        <v>201395</v>
      </c>
      <c r="K239" s="228">
        <f>ROUND(SUM(K229:K235,K238)*G239,0)</f>
        <v>217941</v>
      </c>
      <c r="M239" s="259">
        <f>M211</f>
        <v>3.8699999999999998E-2</v>
      </c>
      <c r="N239" s="258"/>
      <c r="O239" s="228">
        <f>ROUND(SUM(O229:O235,O238)*M239,0)</f>
        <v>244879</v>
      </c>
      <c r="P239" s="172"/>
    </row>
    <row r="240" spans="1:22">
      <c r="D240" s="272"/>
      <c r="F240" s="272"/>
      <c r="J240" s="272"/>
      <c r="L240" s="272"/>
      <c r="P240" s="172"/>
    </row>
    <row r="241" spans="1:22">
      <c r="A241" s="181" t="s">
        <v>186</v>
      </c>
      <c r="C241" s="163"/>
      <c r="E241" s="163"/>
      <c r="P241" s="172"/>
      <c r="R241" s="162"/>
      <c r="S241" s="253"/>
      <c r="T241" s="253"/>
      <c r="V241" s="287"/>
    </row>
    <row r="242" spans="1:22">
      <c r="A242" s="295" t="s">
        <v>187</v>
      </c>
      <c r="C242" s="163"/>
      <c r="E242" s="163"/>
      <c r="I242" s="172"/>
      <c r="K242" s="172"/>
      <c r="O242" s="172"/>
      <c r="P242" s="172"/>
      <c r="Q242" s="189"/>
      <c r="R242" s="189"/>
      <c r="S242" s="253"/>
      <c r="T242" s="253"/>
      <c r="V242" s="287"/>
    </row>
    <row r="243" spans="1:22">
      <c r="A243" s="185" t="s">
        <v>188</v>
      </c>
      <c r="C243" s="186">
        <v>23.999388906982901</v>
      </c>
      <c r="E243" s="260">
        <f>ROUND(C243*$E$276/$C$276,0)</f>
        <v>26</v>
      </c>
      <c r="G243" s="187">
        <v>5.63</v>
      </c>
      <c r="H243" s="188"/>
      <c r="I243" s="172">
        <f>ROUND(G243*$C243,0)</f>
        <v>135</v>
      </c>
      <c r="K243" s="172">
        <f>ROUND(G243*$E243,0)</f>
        <v>146</v>
      </c>
      <c r="M243" s="187">
        <f>ROUND(G243*(1+R$275),2)</f>
        <v>5.68</v>
      </c>
      <c r="N243" s="188"/>
      <c r="O243" s="273">
        <f>ROUND(M243*$E243,0)</f>
        <v>148</v>
      </c>
      <c r="P243" s="172"/>
      <c r="Q243" s="189"/>
      <c r="R243" s="189"/>
      <c r="S243" s="253"/>
      <c r="T243" s="190">
        <f t="shared" ref="T243:T258" si="19">M243/G243-1</f>
        <v>8.8809946714032417E-3</v>
      </c>
      <c r="V243" s="287"/>
    </row>
    <row r="244" spans="1:22">
      <c r="A244" s="185" t="s">
        <v>189</v>
      </c>
      <c r="C244" s="186">
        <v>48144.95415977294</v>
      </c>
      <c r="E244" s="260">
        <f>ROUND(C244*$E$276/$C$276,0)</f>
        <v>51852</v>
      </c>
      <c r="G244" s="187">
        <v>16.23</v>
      </c>
      <c r="H244" s="188"/>
      <c r="I244" s="172">
        <f>ROUND(G244*$C244,0)</f>
        <v>781393</v>
      </c>
      <c r="K244" s="172">
        <f>ROUND(G244*$E244,0)</f>
        <v>841558</v>
      </c>
      <c r="M244" s="187">
        <f t="shared" ref="M244:M274" si="20">ROUND(G244*(1+R$275),2)</f>
        <v>16.38</v>
      </c>
      <c r="N244" s="188"/>
      <c r="O244" s="172">
        <f>ROUND(M244*$E244,0)</f>
        <v>849336</v>
      </c>
      <c r="P244" s="172"/>
      <c r="Q244" s="189"/>
      <c r="R244" s="189"/>
      <c r="S244" s="253"/>
      <c r="T244" s="190">
        <f t="shared" si="19"/>
        <v>9.2421441774490631E-3</v>
      </c>
      <c r="V244" s="287"/>
    </row>
    <row r="245" spans="1:22">
      <c r="A245" s="185" t="s">
        <v>190</v>
      </c>
      <c r="C245" s="186">
        <v>275.999498746867</v>
      </c>
      <c r="E245" s="260">
        <f>ROUND(C245*$E$276/$C$276,0)</f>
        <v>297</v>
      </c>
      <c r="G245" s="187">
        <v>7.98</v>
      </c>
      <c r="H245" s="188"/>
      <c r="I245" s="172">
        <f>ROUND(G245*$C245,0)</f>
        <v>2202</v>
      </c>
      <c r="K245" s="172">
        <f>ROUND(G245*$E245,0)</f>
        <v>2370</v>
      </c>
      <c r="M245" s="187">
        <f t="shared" si="20"/>
        <v>8.0500000000000007</v>
      </c>
      <c r="N245" s="188"/>
      <c r="O245" s="172">
        <f>ROUND(M245*$E245,0)</f>
        <v>2391</v>
      </c>
      <c r="P245" s="172"/>
      <c r="R245" s="162"/>
      <c r="S245" s="253"/>
      <c r="T245" s="190">
        <f t="shared" si="19"/>
        <v>8.7719298245614308E-3</v>
      </c>
      <c r="V245" s="287"/>
    </row>
    <row r="246" spans="1:22">
      <c r="A246" s="185" t="s">
        <v>191</v>
      </c>
      <c r="C246" s="186">
        <v>12417.90699144184</v>
      </c>
      <c r="E246" s="260">
        <f>ROUND(C246*$E$276/$C$276,0)</f>
        <v>13374</v>
      </c>
      <c r="G246" s="187">
        <v>26.53</v>
      </c>
      <c r="H246" s="188"/>
      <c r="I246" s="172">
        <f>ROUND(G246*$C246,0)</f>
        <v>329447</v>
      </c>
      <c r="K246" s="172">
        <f>ROUND(G246*$E246,0)</f>
        <v>354812</v>
      </c>
      <c r="M246" s="187">
        <f t="shared" si="20"/>
        <v>26.78</v>
      </c>
      <c r="N246" s="188"/>
      <c r="O246" s="172">
        <f>ROUND(M246*$E246,0)</f>
        <v>358156</v>
      </c>
      <c r="P246" s="172"/>
      <c r="Q246" s="189"/>
      <c r="R246" s="189"/>
      <c r="S246" s="253"/>
      <c r="T246" s="190">
        <f t="shared" si="19"/>
        <v>9.423294383716474E-3</v>
      </c>
      <c r="V246" s="287"/>
    </row>
    <row r="247" spans="1:22">
      <c r="A247" s="295" t="s">
        <v>192</v>
      </c>
      <c r="C247" s="186"/>
      <c r="E247" s="260"/>
      <c r="I247" s="172"/>
      <c r="K247" s="172"/>
      <c r="M247" s="161"/>
      <c r="O247" s="172"/>
      <c r="P247" s="172"/>
      <c r="Q247" s="189"/>
      <c r="R247" s="189"/>
      <c r="S247" s="253"/>
      <c r="T247" s="190"/>
      <c r="V247" s="287"/>
    </row>
    <row r="248" spans="1:22">
      <c r="A248" s="185" t="s">
        <v>193</v>
      </c>
      <c r="C248" s="186">
        <v>3638.5013098476702</v>
      </c>
      <c r="E248" s="260">
        <f t="shared" ref="E248:E258" si="21">ROUND(C248*$E$276/$C$276,0)</f>
        <v>3919</v>
      </c>
      <c r="G248" s="187">
        <v>14.46</v>
      </c>
      <c r="H248" s="188"/>
      <c r="I248" s="172">
        <f t="shared" ref="I248:I258" si="22">ROUND(G248*$C248,0)</f>
        <v>52613</v>
      </c>
      <c r="K248" s="172">
        <f t="shared" ref="K248:K258" si="23">ROUND(G248*$E248,0)</f>
        <v>56669</v>
      </c>
      <c r="M248" s="187">
        <f t="shared" si="20"/>
        <v>14.6</v>
      </c>
      <c r="N248" s="188"/>
      <c r="O248" s="172">
        <f t="shared" ref="O248:O258" si="24">ROUND(M248*$E248,0)</f>
        <v>57217</v>
      </c>
      <c r="P248" s="172"/>
      <c r="Q248" s="189"/>
      <c r="R248" s="189"/>
      <c r="S248" s="253"/>
      <c r="T248" s="190">
        <f t="shared" si="19"/>
        <v>9.6818810511756226E-3</v>
      </c>
      <c r="V248" s="287"/>
    </row>
    <row r="249" spans="1:22">
      <c r="A249" s="185" t="s">
        <v>194</v>
      </c>
      <c r="C249" s="186">
        <v>1857.9043483803989</v>
      </c>
      <c r="E249" s="260">
        <f t="shared" si="21"/>
        <v>2001</v>
      </c>
      <c r="G249" s="187">
        <v>12.12</v>
      </c>
      <c r="H249" s="188"/>
      <c r="I249" s="172">
        <f t="shared" si="22"/>
        <v>22518</v>
      </c>
      <c r="K249" s="172">
        <f t="shared" si="23"/>
        <v>24252</v>
      </c>
      <c r="M249" s="187">
        <f t="shared" si="20"/>
        <v>12.23</v>
      </c>
      <c r="N249" s="188"/>
      <c r="O249" s="172">
        <f t="shared" si="24"/>
        <v>24472</v>
      </c>
      <c r="P249" s="172"/>
      <c r="Q249" s="189"/>
      <c r="R249" s="189"/>
      <c r="S249" s="253"/>
      <c r="T249" s="190">
        <f t="shared" si="19"/>
        <v>9.075907590759158E-3</v>
      </c>
      <c r="V249" s="287"/>
    </row>
    <row r="250" spans="1:22">
      <c r="A250" s="185" t="s">
        <v>195</v>
      </c>
      <c r="C250" s="186">
        <v>24525.384352027715</v>
      </c>
      <c r="E250" s="260">
        <f t="shared" si="21"/>
        <v>26414</v>
      </c>
      <c r="G250" s="187">
        <v>15.33</v>
      </c>
      <c r="H250" s="188"/>
      <c r="I250" s="172">
        <f t="shared" si="22"/>
        <v>375974</v>
      </c>
      <c r="K250" s="172">
        <f t="shared" si="23"/>
        <v>404927</v>
      </c>
      <c r="M250" s="187">
        <f t="shared" si="20"/>
        <v>15.47</v>
      </c>
      <c r="N250" s="188"/>
      <c r="O250" s="172">
        <f t="shared" si="24"/>
        <v>408625</v>
      </c>
      <c r="P250" s="172"/>
      <c r="Q250" s="189"/>
      <c r="R250" s="189"/>
      <c r="S250" s="253"/>
      <c r="T250" s="190">
        <f t="shared" si="19"/>
        <v>9.1324200913243114E-3</v>
      </c>
      <c r="V250" s="287"/>
    </row>
    <row r="251" spans="1:22">
      <c r="A251" s="185" t="s">
        <v>196</v>
      </c>
      <c r="C251" s="186">
        <v>23872.052740957191</v>
      </c>
      <c r="E251" s="260">
        <f t="shared" si="21"/>
        <v>25710</v>
      </c>
      <c r="G251" s="187">
        <v>13.19</v>
      </c>
      <c r="H251" s="188"/>
      <c r="I251" s="172">
        <f t="shared" si="22"/>
        <v>314872</v>
      </c>
      <c r="K251" s="172">
        <f t="shared" si="23"/>
        <v>339115</v>
      </c>
      <c r="M251" s="187">
        <f t="shared" si="20"/>
        <v>13.31</v>
      </c>
      <c r="N251" s="188"/>
      <c r="O251" s="172">
        <f t="shared" si="24"/>
        <v>342200</v>
      </c>
      <c r="P251" s="172"/>
      <c r="Q251" s="189"/>
      <c r="R251" s="189"/>
      <c r="S251" s="253"/>
      <c r="T251" s="190">
        <f t="shared" si="19"/>
        <v>9.0978013646703104E-3</v>
      </c>
      <c r="V251" s="287"/>
    </row>
    <row r="252" spans="1:22">
      <c r="A252" s="185" t="s">
        <v>197</v>
      </c>
      <c r="C252" s="186">
        <v>2752.869158354164</v>
      </c>
      <c r="E252" s="260">
        <f t="shared" si="21"/>
        <v>2965</v>
      </c>
      <c r="G252" s="187">
        <v>19.28</v>
      </c>
      <c r="H252" s="188"/>
      <c r="I252" s="172">
        <f t="shared" si="22"/>
        <v>53075</v>
      </c>
      <c r="K252" s="172">
        <f t="shared" si="23"/>
        <v>57165</v>
      </c>
      <c r="M252" s="187">
        <f t="shared" si="20"/>
        <v>19.46</v>
      </c>
      <c r="N252" s="188"/>
      <c r="O252" s="172">
        <f t="shared" si="24"/>
        <v>57699</v>
      </c>
      <c r="P252" s="172"/>
      <c r="Q252" s="189"/>
      <c r="R252" s="189"/>
      <c r="S252" s="253"/>
      <c r="T252" s="190">
        <f t="shared" si="19"/>
        <v>9.3360995850622075E-3</v>
      </c>
      <c r="V252" s="287"/>
    </row>
    <row r="253" spans="1:22">
      <c r="A253" s="185" t="s">
        <v>198</v>
      </c>
      <c r="C253" s="186">
        <v>2681.3389193173252</v>
      </c>
      <c r="E253" s="260">
        <f t="shared" si="21"/>
        <v>2888</v>
      </c>
      <c r="G253" s="187">
        <v>16.97</v>
      </c>
      <c r="H253" s="188"/>
      <c r="I253" s="172">
        <f t="shared" si="22"/>
        <v>45502</v>
      </c>
      <c r="K253" s="172">
        <f t="shared" si="23"/>
        <v>49009</v>
      </c>
      <c r="M253" s="187">
        <f t="shared" si="20"/>
        <v>17.13</v>
      </c>
      <c r="N253" s="188"/>
      <c r="O253" s="172">
        <f t="shared" si="24"/>
        <v>49471</v>
      </c>
      <c r="P253" s="172"/>
      <c r="Q253" s="189"/>
      <c r="R253" s="189"/>
      <c r="S253" s="253"/>
      <c r="T253" s="190">
        <f t="shared" si="19"/>
        <v>9.4284030642310945E-3</v>
      </c>
      <c r="V253" s="287"/>
    </row>
    <row r="254" spans="1:22">
      <c r="A254" s="185" t="s">
        <v>199</v>
      </c>
      <c r="C254" s="186">
        <v>129.99904168663159</v>
      </c>
      <c r="E254" s="260">
        <f t="shared" si="21"/>
        <v>140</v>
      </c>
      <c r="G254" s="187">
        <v>20.87</v>
      </c>
      <c r="H254" s="188"/>
      <c r="I254" s="172">
        <f t="shared" si="22"/>
        <v>2713</v>
      </c>
      <c r="K254" s="172">
        <f t="shared" si="23"/>
        <v>2922</v>
      </c>
      <c r="M254" s="187">
        <f t="shared" si="20"/>
        <v>21.07</v>
      </c>
      <c r="N254" s="188"/>
      <c r="O254" s="172">
        <f t="shared" si="24"/>
        <v>2950</v>
      </c>
      <c r="P254" s="172"/>
      <c r="Q254" s="189"/>
      <c r="R254" s="189"/>
      <c r="S254" s="253"/>
      <c r="T254" s="190">
        <f t="shared" si="19"/>
        <v>9.5831336847149728E-3</v>
      </c>
      <c r="V254" s="287"/>
    </row>
    <row r="255" spans="1:22">
      <c r="A255" s="185" t="s">
        <v>200</v>
      </c>
      <c r="C255" s="186">
        <v>3417.5011928764379</v>
      </c>
      <c r="E255" s="260">
        <f t="shared" si="21"/>
        <v>3681</v>
      </c>
      <c r="G255" s="187">
        <v>23.29</v>
      </c>
      <c r="H255" s="188"/>
      <c r="I255" s="172">
        <f t="shared" si="22"/>
        <v>79594</v>
      </c>
      <c r="K255" s="172">
        <f t="shared" si="23"/>
        <v>85730</v>
      </c>
      <c r="M255" s="187">
        <f t="shared" si="20"/>
        <v>23.51</v>
      </c>
      <c r="N255" s="188"/>
      <c r="O255" s="172">
        <f t="shared" si="24"/>
        <v>86540</v>
      </c>
      <c r="P255" s="172"/>
      <c r="Q255" s="189"/>
      <c r="R255" s="189"/>
      <c r="S255" s="253"/>
      <c r="T255" s="190">
        <f t="shared" si="19"/>
        <v>9.4461142121082808E-3</v>
      </c>
      <c r="V255" s="287"/>
    </row>
    <row r="256" spans="1:22">
      <c r="A256" s="185" t="s">
        <v>201</v>
      </c>
      <c r="C256" s="186">
        <v>3367.8711492258053</v>
      </c>
      <c r="E256" s="260">
        <f t="shared" si="21"/>
        <v>3627</v>
      </c>
      <c r="G256" s="187">
        <v>21.03</v>
      </c>
      <c r="H256" s="188"/>
      <c r="I256" s="172">
        <f t="shared" si="22"/>
        <v>70826</v>
      </c>
      <c r="K256" s="172">
        <f t="shared" si="23"/>
        <v>76276</v>
      </c>
      <c r="M256" s="187">
        <f t="shared" si="20"/>
        <v>21.23</v>
      </c>
      <c r="N256" s="188"/>
      <c r="O256" s="172">
        <f t="shared" si="24"/>
        <v>77001</v>
      </c>
      <c r="P256" s="172"/>
      <c r="Q256" s="189"/>
      <c r="R256" s="189"/>
      <c r="S256" s="253"/>
      <c r="T256" s="190">
        <f t="shared" si="19"/>
        <v>9.51022349025199E-3</v>
      </c>
      <c r="V256" s="287"/>
    </row>
    <row r="257" spans="1:22">
      <c r="A257" s="185" t="s">
        <v>202</v>
      </c>
      <c r="C257" s="186">
        <v>1207.5326835883679</v>
      </c>
      <c r="E257" s="260">
        <f t="shared" si="21"/>
        <v>1301</v>
      </c>
      <c r="G257" s="187">
        <v>28.04</v>
      </c>
      <c r="H257" s="188"/>
      <c r="I257" s="172">
        <f t="shared" si="22"/>
        <v>33859</v>
      </c>
      <c r="K257" s="172">
        <f t="shared" si="23"/>
        <v>36480</v>
      </c>
      <c r="M257" s="187">
        <f t="shared" si="20"/>
        <v>28.3</v>
      </c>
      <c r="N257" s="188"/>
      <c r="O257" s="172">
        <f t="shared" si="24"/>
        <v>36818</v>
      </c>
      <c r="P257" s="172"/>
      <c r="R257" s="162"/>
      <c r="S257" s="253"/>
      <c r="T257" s="190">
        <f t="shared" si="19"/>
        <v>9.2724679029958512E-3</v>
      </c>
      <c r="V257" s="287"/>
    </row>
    <row r="258" spans="1:22">
      <c r="A258" s="185" t="s">
        <v>203</v>
      </c>
      <c r="C258" s="186">
        <v>1915.1024697103448</v>
      </c>
      <c r="E258" s="260">
        <f t="shared" si="21"/>
        <v>2063</v>
      </c>
      <c r="G258" s="187">
        <v>25.75</v>
      </c>
      <c r="H258" s="188"/>
      <c r="I258" s="172">
        <f t="shared" si="22"/>
        <v>49314</v>
      </c>
      <c r="K258" s="172">
        <f t="shared" si="23"/>
        <v>53122</v>
      </c>
      <c r="M258" s="187">
        <f t="shared" si="20"/>
        <v>25.99</v>
      </c>
      <c r="N258" s="188"/>
      <c r="O258" s="172">
        <f t="shared" si="24"/>
        <v>53617</v>
      </c>
      <c r="P258" s="172"/>
      <c r="Q258" s="189"/>
      <c r="R258" s="189"/>
      <c r="S258" s="253"/>
      <c r="T258" s="190">
        <f t="shared" si="19"/>
        <v>9.3203883495145412E-3</v>
      </c>
      <c r="V258" s="287"/>
    </row>
    <row r="259" spans="1:22">
      <c r="A259" s="295" t="s">
        <v>204</v>
      </c>
      <c r="C259" s="186"/>
      <c r="E259" s="260"/>
      <c r="I259" s="172"/>
      <c r="K259" s="172"/>
      <c r="M259" s="161"/>
      <c r="O259" s="172"/>
      <c r="P259" s="172"/>
      <c r="Q259" s="189"/>
      <c r="R259" s="189"/>
      <c r="S259" s="253"/>
      <c r="T259" s="253"/>
      <c r="V259" s="287"/>
    </row>
    <row r="260" spans="1:22">
      <c r="A260" s="185" t="s">
        <v>197</v>
      </c>
      <c r="C260" s="186">
        <v>4987.3554564773349</v>
      </c>
      <c r="E260" s="260">
        <f t="shared" ref="E260:E265" si="25">ROUND(C260*$E$276/$C$276,0)</f>
        <v>5371</v>
      </c>
      <c r="G260" s="187">
        <v>19.28</v>
      </c>
      <c r="H260" s="188"/>
      <c r="I260" s="172">
        <f t="shared" ref="I260:I265" si="26">ROUND(G260*$C260,0)</f>
        <v>96156</v>
      </c>
      <c r="K260" s="172">
        <f t="shared" ref="K260:K265" si="27">ROUND(G260*$E260,0)</f>
        <v>103553</v>
      </c>
      <c r="M260" s="187">
        <f t="shared" si="20"/>
        <v>19.46</v>
      </c>
      <c r="N260" s="188"/>
      <c r="O260" s="172">
        <f t="shared" ref="O260:O265" si="28">ROUND(M260*$E260,0)</f>
        <v>104520</v>
      </c>
      <c r="P260" s="172"/>
      <c r="Q260" s="189"/>
      <c r="R260" s="189"/>
      <c r="S260" s="253"/>
      <c r="T260" s="190">
        <f t="shared" ref="T260:T265" si="29">M260/G260-1</f>
        <v>9.3360995850622075E-3</v>
      </c>
      <c r="V260" s="287"/>
    </row>
    <row r="261" spans="1:22">
      <c r="A261" s="185" t="s">
        <v>198</v>
      </c>
      <c r="C261" s="186">
        <v>5315.1349961115229</v>
      </c>
      <c r="E261" s="260">
        <f t="shared" si="25"/>
        <v>5724</v>
      </c>
      <c r="G261" s="187">
        <v>16.97</v>
      </c>
      <c r="H261" s="188"/>
      <c r="I261" s="172">
        <f t="shared" si="26"/>
        <v>90198</v>
      </c>
      <c r="K261" s="172">
        <f t="shared" si="27"/>
        <v>97136</v>
      </c>
      <c r="M261" s="187">
        <f t="shared" si="20"/>
        <v>17.13</v>
      </c>
      <c r="N261" s="188"/>
      <c r="O261" s="172">
        <f t="shared" si="28"/>
        <v>98052</v>
      </c>
      <c r="P261" s="172"/>
      <c r="Q261" s="189"/>
      <c r="R261" s="189"/>
      <c r="S261" s="253"/>
      <c r="T261" s="190">
        <f t="shared" si="29"/>
        <v>9.4284030642310945E-3</v>
      </c>
      <c r="V261" s="287"/>
    </row>
    <row r="262" spans="1:22">
      <c r="A262" s="185" t="s">
        <v>200</v>
      </c>
      <c r="C262" s="186">
        <v>1240.6016657705959</v>
      </c>
      <c r="E262" s="260">
        <f t="shared" si="25"/>
        <v>1336</v>
      </c>
      <c r="G262" s="187">
        <v>23.29</v>
      </c>
      <c r="H262" s="188"/>
      <c r="I262" s="172">
        <f t="shared" si="26"/>
        <v>28894</v>
      </c>
      <c r="K262" s="172">
        <f t="shared" si="27"/>
        <v>31115</v>
      </c>
      <c r="M262" s="187">
        <f t="shared" si="20"/>
        <v>23.51</v>
      </c>
      <c r="N262" s="188"/>
      <c r="O262" s="172">
        <f t="shared" si="28"/>
        <v>31409</v>
      </c>
      <c r="Q262" s="189"/>
      <c r="R262" s="189"/>
      <c r="S262" s="253"/>
      <c r="T262" s="190">
        <f t="shared" si="29"/>
        <v>9.4461142121082808E-3</v>
      </c>
      <c r="V262" s="287"/>
    </row>
    <row r="263" spans="1:22">
      <c r="A263" s="185" t="s">
        <v>201</v>
      </c>
      <c r="C263" s="186">
        <v>1706.9352219501366</v>
      </c>
      <c r="E263" s="260">
        <f t="shared" si="25"/>
        <v>1838</v>
      </c>
      <c r="G263" s="187">
        <v>21.03</v>
      </c>
      <c r="H263" s="188"/>
      <c r="I263" s="172">
        <f t="shared" si="26"/>
        <v>35897</v>
      </c>
      <c r="K263" s="172">
        <f t="shared" si="27"/>
        <v>38653</v>
      </c>
      <c r="M263" s="187">
        <f t="shared" si="20"/>
        <v>21.23</v>
      </c>
      <c r="N263" s="188"/>
      <c r="O263" s="172">
        <f t="shared" si="28"/>
        <v>39021</v>
      </c>
      <c r="P263" s="172"/>
      <c r="Q263" s="189"/>
      <c r="R263" s="189"/>
      <c r="S263" s="253"/>
      <c r="T263" s="190">
        <f t="shared" si="29"/>
        <v>9.51022349025199E-3</v>
      </c>
      <c r="V263" s="287"/>
    </row>
    <row r="264" spans="1:22">
      <c r="A264" s="185" t="s">
        <v>202</v>
      </c>
      <c r="C264" s="186">
        <v>10454.899176968655</v>
      </c>
      <c r="E264" s="260">
        <f t="shared" si="25"/>
        <v>11260</v>
      </c>
      <c r="G264" s="187">
        <v>28.04</v>
      </c>
      <c r="H264" s="188"/>
      <c r="I264" s="172">
        <f t="shared" si="26"/>
        <v>293155</v>
      </c>
      <c r="K264" s="172">
        <f t="shared" si="27"/>
        <v>315730</v>
      </c>
      <c r="M264" s="187">
        <f t="shared" si="20"/>
        <v>28.3</v>
      </c>
      <c r="N264" s="188"/>
      <c r="O264" s="172">
        <f t="shared" si="28"/>
        <v>318658</v>
      </c>
      <c r="P264" s="172"/>
      <c r="R264" s="162"/>
      <c r="S264" s="253"/>
      <c r="T264" s="190">
        <f t="shared" si="29"/>
        <v>9.2724679029958512E-3</v>
      </c>
      <c r="V264" s="287"/>
    </row>
    <row r="265" spans="1:22">
      <c r="A265" s="185" t="s">
        <v>203</v>
      </c>
      <c r="C265" s="186">
        <v>12133.270899462399</v>
      </c>
      <c r="E265" s="260">
        <f t="shared" si="25"/>
        <v>13068</v>
      </c>
      <c r="G265" s="187">
        <v>25.75</v>
      </c>
      <c r="H265" s="188"/>
      <c r="I265" s="172">
        <f t="shared" si="26"/>
        <v>312432</v>
      </c>
      <c r="K265" s="172">
        <f t="shared" si="27"/>
        <v>336501</v>
      </c>
      <c r="M265" s="187">
        <f t="shared" si="20"/>
        <v>25.99</v>
      </c>
      <c r="N265" s="188"/>
      <c r="O265" s="172">
        <f t="shared" si="28"/>
        <v>339637</v>
      </c>
      <c r="P265" s="172"/>
      <c r="Q265" s="189"/>
      <c r="R265" s="189"/>
      <c r="S265" s="253"/>
      <c r="T265" s="190">
        <f t="shared" si="29"/>
        <v>9.3203883495145412E-3</v>
      </c>
      <c r="V265" s="287"/>
    </row>
    <row r="266" spans="1:22">
      <c r="A266" s="295" t="s">
        <v>205</v>
      </c>
      <c r="C266" s="186"/>
      <c r="E266" s="260"/>
      <c r="M266" s="161"/>
      <c r="P266" s="172"/>
      <c r="Q266" s="189"/>
      <c r="R266" s="189"/>
      <c r="S266" s="253"/>
      <c r="T266" s="253"/>
      <c r="V266" s="287"/>
    </row>
    <row r="267" spans="1:22">
      <c r="A267" s="185" t="s">
        <v>206</v>
      </c>
      <c r="C267" s="186">
        <v>0</v>
      </c>
      <c r="E267" s="260">
        <f t="shared" ref="E267:E274" si="30">ROUND(C267*$E$276/$C$276,0)</f>
        <v>0</v>
      </c>
      <c r="G267" s="187">
        <v>29.13</v>
      </c>
      <c r="H267" s="188"/>
      <c r="I267" s="172">
        <f t="shared" ref="I267:I274" si="31">ROUND(G267*$C267,0)</f>
        <v>0</v>
      </c>
      <c r="K267" s="172">
        <f t="shared" ref="K267:K274" si="32">ROUND(G267*$E267,0)</f>
        <v>0</v>
      </c>
      <c r="M267" s="187">
        <f t="shared" si="20"/>
        <v>29.4</v>
      </c>
      <c r="N267" s="188"/>
      <c r="O267" s="172">
        <f t="shared" ref="O267:O274" si="33">ROUND(M267*$E267,0)</f>
        <v>0</v>
      </c>
      <c r="P267" s="172"/>
      <c r="Q267" s="189"/>
      <c r="R267" s="189"/>
      <c r="T267" s="190">
        <f t="shared" ref="T267:T274" si="34">M267/G267-1</f>
        <v>9.2687950566425759E-3</v>
      </c>
      <c r="V267" s="287"/>
    </row>
    <row r="268" spans="1:22">
      <c r="A268" s="185" t="s">
        <v>207</v>
      </c>
      <c r="C268" s="186">
        <v>251.999505776706</v>
      </c>
      <c r="E268" s="260">
        <f t="shared" si="30"/>
        <v>271</v>
      </c>
      <c r="G268" s="187">
        <v>21.59</v>
      </c>
      <c r="H268" s="188"/>
      <c r="I268" s="172">
        <f t="shared" si="31"/>
        <v>5441</v>
      </c>
      <c r="K268" s="172">
        <f t="shared" si="32"/>
        <v>5851</v>
      </c>
      <c r="M268" s="187">
        <f t="shared" si="20"/>
        <v>21.79</v>
      </c>
      <c r="N268" s="188"/>
      <c r="O268" s="172">
        <f t="shared" si="33"/>
        <v>5905</v>
      </c>
      <c r="P268" s="172"/>
      <c r="Q268" s="189"/>
      <c r="R268" s="189"/>
      <c r="T268" s="190">
        <f t="shared" si="34"/>
        <v>9.263547938860528E-3</v>
      </c>
      <c r="V268" s="287"/>
    </row>
    <row r="269" spans="1:22">
      <c r="A269" s="185" t="s">
        <v>208</v>
      </c>
      <c r="C269" s="186">
        <v>107.86651470174219</v>
      </c>
      <c r="E269" s="260">
        <f t="shared" si="30"/>
        <v>116</v>
      </c>
      <c r="G269" s="187">
        <v>34.020000000000003</v>
      </c>
      <c r="H269" s="188"/>
      <c r="I269" s="172">
        <f t="shared" si="31"/>
        <v>3670</v>
      </c>
      <c r="K269" s="172">
        <f t="shared" si="32"/>
        <v>3946</v>
      </c>
      <c r="M269" s="187">
        <f t="shared" si="20"/>
        <v>34.340000000000003</v>
      </c>
      <c r="N269" s="188"/>
      <c r="O269" s="172">
        <f t="shared" si="33"/>
        <v>3983</v>
      </c>
      <c r="P269" s="172"/>
      <c r="Q269" s="189"/>
      <c r="R269" s="189"/>
      <c r="T269" s="190">
        <f t="shared" si="34"/>
        <v>9.4062316284537761E-3</v>
      </c>
      <c r="V269" s="287"/>
    </row>
    <row r="270" spans="1:22">
      <c r="A270" s="185" t="s">
        <v>209</v>
      </c>
      <c r="C270" s="186">
        <v>95.999810134933796</v>
      </c>
      <c r="E270" s="260">
        <f t="shared" si="30"/>
        <v>103</v>
      </c>
      <c r="G270" s="187">
        <v>27.18</v>
      </c>
      <c r="H270" s="188"/>
      <c r="I270" s="172">
        <f t="shared" si="31"/>
        <v>2609</v>
      </c>
      <c r="K270" s="172">
        <f t="shared" si="32"/>
        <v>2800</v>
      </c>
      <c r="M270" s="187">
        <f t="shared" si="20"/>
        <v>27.43</v>
      </c>
      <c r="N270" s="188"/>
      <c r="O270" s="172">
        <f t="shared" si="33"/>
        <v>2825</v>
      </c>
      <c r="P270" s="172"/>
      <c r="Q270" s="189"/>
      <c r="R270" s="189"/>
      <c r="T270" s="190">
        <f t="shared" si="34"/>
        <v>9.1979396615158304E-3</v>
      </c>
      <c r="V270" s="287"/>
    </row>
    <row r="271" spans="1:22" s="224" customFormat="1">
      <c r="A271" s="185" t="s">
        <v>210</v>
      </c>
      <c r="B271" s="162"/>
      <c r="C271" s="186">
        <v>432</v>
      </c>
      <c r="D271" s="164"/>
      <c r="E271" s="260">
        <f t="shared" si="30"/>
        <v>465</v>
      </c>
      <c r="F271" s="164"/>
      <c r="G271" s="187">
        <v>36.35</v>
      </c>
      <c r="H271" s="188"/>
      <c r="I271" s="172">
        <f t="shared" si="31"/>
        <v>15703</v>
      </c>
      <c r="J271" s="164"/>
      <c r="K271" s="172">
        <f t="shared" si="32"/>
        <v>16903</v>
      </c>
      <c r="L271" s="164"/>
      <c r="M271" s="187">
        <f t="shared" si="20"/>
        <v>36.69</v>
      </c>
      <c r="N271" s="188"/>
      <c r="O271" s="172">
        <f t="shared" si="33"/>
        <v>17061</v>
      </c>
      <c r="P271" s="296"/>
      <c r="Q271" s="198" t="s">
        <v>111</v>
      </c>
      <c r="R271" s="199">
        <f>O279</f>
        <v>3392529</v>
      </c>
      <c r="S271" s="157"/>
      <c r="T271" s="190">
        <f t="shared" si="34"/>
        <v>9.353507565336816E-3</v>
      </c>
      <c r="V271" s="157"/>
    </row>
    <row r="272" spans="1:22">
      <c r="A272" s="185" t="s">
        <v>211</v>
      </c>
      <c r="C272" s="186">
        <v>550.33291026519885</v>
      </c>
      <c r="E272" s="260">
        <f t="shared" si="30"/>
        <v>593</v>
      </c>
      <c r="G272" s="187">
        <v>29.44</v>
      </c>
      <c r="H272" s="188"/>
      <c r="I272" s="172">
        <f t="shared" si="31"/>
        <v>16202</v>
      </c>
      <c r="K272" s="172">
        <f t="shared" si="32"/>
        <v>17458</v>
      </c>
      <c r="M272" s="187">
        <f t="shared" si="20"/>
        <v>29.72</v>
      </c>
      <c r="N272" s="188"/>
      <c r="O272" s="172">
        <f t="shared" si="33"/>
        <v>17624</v>
      </c>
      <c r="P272" s="296"/>
      <c r="Q272" s="202" t="s">
        <v>113</v>
      </c>
      <c r="R272" s="203">
        <f>RateSpread!O42*1000</f>
        <v>3392835.5858999998</v>
      </c>
      <c r="T272" s="190">
        <f t="shared" si="34"/>
        <v>9.5108695652172948E-3</v>
      </c>
      <c r="U272" s="224"/>
    </row>
    <row r="273" spans="1:22">
      <c r="A273" s="185" t="s">
        <v>212</v>
      </c>
      <c r="C273" s="186">
        <v>24</v>
      </c>
      <c r="E273" s="260">
        <f t="shared" si="30"/>
        <v>26</v>
      </c>
      <c r="G273" s="187">
        <v>57.05</v>
      </c>
      <c r="H273" s="188"/>
      <c r="I273" s="172">
        <f t="shared" si="31"/>
        <v>1369</v>
      </c>
      <c r="K273" s="172">
        <f t="shared" si="32"/>
        <v>1483</v>
      </c>
      <c r="M273" s="187">
        <f t="shared" si="20"/>
        <v>57.58</v>
      </c>
      <c r="N273" s="188"/>
      <c r="O273" s="172">
        <f t="shared" si="33"/>
        <v>1497</v>
      </c>
      <c r="P273" s="297"/>
      <c r="Q273" s="207" t="s">
        <v>115</v>
      </c>
      <c r="R273" s="208">
        <f>R272-R271</f>
        <v>306.58589999983087</v>
      </c>
      <c r="T273" s="190">
        <f t="shared" si="34"/>
        <v>9.2900964066608971E-3</v>
      </c>
      <c r="U273"/>
      <c r="V273" s="298"/>
    </row>
    <row r="274" spans="1:22">
      <c r="A274" s="185" t="s">
        <v>213</v>
      </c>
      <c r="C274" s="186">
        <v>108.000030471062</v>
      </c>
      <c r="E274" s="260">
        <f t="shared" si="30"/>
        <v>116</v>
      </c>
      <c r="G274" s="187">
        <v>48.64</v>
      </c>
      <c r="H274" s="188"/>
      <c r="I274" s="172">
        <f t="shared" si="31"/>
        <v>5253</v>
      </c>
      <c r="K274" s="172">
        <f t="shared" si="32"/>
        <v>5642</v>
      </c>
      <c r="M274" s="187">
        <f t="shared" si="20"/>
        <v>49.1</v>
      </c>
      <c r="N274" s="188"/>
      <c r="O274" s="172">
        <f t="shared" si="33"/>
        <v>5696</v>
      </c>
      <c r="Q274" s="210" t="s">
        <v>117</v>
      </c>
      <c r="R274" s="280">
        <f>R271/K279-1</f>
        <v>9.2835442224552533E-3</v>
      </c>
      <c r="T274" s="190">
        <f t="shared" si="34"/>
        <v>9.4572368421053099E-3</v>
      </c>
      <c r="U274"/>
    </row>
    <row r="275" spans="1:22">
      <c r="A275" s="185" t="s">
        <v>214</v>
      </c>
      <c r="B275" s="171"/>
      <c r="C275" s="260">
        <f>SUM(C243:C274)</f>
        <v>167637.31359293099</v>
      </c>
      <c r="D275" s="223"/>
      <c r="E275" s="260">
        <f>SUM(E243:E274)</f>
        <v>180545</v>
      </c>
      <c r="F275" s="223"/>
      <c r="H275" s="223"/>
      <c r="I275" s="296">
        <f>SUM(I243:I274)</f>
        <v>3121016</v>
      </c>
      <c r="J275" s="223"/>
      <c r="K275" s="296">
        <f>SUM(K243:K274)</f>
        <v>3361324</v>
      </c>
      <c r="L275" s="223"/>
      <c r="M275" s="161"/>
      <c r="N275" s="223"/>
      <c r="O275" s="296">
        <f>SUM(O243:O274)</f>
        <v>3392529</v>
      </c>
      <c r="P275" s="296"/>
      <c r="Q275" s="230" t="s">
        <v>119</v>
      </c>
      <c r="R275" s="284">
        <f>R272/K279-1</f>
        <v>9.3747540849973277E-3</v>
      </c>
      <c r="S275" s="299"/>
      <c r="U275" s="224"/>
      <c r="V275"/>
    </row>
    <row r="276" spans="1:22">
      <c r="A276" s="185" t="s">
        <v>215</v>
      </c>
      <c r="C276" s="179">
        <v>13087131.114760321</v>
      </c>
      <c r="E276" s="300">
        <v>14094877.493246233</v>
      </c>
      <c r="I276" s="296"/>
      <c r="K276" s="296"/>
      <c r="M276" s="161"/>
      <c r="O276" s="296"/>
      <c r="P276" s="218"/>
      <c r="Q276" s="301" t="s">
        <v>138</v>
      </c>
      <c r="R276" s="302">
        <f>(O279+O280)/(K279+K280)-1</f>
        <v>-9.0362734131321787E-5</v>
      </c>
      <c r="V276"/>
    </row>
    <row r="277" spans="1:22">
      <c r="A277" s="185" t="s">
        <v>216</v>
      </c>
      <c r="C277" s="303">
        <v>53475</v>
      </c>
      <c r="E277" s="303">
        <v>0</v>
      </c>
      <c r="G277" s="304"/>
      <c r="I277" s="305">
        <v>17684</v>
      </c>
      <c r="K277" s="305">
        <v>0</v>
      </c>
      <c r="M277" s="304"/>
      <c r="O277" s="305">
        <v>0</v>
      </c>
      <c r="P277" s="218"/>
      <c r="Q277" s="171" t="s">
        <v>217</v>
      </c>
      <c r="R277" s="280">
        <f>K280/K279</f>
        <v>9.3747540849974578E-3</v>
      </c>
      <c r="T277" s="299"/>
      <c r="U277" s="299"/>
      <c r="V277"/>
    </row>
    <row r="278" spans="1:22">
      <c r="A278" s="185" t="s">
        <v>11</v>
      </c>
      <c r="C278" s="186">
        <v>8201.7499999999964</v>
      </c>
      <c r="E278" s="260">
        <v>7995.3333333333312</v>
      </c>
      <c r="M278" s="161"/>
      <c r="S278" s="257"/>
    </row>
    <row r="279" spans="1:22" ht="16.5" thickBot="1">
      <c r="A279" s="185" t="s">
        <v>218</v>
      </c>
      <c r="C279" s="306">
        <f>C276+C277</f>
        <v>13140606.114760321</v>
      </c>
      <c r="E279" s="306">
        <f>E276+E277</f>
        <v>14094877.493246233</v>
      </c>
      <c r="G279" s="234"/>
      <c r="I279" s="307">
        <f>I277+I275</f>
        <v>3138700</v>
      </c>
      <c r="K279" s="307">
        <f>K277+K275</f>
        <v>3361324</v>
      </c>
      <c r="M279" s="234"/>
      <c r="O279" s="307">
        <f>O277+O275</f>
        <v>3392529</v>
      </c>
      <c r="S279" s="257"/>
    </row>
    <row r="280" spans="1:22" ht="16.5" thickTop="1">
      <c r="A280" s="185" t="s">
        <v>135</v>
      </c>
      <c r="C280" s="163"/>
      <c r="E280" s="163"/>
      <c r="G280" s="238"/>
      <c r="H280" s="239"/>
      <c r="I280" s="228">
        <f>MPA!K158</f>
        <v>31511.585899999995</v>
      </c>
      <c r="K280" s="228">
        <f>I280</f>
        <v>31511.585899999995</v>
      </c>
      <c r="M280" s="180"/>
      <c r="N280" s="239"/>
      <c r="O280" s="228">
        <v>0</v>
      </c>
      <c r="P280" s="172"/>
      <c r="S280" s="257"/>
      <c r="T280" s="257"/>
      <c r="U280" s="172"/>
    </row>
    <row r="281" spans="1:22">
      <c r="A281" s="185" t="s">
        <v>136</v>
      </c>
      <c r="C281" s="163"/>
      <c r="E281" s="163"/>
      <c r="G281" s="238">
        <f>M281</f>
        <v>3.6999999999999998E-2</v>
      </c>
      <c r="H281" s="239"/>
      <c r="I281" s="228">
        <f>ROUND(SUM(I275,I280)*G281,0)</f>
        <v>116644</v>
      </c>
      <c r="K281" s="228">
        <f>ROUND(SUM(K275,K280)*G281,0)</f>
        <v>125535</v>
      </c>
      <c r="M281" s="180">
        <v>3.6999999999999998E-2</v>
      </c>
      <c r="N281" s="239"/>
      <c r="O281" s="228">
        <f>ROUND(SUM(O275,O280)*M281,0)</f>
        <v>125524</v>
      </c>
      <c r="P281" s="172"/>
      <c r="S281" s="257"/>
      <c r="T281" s="257"/>
      <c r="U281" s="172"/>
    </row>
    <row r="282" spans="1:22">
      <c r="C282" s="163"/>
      <c r="E282" s="163"/>
      <c r="P282" s="172"/>
      <c r="S282" s="257"/>
      <c r="T282" s="257"/>
      <c r="U282" s="172"/>
      <c r="V282" s="260"/>
    </row>
    <row r="283" spans="1:22">
      <c r="A283" s="181" t="s">
        <v>219</v>
      </c>
      <c r="C283" s="163"/>
      <c r="E283" s="163"/>
      <c r="P283" s="172"/>
      <c r="S283" s="257"/>
      <c r="T283" s="257"/>
      <c r="U283" s="172"/>
      <c r="V283" s="260"/>
    </row>
    <row r="284" spans="1:22">
      <c r="A284" s="185" t="s">
        <v>104</v>
      </c>
      <c r="C284" s="260">
        <f t="shared" ref="C284:C293" si="35">C298+C312</f>
        <v>3262.1957494949538</v>
      </c>
      <c r="E284" s="260">
        <f t="shared" ref="E284:E293" si="36">E298+E312</f>
        <v>3538</v>
      </c>
      <c r="G284" s="187">
        <v>55</v>
      </c>
      <c r="H284" s="241"/>
      <c r="I284" s="172">
        <f>ROUND($G284*C284,0)</f>
        <v>179421</v>
      </c>
      <c r="K284" s="172">
        <f>ROUND($G284*E284,0)</f>
        <v>194590</v>
      </c>
      <c r="M284" s="189">
        <f>ROUND(G284*(1+R289),0)</f>
        <v>66</v>
      </c>
      <c r="N284" s="241"/>
      <c r="O284" s="172">
        <f>ROUND(M284*$E284,0)</f>
        <v>233508</v>
      </c>
      <c r="P284" s="172"/>
      <c r="Q284" s="242"/>
      <c r="T284" s="190">
        <f t="shared" ref="T284:T291" si="37">M284/G284-1</f>
        <v>0.19999999999999996</v>
      </c>
      <c r="U284" s="172"/>
      <c r="V284" s="260"/>
    </row>
    <row r="285" spans="1:22">
      <c r="A285" s="185" t="s">
        <v>220</v>
      </c>
      <c r="C285" s="260">
        <f t="shared" si="35"/>
        <v>4537564.8704159819</v>
      </c>
      <c r="E285" s="260">
        <f t="shared" si="36"/>
        <v>5046329</v>
      </c>
      <c r="G285" s="187">
        <v>3.77</v>
      </c>
      <c r="H285" s="241"/>
      <c r="I285" s="172">
        <f>ROUND($G285*C285,0)</f>
        <v>17106620</v>
      </c>
      <c r="K285" s="172">
        <f>ROUND($G285*E285,0)</f>
        <v>19024660</v>
      </c>
      <c r="M285" s="187">
        <f>ROUND(G285*(1+$R$290),2)</f>
        <v>4.51</v>
      </c>
      <c r="N285" s="241"/>
      <c r="O285" s="172">
        <f>ROUND(M285*$E285,0)</f>
        <v>22758944</v>
      </c>
      <c r="P285" s="172"/>
      <c r="Q285" s="198" t="s">
        <v>111</v>
      </c>
      <c r="R285" s="199">
        <f>O293</f>
        <v>159120106</v>
      </c>
      <c r="S285" s="224"/>
      <c r="T285" s="190">
        <f t="shared" si="37"/>
        <v>0.19628647214854111</v>
      </c>
      <c r="U285" s="172"/>
      <c r="V285" s="260"/>
    </row>
    <row r="286" spans="1:22">
      <c r="A286" s="185" t="s">
        <v>221</v>
      </c>
      <c r="C286" s="260">
        <f t="shared" si="35"/>
        <v>1898533.804019745</v>
      </c>
      <c r="E286" s="260">
        <f t="shared" si="36"/>
        <v>2114813</v>
      </c>
      <c r="G286" s="187">
        <v>12.33</v>
      </c>
      <c r="H286" s="188"/>
      <c r="I286" s="172">
        <f>ROUND($G286*C286,0)</f>
        <v>23408922</v>
      </c>
      <c r="K286" s="172">
        <f>ROUND($G286*E286,0)</f>
        <v>26075644</v>
      </c>
      <c r="M286" s="187">
        <f>ROUND(G286*(1+$R$290),2)</f>
        <v>14.74</v>
      </c>
      <c r="N286" s="188"/>
      <c r="O286" s="172">
        <f>ROUND(M286*$E286,0)</f>
        <v>31172344</v>
      </c>
      <c r="P286" s="172"/>
      <c r="Q286" s="202" t="s">
        <v>113</v>
      </c>
      <c r="R286" s="203">
        <f>(RateSpread!O24)*1000</f>
        <v>159119811.94639999</v>
      </c>
      <c r="T286" s="190">
        <f t="shared" si="37"/>
        <v>0.19545823195458234</v>
      </c>
      <c r="V286" s="260"/>
    </row>
    <row r="287" spans="1:22">
      <c r="A287" s="185" t="s">
        <v>222</v>
      </c>
      <c r="C287" s="260">
        <f t="shared" si="35"/>
        <v>2525177.0413793074</v>
      </c>
      <c r="E287" s="260">
        <f t="shared" si="36"/>
        <v>2805841</v>
      </c>
      <c r="G287" s="187">
        <v>8.8800000000000008</v>
      </c>
      <c r="H287" s="188"/>
      <c r="I287" s="172">
        <f>ROUND($G287*C287,0)</f>
        <v>22423572</v>
      </c>
      <c r="K287" s="172">
        <f>ROUND($G287*E287,0)</f>
        <v>24915868</v>
      </c>
      <c r="M287" s="187">
        <f>ROUND(G287*(1+$R$290),2)</f>
        <v>10.62</v>
      </c>
      <c r="N287" s="188"/>
      <c r="O287" s="172">
        <f>ROUND(M287*$E287,0)</f>
        <v>29798031</v>
      </c>
      <c r="P287" s="172"/>
      <c r="Q287" s="207" t="s">
        <v>115</v>
      </c>
      <c r="R287" s="208">
        <f>R286-R285</f>
        <v>-294.05360001325607</v>
      </c>
      <c r="S287" s="299"/>
      <c r="T287" s="190">
        <f t="shared" si="37"/>
        <v>0.19594594594594583</v>
      </c>
      <c r="V287" s="260"/>
    </row>
    <row r="288" spans="1:22">
      <c r="A288" s="185" t="s">
        <v>154</v>
      </c>
      <c r="C288" s="260">
        <f t="shared" si="35"/>
        <v>1797636.2906458012</v>
      </c>
      <c r="E288" s="260">
        <f t="shared" si="36"/>
        <v>1990234</v>
      </c>
      <c r="G288" s="187">
        <v>-0.9</v>
      </c>
      <c r="H288" s="188"/>
      <c r="I288" s="172">
        <f>ROUND($G288*C288,0)</f>
        <v>-1617873</v>
      </c>
      <c r="K288" s="172">
        <f>ROUND($G288*E288,0)</f>
        <v>-1791211</v>
      </c>
      <c r="M288" s="187">
        <f>ROUND(G288*(1+$R$290),2)</f>
        <v>-1.08</v>
      </c>
      <c r="N288" s="188"/>
      <c r="O288" s="172">
        <f>ROUND(M288*$E288,0)</f>
        <v>-2149453</v>
      </c>
      <c r="P288" s="218"/>
      <c r="Q288" s="210" t="s">
        <v>117</v>
      </c>
      <c r="R288" s="280">
        <f>R285/K293-1</f>
        <v>0.19564727274782046</v>
      </c>
      <c r="T288" s="190">
        <f t="shared" si="37"/>
        <v>0.19999999999999996</v>
      </c>
    </row>
    <row r="289" spans="1:22">
      <c r="A289" s="185" t="s">
        <v>143</v>
      </c>
      <c r="C289" s="260">
        <f t="shared" si="35"/>
        <v>235060108</v>
      </c>
      <c r="E289" s="260">
        <f t="shared" si="36"/>
        <v>263346088</v>
      </c>
      <c r="G289" s="308">
        <v>4.0021000000000004</v>
      </c>
      <c r="H289" s="193" t="s">
        <v>108</v>
      </c>
      <c r="I289" s="172">
        <f>ROUND($G289*C289/100,0)</f>
        <v>9407341</v>
      </c>
      <c r="K289" s="172">
        <f>ROUND($G289*E289/100,0)</f>
        <v>10539374</v>
      </c>
      <c r="M289" s="308">
        <f>ROUND(G289*(1+$R$290),4)</f>
        <v>4.7850999999999999</v>
      </c>
      <c r="N289" s="193" t="s">
        <v>108</v>
      </c>
      <c r="O289" s="172">
        <f>ROUND(M289*$E289/100,0)</f>
        <v>12601374</v>
      </c>
      <c r="P289" s="218"/>
      <c r="Q289" s="214" t="s">
        <v>119</v>
      </c>
      <c r="R289" s="281">
        <f>R286/K293-1</f>
        <v>0.1956450631943345</v>
      </c>
      <c r="T289" s="190">
        <f t="shared" si="37"/>
        <v>0.19564728517528285</v>
      </c>
      <c r="U289" s="299"/>
    </row>
    <row r="290" spans="1:22">
      <c r="A290" s="185" t="s">
        <v>179</v>
      </c>
      <c r="C290" s="260">
        <f t="shared" si="35"/>
        <v>561254789</v>
      </c>
      <c r="E290" s="260">
        <f t="shared" si="36"/>
        <v>627671327</v>
      </c>
      <c r="G290" s="308">
        <v>3.1328</v>
      </c>
      <c r="H290" s="193" t="s">
        <v>108</v>
      </c>
      <c r="I290" s="172">
        <f>ROUND($G290*C290/100,0)</f>
        <v>17582990</v>
      </c>
      <c r="K290" s="172">
        <f>ROUND($G290*E290/100,0)</f>
        <v>19663687</v>
      </c>
      <c r="M290" s="308">
        <f>ROUND(G290*(1+$R$290),4)</f>
        <v>3.7456999999999998</v>
      </c>
      <c r="N290" s="193" t="s">
        <v>108</v>
      </c>
      <c r="O290" s="172">
        <f>ROUND(M290*$E290/100,0)</f>
        <v>23510685</v>
      </c>
      <c r="P290" s="218"/>
      <c r="Q290" s="214" t="s">
        <v>168</v>
      </c>
      <c r="R290" s="281">
        <f>(R286-O284)/(K293-K284)-1</f>
        <v>0.1956386862023427</v>
      </c>
      <c r="T290" s="190">
        <f t="shared" si="37"/>
        <v>0.19563968335035753</v>
      </c>
    </row>
    <row r="291" spans="1:22">
      <c r="A291" s="185" t="s">
        <v>223</v>
      </c>
      <c r="C291" s="260">
        <f t="shared" si="35"/>
        <v>1137692487.183744</v>
      </c>
      <c r="E291" s="260">
        <f t="shared" si="36"/>
        <v>1276918663.6941051</v>
      </c>
      <c r="G291" s="308">
        <v>2.6987000000000001</v>
      </c>
      <c r="H291" s="193" t="s">
        <v>108</v>
      </c>
      <c r="I291" s="172">
        <f>ROUND($G291*C291/100,0)</f>
        <v>30702907</v>
      </c>
      <c r="K291" s="172">
        <f>ROUND($G291*E291/100,0)</f>
        <v>34460204</v>
      </c>
      <c r="M291" s="308">
        <f>ROUND((R286-SUM(O284:O290))/E291*100,4)</f>
        <v>3.2261000000000002</v>
      </c>
      <c r="N291" s="193" t="s">
        <v>108</v>
      </c>
      <c r="O291" s="172">
        <f>ROUND(M291*$E291/100,0)</f>
        <v>41194673</v>
      </c>
      <c r="P291" s="218"/>
      <c r="Q291" s="230" t="s">
        <v>123</v>
      </c>
      <c r="R291" s="309">
        <f>M284/G284-1</f>
        <v>0.19999999999999996</v>
      </c>
      <c r="T291" s="190">
        <f t="shared" si="37"/>
        <v>0.19542742802089896</v>
      </c>
      <c r="V291" s="299"/>
    </row>
    <row r="292" spans="1:22">
      <c r="A292" s="185" t="s">
        <v>132</v>
      </c>
      <c r="C292" s="282">
        <f t="shared" si="35"/>
        <v>6245291</v>
      </c>
      <c r="E292" s="282">
        <f t="shared" si="36"/>
        <v>0</v>
      </c>
      <c r="I292" s="228">
        <f>I306+I320</f>
        <v>412208.99072499992</v>
      </c>
      <c r="K292" s="228">
        <f>K306+K320</f>
        <v>0</v>
      </c>
      <c r="M292" s="161"/>
      <c r="O292" s="228">
        <v>0</v>
      </c>
      <c r="Q292" s="194" t="s">
        <v>138</v>
      </c>
      <c r="R292" s="302">
        <f>(O293+O294)/(K293+K294)-1</f>
        <v>0.14576543150959864</v>
      </c>
      <c r="S292" s="257"/>
    </row>
    <row r="293" spans="1:22" ht="16.5" thickBot="1">
      <c r="A293" s="185" t="s">
        <v>134</v>
      </c>
      <c r="C293" s="310">
        <f t="shared" si="35"/>
        <v>1940252675.183744</v>
      </c>
      <c r="E293" s="310">
        <f t="shared" si="36"/>
        <v>2167936078.6941051</v>
      </c>
      <c r="G293" s="254"/>
      <c r="I293" s="255">
        <f>SUM(I284:I292)</f>
        <v>119606108.990725</v>
      </c>
      <c r="K293" s="255">
        <f>SUM(K284:K292)</f>
        <v>133082816</v>
      </c>
      <c r="M293" s="254"/>
      <c r="O293" s="255">
        <f>SUM(O284:O292)</f>
        <v>159120106</v>
      </c>
      <c r="Q293" s="223"/>
      <c r="R293" s="743"/>
      <c r="S293" s="744"/>
      <c r="T293" s="184"/>
    </row>
    <row r="294" spans="1:22" ht="16.5" thickTop="1">
      <c r="A294" s="185" t="s">
        <v>135</v>
      </c>
      <c r="C294" s="163"/>
      <c r="E294" s="163"/>
      <c r="G294" s="238"/>
      <c r="H294" s="239"/>
      <c r="I294" s="228">
        <f>MPA!K170</f>
        <v>5793869.9463999998</v>
      </c>
      <c r="K294" s="228">
        <f>I294</f>
        <v>5793869.9463999998</v>
      </c>
      <c r="M294" s="180"/>
      <c r="N294" s="239"/>
      <c r="O294" s="228">
        <v>0</v>
      </c>
      <c r="P294" s="172"/>
      <c r="Q294" s="223"/>
      <c r="R294" s="743"/>
      <c r="S294" s="745"/>
      <c r="T294" s="184"/>
      <c r="U294" s="172"/>
    </row>
    <row r="295" spans="1:22">
      <c r="A295" s="185" t="s">
        <v>136</v>
      </c>
      <c r="C295" s="163"/>
      <c r="E295" s="163"/>
      <c r="G295" s="238">
        <f>M295</f>
        <v>3.6999999999999998E-2</v>
      </c>
      <c r="H295" s="239"/>
      <c r="I295" s="228">
        <f>ROUND(SUM(I285:I291,I294)*$G295,0)</f>
        <v>4617909</v>
      </c>
      <c r="K295" s="228">
        <f>ROUND(SUM(K285:K291,K294)*$G295,0)</f>
        <v>5131238</v>
      </c>
      <c r="M295" s="180">
        <v>3.6999999999999998E-2</v>
      </c>
      <c r="N295" s="239"/>
      <c r="O295" s="228">
        <f>ROUND(SUM(O285:O291,O294)*M295,0)</f>
        <v>5878804</v>
      </c>
      <c r="P295" s="172"/>
      <c r="S295" s="257"/>
      <c r="T295" s="257"/>
      <c r="U295" s="172"/>
    </row>
    <row r="296" spans="1:22">
      <c r="P296" s="172"/>
      <c r="S296" s="257"/>
      <c r="T296" s="311"/>
      <c r="U296" s="172"/>
      <c r="V296" s="260"/>
    </row>
    <row r="297" spans="1:22">
      <c r="A297" s="181" t="s">
        <v>224</v>
      </c>
      <c r="P297" s="172"/>
      <c r="S297" s="257"/>
      <c r="T297" s="257"/>
      <c r="U297" s="172"/>
      <c r="V297" s="260"/>
    </row>
    <row r="298" spans="1:22">
      <c r="A298" s="185" t="s">
        <v>104</v>
      </c>
      <c r="C298" s="186">
        <v>1809.6983299663314</v>
      </c>
      <c r="E298" s="163">
        <v>2070</v>
      </c>
      <c r="G298" s="213">
        <v>55</v>
      </c>
      <c r="H298" s="272"/>
      <c r="I298" s="172">
        <f>ROUND($G298*C298,0)</f>
        <v>99533</v>
      </c>
      <c r="K298" s="172">
        <f>ROUND($G298*E298,0)</f>
        <v>113850</v>
      </c>
      <c r="M298" s="273">
        <f t="shared" ref="M298:M305" si="38">M284</f>
        <v>66</v>
      </c>
      <c r="N298" s="272"/>
      <c r="O298" s="172">
        <f>ROUND(M298*$E298,0)</f>
        <v>136620</v>
      </c>
      <c r="P298" s="172"/>
      <c r="Q298" s="242"/>
      <c r="R298" s="189"/>
      <c r="T298" s="190">
        <f t="shared" ref="T298:T305" si="39">M298/G298-1</f>
        <v>0.19999999999999996</v>
      </c>
      <c r="U298" s="172"/>
      <c r="V298" s="260"/>
    </row>
    <row r="299" spans="1:22">
      <c r="A299" s="185" t="s">
        <v>220</v>
      </c>
      <c r="C299" s="186">
        <v>2184575.1873967242</v>
      </c>
      <c r="E299" s="163">
        <f>ROUND(C299*$E$307/$C$307,0)</f>
        <v>2645012</v>
      </c>
      <c r="G299" s="213">
        <v>3.77</v>
      </c>
      <c r="H299" s="272"/>
      <c r="I299" s="172">
        <f>ROUND($G299*C299,0)</f>
        <v>8235848</v>
      </c>
      <c r="K299" s="172">
        <f>ROUND($G299*E299,0)</f>
        <v>9971695</v>
      </c>
      <c r="M299" s="273">
        <f t="shared" si="38"/>
        <v>4.51</v>
      </c>
      <c r="N299" s="272"/>
      <c r="O299" s="172">
        <f>ROUND(M299*$E299,0)</f>
        <v>11929004</v>
      </c>
      <c r="P299" s="172"/>
      <c r="Q299" s="242"/>
      <c r="R299" s="189"/>
      <c r="S299" s="224"/>
      <c r="T299" s="190">
        <f t="shared" si="39"/>
        <v>0.19628647214854111</v>
      </c>
      <c r="U299" s="172"/>
      <c r="V299" s="260"/>
    </row>
    <row r="300" spans="1:22">
      <c r="A300" s="185" t="s">
        <v>221</v>
      </c>
      <c r="C300" s="186">
        <v>931962.63560889172</v>
      </c>
      <c r="E300" s="163">
        <f>ROUND(C300*$E$307/$C$307,0)</f>
        <v>1128390</v>
      </c>
      <c r="G300" s="213">
        <v>12.33</v>
      </c>
      <c r="H300" s="272"/>
      <c r="I300" s="172">
        <f>ROUND($G300*C300,0)</f>
        <v>11491099</v>
      </c>
      <c r="K300" s="172">
        <f>ROUND($G300*E300,0)</f>
        <v>13913049</v>
      </c>
      <c r="M300" s="273">
        <f t="shared" si="38"/>
        <v>14.74</v>
      </c>
      <c r="N300" s="272"/>
      <c r="O300" s="172">
        <f>ROUND(M300*$E300,0)</f>
        <v>16632469</v>
      </c>
      <c r="P300" s="172"/>
      <c r="Q300" s="242"/>
      <c r="T300" s="190">
        <f t="shared" si="39"/>
        <v>0.19545823195458234</v>
      </c>
      <c r="V300" s="260"/>
    </row>
    <row r="301" spans="1:22">
      <c r="A301" s="185" t="s">
        <v>222</v>
      </c>
      <c r="C301" s="186">
        <v>1202760.4149425284</v>
      </c>
      <c r="E301" s="163">
        <f>ROUND(C301*$E$307/$C$307,0)</f>
        <v>1456263</v>
      </c>
      <c r="G301" s="213">
        <v>8.8800000000000008</v>
      </c>
      <c r="H301" s="272"/>
      <c r="I301" s="172">
        <f>ROUND($G301*C301,0)</f>
        <v>10680512</v>
      </c>
      <c r="K301" s="172">
        <f>ROUND($G301*E301,0)</f>
        <v>12931615</v>
      </c>
      <c r="M301" s="273">
        <f t="shared" si="38"/>
        <v>10.62</v>
      </c>
      <c r="N301" s="272"/>
      <c r="O301" s="172">
        <f>ROUND(M301*$E301,0)</f>
        <v>15465513</v>
      </c>
      <c r="P301" s="172"/>
      <c r="R301" s="275"/>
      <c r="S301" s="299"/>
      <c r="T301" s="190">
        <f t="shared" si="39"/>
        <v>0.19594594594594583</v>
      </c>
      <c r="V301" s="260"/>
    </row>
    <row r="302" spans="1:22">
      <c r="A302" s="185" t="s">
        <v>154</v>
      </c>
      <c r="C302" s="186">
        <v>818370.00119679503</v>
      </c>
      <c r="E302" s="163">
        <f>ROUND(C302*$E$307/$C$307,0)</f>
        <v>990855</v>
      </c>
      <c r="G302" s="213">
        <v>-0.9</v>
      </c>
      <c r="H302" s="272"/>
      <c r="I302" s="172">
        <f>ROUND($G302*C302,0)</f>
        <v>-736533</v>
      </c>
      <c r="K302" s="172">
        <f>ROUND($G302*E302,0)</f>
        <v>-891770</v>
      </c>
      <c r="M302" s="273">
        <f t="shared" si="38"/>
        <v>-1.08</v>
      </c>
      <c r="N302" s="272"/>
      <c r="O302" s="172">
        <f>ROUND(M302*$E302,0)</f>
        <v>-1070123</v>
      </c>
      <c r="P302" s="218"/>
      <c r="R302" s="275"/>
      <c r="T302" s="190">
        <f t="shared" si="39"/>
        <v>0.19999999999999996</v>
      </c>
    </row>
    <row r="303" spans="1:22">
      <c r="A303" s="185" t="s">
        <v>143</v>
      </c>
      <c r="C303" s="186">
        <v>118892701</v>
      </c>
      <c r="E303" s="163">
        <f>ROUND(C303*($E$307-$E$306)/($C$307-$C$306),0)</f>
        <v>144373013</v>
      </c>
      <c r="G303" s="269">
        <v>4.0021000000000004</v>
      </c>
      <c r="H303" s="193" t="s">
        <v>108</v>
      </c>
      <c r="I303" s="172">
        <f>ROUND($G303*C303/100,0)</f>
        <v>4758205</v>
      </c>
      <c r="K303" s="172">
        <f>ROUND($G303*E303/100,0)</f>
        <v>5777952</v>
      </c>
      <c r="M303" s="270">
        <f t="shared" si="38"/>
        <v>4.7850999999999999</v>
      </c>
      <c r="N303" s="193" t="s">
        <v>108</v>
      </c>
      <c r="O303" s="172">
        <f>ROUND(M303*$E303/100,0)</f>
        <v>6908393</v>
      </c>
      <c r="P303" s="218"/>
      <c r="R303" s="275"/>
      <c r="T303" s="190">
        <f t="shared" si="39"/>
        <v>0.19564728517528285</v>
      </c>
      <c r="U303" s="299"/>
    </row>
    <row r="304" spans="1:22">
      <c r="A304" s="185" t="s">
        <v>179</v>
      </c>
      <c r="C304" s="186">
        <v>277980185</v>
      </c>
      <c r="E304" s="163">
        <f>ROUND(C304*($E$307-$E$306)/($C$307-$C$306),0)</f>
        <v>337555093</v>
      </c>
      <c r="G304" s="269">
        <v>3.1328</v>
      </c>
      <c r="H304" s="193" t="s">
        <v>108</v>
      </c>
      <c r="I304" s="172">
        <f>ROUND($G304*C304/100,0)</f>
        <v>8708563</v>
      </c>
      <c r="K304" s="172">
        <f>ROUND($G304*E304/100,0)</f>
        <v>10574926</v>
      </c>
      <c r="M304" s="270">
        <f t="shared" si="38"/>
        <v>3.7456999999999998</v>
      </c>
      <c r="N304" s="193" t="s">
        <v>108</v>
      </c>
      <c r="O304" s="172">
        <f>ROUND(M304*$E304/100,0)</f>
        <v>12643801</v>
      </c>
      <c r="P304" s="218"/>
      <c r="T304" s="190">
        <f t="shared" si="39"/>
        <v>0.19563968335035753</v>
      </c>
    </row>
    <row r="305" spans="1:22">
      <c r="A305" s="185" t="s">
        <v>223</v>
      </c>
      <c r="C305" s="186">
        <v>587651324.18374383</v>
      </c>
      <c r="E305" s="163">
        <f>E307-E303-E304</f>
        <v>713592941</v>
      </c>
      <c r="G305" s="269">
        <v>2.6987000000000001</v>
      </c>
      <c r="H305" s="193" t="s">
        <v>108</v>
      </c>
      <c r="I305" s="172">
        <f>ROUND($G305*C305/100,0)</f>
        <v>15858946</v>
      </c>
      <c r="K305" s="172">
        <f>ROUND($G305*E305/100,0)</f>
        <v>19257733</v>
      </c>
      <c r="M305" s="270">
        <f t="shared" si="38"/>
        <v>3.2261000000000002</v>
      </c>
      <c r="N305" s="193" t="s">
        <v>108</v>
      </c>
      <c r="O305" s="172">
        <f>ROUND(M305*$E305/100,0)</f>
        <v>23021222</v>
      </c>
      <c r="P305" s="218"/>
      <c r="Q305" s="171" t="s">
        <v>117</v>
      </c>
      <c r="R305" s="248">
        <f>O307/K307-1</f>
        <v>0.19564598553644474</v>
      </c>
      <c r="T305" s="190">
        <f t="shared" si="39"/>
        <v>0.19542742802089896</v>
      </c>
      <c r="V305" s="299"/>
    </row>
    <row r="306" spans="1:22">
      <c r="A306" s="185" t="s">
        <v>132</v>
      </c>
      <c r="C306" s="227">
        <v>2883747</v>
      </c>
      <c r="E306" s="282">
        <v>0</v>
      </c>
      <c r="I306" s="229">
        <v>281678</v>
      </c>
      <c r="K306" s="229">
        <v>0</v>
      </c>
      <c r="O306" s="229">
        <v>0</v>
      </c>
      <c r="Q306" s="171" t="s">
        <v>138</v>
      </c>
      <c r="R306" s="264">
        <f>(O307+O308)/(K307+K308)-1</f>
        <v>0.14949953698999874</v>
      </c>
    </row>
    <row r="307" spans="1:22" ht="16.5" thickBot="1">
      <c r="A307" s="185" t="s">
        <v>134</v>
      </c>
      <c r="C307" s="310">
        <f>SUM(C303:C306)</f>
        <v>987407957.18374383</v>
      </c>
      <c r="E307" s="265">
        <v>1195521047</v>
      </c>
      <c r="G307" s="254"/>
      <c r="I307" s="255">
        <f>SUM(I298:I306)</f>
        <v>59377851</v>
      </c>
      <c r="K307" s="255">
        <f>SUM(K298:K306)</f>
        <v>71649050</v>
      </c>
      <c r="M307" s="256"/>
      <c r="O307" s="255">
        <f>SUM(O298:O306)</f>
        <v>85666899</v>
      </c>
      <c r="R307" s="299"/>
    </row>
    <row r="308" spans="1:22" ht="16.5" thickTop="1">
      <c r="A308" s="185" t="s">
        <v>135</v>
      </c>
      <c r="C308" s="163"/>
      <c r="E308" s="163"/>
      <c r="G308" s="238"/>
      <c r="H308" s="239"/>
      <c r="I308" s="228">
        <f>ROUND(I294*I307/I293,0)</f>
        <v>2876338</v>
      </c>
      <c r="K308" s="228">
        <f>I308</f>
        <v>2876338</v>
      </c>
      <c r="M308" s="180"/>
      <c r="N308" s="239"/>
      <c r="O308" s="228">
        <v>0</v>
      </c>
      <c r="P308" s="172"/>
    </row>
    <row r="309" spans="1:22">
      <c r="A309" s="185" t="s">
        <v>136</v>
      </c>
      <c r="C309" s="163"/>
      <c r="E309" s="163"/>
      <c r="G309" s="238">
        <f>M309</f>
        <v>3.6999999999999998E-2</v>
      </c>
      <c r="H309" s="258"/>
      <c r="I309" s="228">
        <f>ROUND(SUM(I299:I305,I308)*$G309,0)</f>
        <v>2289300</v>
      </c>
      <c r="K309" s="228">
        <f>ROUND(SUM(K299:K305,K308)*$G309,0)</f>
        <v>2753227</v>
      </c>
      <c r="M309" s="259">
        <f>M295</f>
        <v>3.6999999999999998E-2</v>
      </c>
      <c r="N309" s="258"/>
      <c r="O309" s="228">
        <f>ROUND(SUM(O299:O305,O308)*M309,0)</f>
        <v>3164620</v>
      </c>
      <c r="P309" s="172"/>
    </row>
    <row r="310" spans="1:22">
      <c r="P310" s="172"/>
    </row>
    <row r="311" spans="1:22">
      <c r="A311" s="181" t="s">
        <v>225</v>
      </c>
      <c r="P311" s="172"/>
    </row>
    <row r="312" spans="1:22">
      <c r="A312" s="185" t="s">
        <v>104</v>
      </c>
      <c r="C312" s="186">
        <v>1452.4974195286227</v>
      </c>
      <c r="E312" s="163">
        <v>1468</v>
      </c>
      <c r="G312" s="213">
        <v>55</v>
      </c>
      <c r="H312" s="272"/>
      <c r="I312" s="172">
        <f>ROUND($G312*C312,0)</f>
        <v>79887</v>
      </c>
      <c r="K312" s="172">
        <f>ROUND($G312*E312,0)</f>
        <v>80740</v>
      </c>
      <c r="M312" s="273">
        <f t="shared" ref="M312:M319" si="40">M298</f>
        <v>66</v>
      </c>
      <c r="N312" s="272"/>
      <c r="O312" s="172">
        <f>ROUND(M312*$E312,0)</f>
        <v>96888</v>
      </c>
      <c r="P312" s="172"/>
      <c r="T312" s="190">
        <f t="shared" ref="T312:T319" si="41">M312/G312-1</f>
        <v>0.19999999999999996</v>
      </c>
    </row>
    <row r="313" spans="1:22">
      <c r="A313" s="185" t="s">
        <v>220</v>
      </c>
      <c r="C313" s="186">
        <v>2352989.6830192576</v>
      </c>
      <c r="E313" s="163">
        <f>ROUND(C313*$E$321/$C$321,0)</f>
        <v>2401317</v>
      </c>
      <c r="G313" s="213">
        <v>3.77</v>
      </c>
      <c r="H313" s="272"/>
      <c r="I313" s="172">
        <f>ROUND($G313*C313,0)</f>
        <v>8870771</v>
      </c>
      <c r="K313" s="172">
        <f>ROUND($G313*E313,0)</f>
        <v>9052965</v>
      </c>
      <c r="M313" s="273">
        <f t="shared" si="40"/>
        <v>4.51</v>
      </c>
      <c r="N313" s="272"/>
      <c r="O313" s="172">
        <f>ROUND(M313*$E313,0)</f>
        <v>10829940</v>
      </c>
      <c r="P313" s="172"/>
      <c r="S313" s="224"/>
      <c r="T313" s="190">
        <f t="shared" si="41"/>
        <v>0.19628647214854111</v>
      </c>
    </row>
    <row r="314" spans="1:22">
      <c r="A314" s="185" t="s">
        <v>221</v>
      </c>
      <c r="C314" s="186">
        <v>966571.16841085337</v>
      </c>
      <c r="E314" s="163">
        <f>ROUND(C314*$E$321/$C$321,0)</f>
        <v>986423</v>
      </c>
      <c r="G314" s="213">
        <v>12.33</v>
      </c>
      <c r="H314" s="272"/>
      <c r="I314" s="172">
        <f>ROUND($G314*C314,0)</f>
        <v>11917823</v>
      </c>
      <c r="K314" s="172">
        <f>ROUND($G314*E314,0)</f>
        <v>12162596</v>
      </c>
      <c r="M314" s="273">
        <f t="shared" si="40"/>
        <v>14.74</v>
      </c>
      <c r="N314" s="272"/>
      <c r="O314" s="172">
        <f>ROUND(M314*$E314,0)</f>
        <v>14539875</v>
      </c>
      <c r="P314" s="172"/>
      <c r="T314" s="190">
        <f t="shared" si="41"/>
        <v>0.19545823195458234</v>
      </c>
    </row>
    <row r="315" spans="1:22">
      <c r="A315" s="185" t="s">
        <v>222</v>
      </c>
      <c r="C315" s="186">
        <v>1322416.626436779</v>
      </c>
      <c r="E315" s="163">
        <f>ROUND(C315*$E$321/$C$321,0)</f>
        <v>1349578</v>
      </c>
      <c r="G315" s="213">
        <v>8.8800000000000008</v>
      </c>
      <c r="H315" s="272"/>
      <c r="I315" s="172">
        <f>ROUND($G315*C315,0)</f>
        <v>11743060</v>
      </c>
      <c r="K315" s="172">
        <f>ROUND($G315*E315,0)</f>
        <v>11984253</v>
      </c>
      <c r="M315" s="273">
        <f t="shared" si="40"/>
        <v>10.62</v>
      </c>
      <c r="N315" s="272"/>
      <c r="O315" s="172">
        <f>ROUND(M315*$E315,0)</f>
        <v>14332518</v>
      </c>
      <c r="P315" s="172"/>
      <c r="S315" s="299"/>
      <c r="T315" s="190">
        <f t="shared" si="41"/>
        <v>0.19594594594594583</v>
      </c>
    </row>
    <row r="316" spans="1:22">
      <c r="A316" s="185" t="s">
        <v>154</v>
      </c>
      <c r="C316" s="186">
        <v>979266.2894490062</v>
      </c>
      <c r="E316" s="163">
        <f>ROUND(C316*$E$321/$C$321,0)</f>
        <v>999379</v>
      </c>
      <c r="G316" s="213">
        <v>-0.9</v>
      </c>
      <c r="H316" s="272"/>
      <c r="I316" s="172">
        <f>ROUND($G316*C316,0)</f>
        <v>-881340</v>
      </c>
      <c r="K316" s="172">
        <f>ROUND($G316*E316,0)</f>
        <v>-899441</v>
      </c>
      <c r="M316" s="273">
        <f t="shared" si="40"/>
        <v>-1.08</v>
      </c>
      <c r="N316" s="272"/>
      <c r="O316" s="172">
        <f>ROUND(M316*$E316,0)</f>
        <v>-1079329</v>
      </c>
      <c r="P316" s="218"/>
      <c r="S316" s="299"/>
      <c r="T316" s="190">
        <f t="shared" si="41"/>
        <v>0.19999999999999996</v>
      </c>
    </row>
    <row r="317" spans="1:22">
      <c r="A317" s="185" t="s">
        <v>143</v>
      </c>
      <c r="C317" s="186">
        <v>116167407</v>
      </c>
      <c r="E317" s="163">
        <f>ROUND(C317*($E$321-$E$320)/($C$321-$C$320),0)</f>
        <v>118973075</v>
      </c>
      <c r="G317" s="269">
        <v>4.0021000000000004</v>
      </c>
      <c r="H317" s="193" t="s">
        <v>108</v>
      </c>
      <c r="I317" s="172">
        <f>ROUND($G317*C317/100,0)</f>
        <v>4649136</v>
      </c>
      <c r="K317" s="172">
        <f>ROUND($G317*E317/100,0)</f>
        <v>4761421</v>
      </c>
      <c r="M317" s="270">
        <f t="shared" si="40"/>
        <v>4.7850999999999999</v>
      </c>
      <c r="N317" s="193" t="s">
        <v>108</v>
      </c>
      <c r="O317" s="172">
        <f>ROUND(M317*$E317/100,0)</f>
        <v>5692981</v>
      </c>
      <c r="P317" s="218"/>
      <c r="T317" s="190">
        <f t="shared" si="41"/>
        <v>0.19564728517528285</v>
      </c>
      <c r="U317" s="299"/>
    </row>
    <row r="318" spans="1:22">
      <c r="A318" s="185" t="s">
        <v>179</v>
      </c>
      <c r="C318" s="186">
        <v>283274604</v>
      </c>
      <c r="E318" s="163">
        <f>ROUND(C318*($E$321-$E$320)/($C$321-$C$320),0)</f>
        <v>290116234</v>
      </c>
      <c r="G318" s="269">
        <v>3.1328</v>
      </c>
      <c r="H318" s="193" t="s">
        <v>108</v>
      </c>
      <c r="I318" s="172">
        <f>ROUND($G318*C318/100,0)</f>
        <v>8874427</v>
      </c>
      <c r="K318" s="172">
        <f>ROUND($G318*E318/100,0)</f>
        <v>9088761</v>
      </c>
      <c r="M318" s="270">
        <f t="shared" si="40"/>
        <v>3.7456999999999998</v>
      </c>
      <c r="N318" s="193" t="s">
        <v>108</v>
      </c>
      <c r="O318" s="172">
        <f>ROUND(M318*$E318/100,0)</f>
        <v>10866884</v>
      </c>
      <c r="P318" s="218"/>
      <c r="T318" s="190">
        <f t="shared" si="41"/>
        <v>0.19563968335035753</v>
      </c>
      <c r="U318" s="299"/>
    </row>
    <row r="319" spans="1:22">
      <c r="A319" s="185" t="s">
        <v>223</v>
      </c>
      <c r="C319" s="186">
        <v>550041163</v>
      </c>
      <c r="E319" s="163">
        <f>E321-E317-E318</f>
        <v>563325722.69410527</v>
      </c>
      <c r="G319" s="269">
        <v>2.6987000000000001</v>
      </c>
      <c r="H319" s="193" t="s">
        <v>108</v>
      </c>
      <c r="I319" s="172">
        <f>ROUND($G319*C319/100,0)</f>
        <v>14843961</v>
      </c>
      <c r="K319" s="172">
        <f>ROUND($G319*E319/100,0)</f>
        <v>15202471</v>
      </c>
      <c r="M319" s="270">
        <f t="shared" si="40"/>
        <v>3.2261000000000002</v>
      </c>
      <c r="N319" s="193" t="s">
        <v>108</v>
      </c>
      <c r="O319" s="172">
        <f>ROUND(M319*$E319/100,0)</f>
        <v>18173451</v>
      </c>
      <c r="P319" s="218"/>
      <c r="Q319" s="171" t="s">
        <v>117</v>
      </c>
      <c r="R319" s="248">
        <f>O321/K321-1</f>
        <v>0.19564879027601867</v>
      </c>
      <c r="S319" s="257"/>
      <c r="T319" s="190">
        <f t="shared" si="41"/>
        <v>0.19542742802089896</v>
      </c>
      <c r="V319" s="299"/>
    </row>
    <row r="320" spans="1:22" s="299" customFormat="1">
      <c r="A320" s="185" t="s">
        <v>132</v>
      </c>
      <c r="B320" s="162"/>
      <c r="C320" s="227">
        <v>3361544</v>
      </c>
      <c r="D320" s="164"/>
      <c r="E320" s="227">
        <v>0</v>
      </c>
      <c r="F320" s="164"/>
      <c r="G320" s="161"/>
      <c r="H320" s="164"/>
      <c r="I320" s="229">
        <v>130530.99072499992</v>
      </c>
      <c r="J320" s="312"/>
      <c r="K320" s="229">
        <v>0</v>
      </c>
      <c r="L320" s="312"/>
      <c r="M320" s="313"/>
      <c r="N320" s="312"/>
      <c r="O320" s="229">
        <v>0</v>
      </c>
      <c r="Q320" s="171" t="s">
        <v>138</v>
      </c>
      <c r="R320" s="264">
        <f>(O321+O322)/(K321+K322)-1</f>
        <v>0.1414409707972204</v>
      </c>
      <c r="S320" s="257"/>
      <c r="T320" s="157"/>
      <c r="U320" s="157"/>
    </row>
    <row r="321" spans="1:22" ht="16.5" thickBot="1">
      <c r="A321" s="185" t="s">
        <v>134</v>
      </c>
      <c r="C321" s="310">
        <f>SUM(C317:C320)</f>
        <v>952844718</v>
      </c>
      <c r="E321" s="265">
        <v>972415031.69410527</v>
      </c>
      <c r="G321" s="254"/>
      <c r="I321" s="255">
        <f>SUM(I312:I320)</f>
        <v>60228255.990725003</v>
      </c>
      <c r="K321" s="255">
        <f>SUM(K312:K320)</f>
        <v>61433766</v>
      </c>
      <c r="M321" s="256"/>
      <c r="O321" s="255">
        <f>SUM(O312:O320)</f>
        <v>73453208</v>
      </c>
      <c r="R321" s="299"/>
      <c r="S321" s="257"/>
      <c r="T321" s="257"/>
      <c r="U321" s="172"/>
    </row>
    <row r="322" spans="1:22" ht="16.5" thickTop="1">
      <c r="A322" s="185" t="s">
        <v>135</v>
      </c>
      <c r="C322" s="163"/>
      <c r="E322" s="163"/>
      <c r="G322" s="238"/>
      <c r="H322" s="239"/>
      <c r="I322" s="228">
        <f>I294-I308</f>
        <v>2917531.9463999998</v>
      </c>
      <c r="K322" s="228">
        <f>I322</f>
        <v>2917531.9463999998</v>
      </c>
      <c r="M322" s="180"/>
      <c r="N322" s="239"/>
      <c r="O322" s="228">
        <v>0</v>
      </c>
      <c r="P322" s="172"/>
      <c r="Q322" s="299"/>
      <c r="R322" s="299"/>
      <c r="S322" s="257"/>
      <c r="T322" s="257"/>
      <c r="U322" s="172"/>
    </row>
    <row r="323" spans="1:22">
      <c r="A323" s="185" t="s">
        <v>136</v>
      </c>
      <c r="C323" s="163"/>
      <c r="E323" s="163"/>
      <c r="G323" s="238">
        <f>M323</f>
        <v>3.6999999999999998E-2</v>
      </c>
      <c r="H323" s="258"/>
      <c r="I323" s="228">
        <f>ROUND(SUM(I313:I319,I322)*$G323,0)</f>
        <v>2328609</v>
      </c>
      <c r="K323" s="228">
        <f>ROUND(SUM(K313:K319,K322)*$G323,0)</f>
        <v>2378011</v>
      </c>
      <c r="M323" s="259">
        <f>M309</f>
        <v>3.6999999999999998E-2</v>
      </c>
      <c r="N323" s="258"/>
      <c r="O323" s="228">
        <f>ROUND(SUM(O313:O319,O322)*M323,0)</f>
        <v>2714184</v>
      </c>
      <c r="P323" s="172"/>
      <c r="Q323" s="299"/>
      <c r="R323" s="299"/>
      <c r="T323" s="257"/>
      <c r="U323" s="172"/>
      <c r="V323" s="260"/>
    </row>
    <row r="324" spans="1:22">
      <c r="A324" s="314"/>
      <c r="B324" s="299"/>
      <c r="C324" s="315"/>
      <c r="D324" s="316"/>
      <c r="E324" s="299"/>
      <c r="F324" s="316"/>
      <c r="G324" s="314"/>
      <c r="H324" s="316"/>
      <c r="I324" s="299"/>
      <c r="J324" s="316"/>
      <c r="K324" s="299"/>
      <c r="L324" s="316"/>
      <c r="M324" s="299"/>
      <c r="N324" s="316"/>
      <c r="O324" s="299"/>
      <c r="P324" s="172"/>
      <c r="Q324" s="299"/>
      <c r="R324" s="299"/>
      <c r="T324" s="257"/>
      <c r="U324" s="172"/>
      <c r="V324" s="260"/>
    </row>
    <row r="325" spans="1:22">
      <c r="A325" s="181" t="s">
        <v>226</v>
      </c>
      <c r="C325" s="163"/>
      <c r="E325" s="163"/>
      <c r="P325" s="172"/>
      <c r="Q325" s="171" t="s">
        <v>227</v>
      </c>
      <c r="V325" s="260"/>
    </row>
    <row r="326" spans="1:22">
      <c r="A326" s="185" t="s">
        <v>104</v>
      </c>
      <c r="C326" s="163">
        <f t="shared" ref="C326:C332" si="42">C339+C365+C352</f>
        <v>1819.2328422693699</v>
      </c>
      <c r="E326" s="163">
        <f t="shared" ref="E326:E332" si="43">E339+E365+E352</f>
        <v>1812</v>
      </c>
      <c r="G326" s="187">
        <v>200</v>
      </c>
      <c r="H326" s="188"/>
      <c r="I326" s="172">
        <f>ROUND($G326*C326,0)</f>
        <v>363847</v>
      </c>
      <c r="K326" s="172">
        <f>ROUND($G326*E326,0)</f>
        <v>362400</v>
      </c>
      <c r="M326" s="189">
        <f>ROUND(G326*(1+R330),0)</f>
        <v>244</v>
      </c>
      <c r="N326" s="188"/>
      <c r="O326" s="172">
        <f>ROUND(M326*$E326,0)</f>
        <v>442128</v>
      </c>
      <c r="P326" s="172"/>
      <c r="Q326" s="198" t="s">
        <v>111</v>
      </c>
      <c r="R326" s="199">
        <f>O334</f>
        <v>247517358</v>
      </c>
      <c r="S326" s="224"/>
      <c r="T326" s="190">
        <f t="shared" ref="T326:T332" si="44">M326/G326-1</f>
        <v>0.21999999999999997</v>
      </c>
      <c r="V326" s="260"/>
    </row>
    <row r="327" spans="1:22">
      <c r="A327" s="185" t="s">
        <v>220</v>
      </c>
      <c r="C327" s="163">
        <f t="shared" si="42"/>
        <v>7776841.0375712058</v>
      </c>
      <c r="E327" s="163">
        <f t="shared" si="43"/>
        <v>8460039</v>
      </c>
      <c r="G327" s="187">
        <v>1.71</v>
      </c>
      <c r="H327" s="188"/>
      <c r="I327" s="172">
        <f>ROUND($G327*C327,0)</f>
        <v>13298398</v>
      </c>
      <c r="K327" s="172">
        <f>ROUND($G327*E327,0)</f>
        <v>14466667</v>
      </c>
      <c r="M327" s="187">
        <f>ROUND(G327*(1+$R$331),2)</f>
        <v>2.08</v>
      </c>
      <c r="N327" s="188"/>
      <c r="O327" s="172">
        <f>ROUND(M327*$E327,0)</f>
        <v>17596881</v>
      </c>
      <c r="P327" s="172"/>
      <c r="Q327" s="202" t="s">
        <v>113</v>
      </c>
      <c r="R327" s="203">
        <f>RateSpread!O25*1000</f>
        <v>247518534.70369998</v>
      </c>
      <c r="T327" s="190">
        <f t="shared" si="44"/>
        <v>0.21637426900584811</v>
      </c>
      <c r="U327" s="172"/>
    </row>
    <row r="328" spans="1:22">
      <c r="A328" s="185" t="s">
        <v>221</v>
      </c>
      <c r="C328" s="163">
        <f t="shared" si="42"/>
        <v>3262439.7386532873</v>
      </c>
      <c r="E328" s="163">
        <f t="shared" si="43"/>
        <v>3548848</v>
      </c>
      <c r="G328" s="187">
        <v>10.76</v>
      </c>
      <c r="H328" s="188"/>
      <c r="I328" s="172">
        <f>ROUND($G328*C328,0)</f>
        <v>35103852</v>
      </c>
      <c r="K328" s="172">
        <f>ROUND($G328*E328,0)</f>
        <v>38185604</v>
      </c>
      <c r="M328" s="187">
        <f>ROUND(G328*(1+$R$331),2)</f>
        <v>13.1</v>
      </c>
      <c r="N328" s="188"/>
      <c r="O328" s="172">
        <f>ROUND(M328*$E328,0)</f>
        <v>46489909</v>
      </c>
      <c r="P328" s="172"/>
      <c r="Q328" s="207" t="s">
        <v>115</v>
      </c>
      <c r="R328" s="208">
        <f>R327-R326</f>
        <v>1176.7036999762058</v>
      </c>
      <c r="T328" s="190">
        <f t="shared" si="44"/>
        <v>0.21747211895910779</v>
      </c>
      <c r="U328" s="172"/>
    </row>
    <row r="329" spans="1:22">
      <c r="A329" s="185" t="s">
        <v>222</v>
      </c>
      <c r="C329" s="163">
        <f t="shared" si="42"/>
        <v>4386198.8695035465</v>
      </c>
      <c r="E329" s="163">
        <f t="shared" si="43"/>
        <v>4771437</v>
      </c>
      <c r="G329" s="187">
        <v>7.3</v>
      </c>
      <c r="H329" s="188"/>
      <c r="I329" s="172">
        <f>ROUND($G329*C329,0)</f>
        <v>32019252</v>
      </c>
      <c r="K329" s="172">
        <f>ROUND($G329*E329,0)</f>
        <v>34831490</v>
      </c>
      <c r="M329" s="187">
        <f>ROUND(G329*(1+$R$331),2)</f>
        <v>8.89</v>
      </c>
      <c r="N329" s="188"/>
      <c r="O329" s="172">
        <f>ROUND(M329*$E329,0)</f>
        <v>42418075</v>
      </c>
      <c r="P329" s="218"/>
      <c r="Q329" s="210" t="s">
        <v>117</v>
      </c>
      <c r="R329" s="280">
        <f>R326/K334-1</f>
        <v>0.21759993575852121</v>
      </c>
      <c r="T329" s="190">
        <f t="shared" si="44"/>
        <v>0.21780821917808235</v>
      </c>
      <c r="V329" s="260"/>
    </row>
    <row r="330" spans="1:22">
      <c r="A330" s="185" t="s">
        <v>228</v>
      </c>
      <c r="C330" s="163">
        <f t="shared" si="42"/>
        <v>440105177</v>
      </c>
      <c r="E330" s="163">
        <f t="shared" si="43"/>
        <v>480136989</v>
      </c>
      <c r="G330" s="317">
        <v>3.5857999999999999</v>
      </c>
      <c r="H330" s="193" t="s">
        <v>108</v>
      </c>
      <c r="I330" s="172">
        <f>ROUND($G330*C330/100,0)</f>
        <v>15781291</v>
      </c>
      <c r="K330" s="172">
        <f>ROUND($G330*E330/100,0)</f>
        <v>17216752</v>
      </c>
      <c r="M330" s="317">
        <f>ROUND(G330*(1+$R$331),4)</f>
        <v>4.3661000000000003</v>
      </c>
      <c r="N330" s="193" t="s">
        <v>108</v>
      </c>
      <c r="O330" s="172">
        <f>ROUND(M330*$E330/100,0)</f>
        <v>20963261</v>
      </c>
      <c r="P330" s="218"/>
      <c r="Q330" s="214" t="s">
        <v>119</v>
      </c>
      <c r="R330" s="281">
        <f>R327/K334-1</f>
        <v>0.21760572425901703</v>
      </c>
      <c r="T330" s="190">
        <f t="shared" si="44"/>
        <v>0.21760834402364893</v>
      </c>
      <c r="U330" s="172"/>
      <c r="V330"/>
    </row>
    <row r="331" spans="1:22">
      <c r="A331" s="185" t="s">
        <v>229</v>
      </c>
      <c r="C331" s="163">
        <f t="shared" si="42"/>
        <v>1152247695</v>
      </c>
      <c r="E331" s="163">
        <f t="shared" si="43"/>
        <v>1256679559</v>
      </c>
      <c r="G331" s="317">
        <v>2.6962999999999999</v>
      </c>
      <c r="H331" s="193" t="s">
        <v>108</v>
      </c>
      <c r="I331" s="172">
        <f>ROUND($G331*C331/100,0)</f>
        <v>31068055</v>
      </c>
      <c r="K331" s="172">
        <f>ROUND($G331*E331/100,0)</f>
        <v>33883851</v>
      </c>
      <c r="M331" s="192">
        <f>ROUND(G331*(1+$R$331),4)</f>
        <v>3.2829999999999999</v>
      </c>
      <c r="N331" s="193" t="s">
        <v>108</v>
      </c>
      <c r="O331" s="172">
        <f>ROUND(M331*$E331/100,0)</f>
        <v>41256790</v>
      </c>
      <c r="P331" s="218"/>
      <c r="Q331" s="214" t="s">
        <v>168</v>
      </c>
      <c r="R331" s="281">
        <f>(R327-O326)/(K334-K326)-1</f>
        <v>0.21760144827342098</v>
      </c>
      <c r="T331" s="190">
        <f t="shared" si="44"/>
        <v>0.21759448132626202</v>
      </c>
      <c r="V331"/>
    </row>
    <row r="332" spans="1:22">
      <c r="A332" s="185" t="s">
        <v>223</v>
      </c>
      <c r="C332" s="163">
        <f t="shared" si="42"/>
        <v>2618901398</v>
      </c>
      <c r="E332" s="163">
        <f t="shared" si="43"/>
        <v>2857102207.772428</v>
      </c>
      <c r="G332" s="318">
        <v>2.2517999999999998</v>
      </c>
      <c r="H332" s="193" t="s">
        <v>108</v>
      </c>
      <c r="I332" s="172">
        <f>ROUND($G332*C332/100,0)</f>
        <v>58972422</v>
      </c>
      <c r="K332" s="172">
        <f>ROUND($G332*E332/100,0)</f>
        <v>64336228</v>
      </c>
      <c r="M332" s="317">
        <f>ROUND((R327-SUM(O326:O331))/E332*100,4)</f>
        <v>2.7423000000000002</v>
      </c>
      <c r="N332" s="193" t="s">
        <v>108</v>
      </c>
      <c r="O332" s="172">
        <f>ROUND(M332*$E332/100,0)</f>
        <v>78350314</v>
      </c>
      <c r="P332" s="218"/>
      <c r="Q332" s="230" t="s">
        <v>123</v>
      </c>
      <c r="R332" s="319">
        <f>M326/G326-1</f>
        <v>0.21999999999999997</v>
      </c>
      <c r="T332" s="190">
        <f t="shared" si="44"/>
        <v>0.2178257394084735</v>
      </c>
      <c r="U332" s="275"/>
      <c r="V332"/>
    </row>
    <row r="333" spans="1:22">
      <c r="A333" s="185" t="s">
        <v>132</v>
      </c>
      <c r="C333" s="282">
        <f>C359+C346+C372</f>
        <v>12309239</v>
      </c>
      <c r="E333" s="282">
        <f>E359+E346+E372</f>
        <v>0</v>
      </c>
      <c r="I333" s="228">
        <f>I359+I346+I372</f>
        <v>456706</v>
      </c>
      <c r="K333" s="228">
        <f>K359+K346+K372</f>
        <v>0</v>
      </c>
      <c r="M333" s="161"/>
      <c r="O333" s="229">
        <v>0</v>
      </c>
      <c r="Q333" s="194" t="s">
        <v>138</v>
      </c>
      <c r="R333" s="302">
        <f>(O334+O335)/(K334+K335)-1</f>
        <v>0.16575777539305125</v>
      </c>
    </row>
    <row r="334" spans="1:22" ht="16.5" thickBot="1">
      <c r="A334" s="185" t="s">
        <v>134</v>
      </c>
      <c r="C334" s="265">
        <f>C360+C347+C373</f>
        <v>4223563509</v>
      </c>
      <c r="E334" s="265">
        <f>E360+E347+E373</f>
        <v>4593918755.7724276</v>
      </c>
      <c r="G334" s="254"/>
      <c r="I334" s="255">
        <f>SUM(I326:I333)</f>
        <v>187063823</v>
      </c>
      <c r="K334" s="255">
        <f>SUM(K326:K333)</f>
        <v>203282992</v>
      </c>
      <c r="M334" s="254"/>
      <c r="O334" s="255">
        <f>SUM(O326:O333)</f>
        <v>247517358</v>
      </c>
      <c r="Q334" s="223"/>
      <c r="R334" s="743"/>
      <c r="S334" s="744"/>
      <c r="T334" s="184"/>
    </row>
    <row r="335" spans="1:22" ht="16.5" thickTop="1">
      <c r="A335" s="185" t="s">
        <v>135</v>
      </c>
      <c r="C335" s="163"/>
      <c r="E335" s="163"/>
      <c r="G335" s="238"/>
      <c r="H335" s="239"/>
      <c r="I335" s="228">
        <f>MPA!K181</f>
        <v>9040153.7037000004</v>
      </c>
      <c r="K335" s="228">
        <f>I335</f>
        <v>9040153.7037000004</v>
      </c>
      <c r="M335" s="180"/>
      <c r="N335" s="239"/>
      <c r="O335" s="228">
        <v>0</v>
      </c>
      <c r="P335" s="172"/>
      <c r="Q335" s="223"/>
      <c r="R335" s="743"/>
      <c r="S335" s="745"/>
      <c r="T335" s="184"/>
    </row>
    <row r="336" spans="1:22">
      <c r="A336" s="185" t="s">
        <v>136</v>
      </c>
      <c r="C336" s="163"/>
      <c r="E336" s="163"/>
      <c r="G336" s="238">
        <f>M336</f>
        <v>3.6999999999999998E-2</v>
      </c>
      <c r="H336" s="239"/>
      <c r="I336" s="228">
        <f>ROUND(SUM(I327:I332,I335)*$G336,0)</f>
        <v>7225487</v>
      </c>
      <c r="K336" s="228">
        <f>ROUND(SUM(K327:K332,K335)*$G336,0)</f>
        <v>7842548</v>
      </c>
      <c r="M336" s="180">
        <v>3.6999999999999998E-2</v>
      </c>
      <c r="N336" s="239"/>
      <c r="O336" s="228">
        <f>ROUND(SUM(O327:O332,O335)*M336,0)</f>
        <v>9141784</v>
      </c>
      <c r="P336" s="172"/>
    </row>
    <row r="337" spans="1:22">
      <c r="C337" s="163"/>
      <c r="E337" s="163"/>
      <c r="P337" s="172"/>
    </row>
    <row r="338" spans="1:22">
      <c r="A338" s="181" t="s">
        <v>230</v>
      </c>
      <c r="C338" s="163"/>
      <c r="E338" s="163"/>
      <c r="P338" s="172"/>
    </row>
    <row r="339" spans="1:22">
      <c r="A339" s="185" t="s">
        <v>104</v>
      </c>
      <c r="C339" s="186">
        <v>298.26686441658597</v>
      </c>
      <c r="E339" s="163">
        <v>300</v>
      </c>
      <c r="G339" s="213">
        <v>200</v>
      </c>
      <c r="H339" s="272"/>
      <c r="I339" s="172">
        <f>ROUND($G339*C339,0)</f>
        <v>59653</v>
      </c>
      <c r="K339" s="172">
        <f>ROUND($G339*E339,0)</f>
        <v>60000</v>
      </c>
      <c r="M339" s="273">
        <f t="shared" ref="M339:M345" si="45">M326</f>
        <v>244</v>
      </c>
      <c r="N339" s="272"/>
      <c r="O339" s="172">
        <f>ROUND(M339*$E339,0)</f>
        <v>73200</v>
      </c>
      <c r="P339" s="172"/>
      <c r="T339" s="190">
        <f t="shared" ref="T339:T345" si="46">M339/G339-1</f>
        <v>0.21999999999999997</v>
      </c>
    </row>
    <row r="340" spans="1:22">
      <c r="A340" s="185" t="s">
        <v>220</v>
      </c>
      <c r="C340" s="186">
        <v>582656.54252297396</v>
      </c>
      <c r="E340" s="163">
        <f>ROUND(C340*$E$347/$C$347,0)</f>
        <v>667353</v>
      </c>
      <c r="G340" s="213">
        <v>1.71</v>
      </c>
      <c r="H340" s="272"/>
      <c r="I340" s="172">
        <f>ROUND($G340*C340,0)</f>
        <v>996343</v>
      </c>
      <c r="K340" s="172">
        <f>ROUND($G340*E340,0)</f>
        <v>1141174</v>
      </c>
      <c r="M340" s="273">
        <f t="shared" si="45"/>
        <v>2.08</v>
      </c>
      <c r="N340" s="272"/>
      <c r="O340" s="172">
        <f>ROUND(M340*$E340,0)</f>
        <v>1388094</v>
      </c>
      <c r="P340" s="172"/>
      <c r="Q340" s="242"/>
      <c r="T340" s="190">
        <f t="shared" si="46"/>
        <v>0.21637426900584811</v>
      </c>
    </row>
    <row r="341" spans="1:22">
      <c r="A341" s="185" t="s">
        <v>221</v>
      </c>
      <c r="C341" s="186">
        <v>253322.25302422699</v>
      </c>
      <c r="E341" s="163">
        <f>ROUND(C341*$E$347/$C$347,0)</f>
        <v>290146</v>
      </c>
      <c r="G341" s="213">
        <v>10.76</v>
      </c>
      <c r="H341" s="272"/>
      <c r="I341" s="172">
        <f>ROUND($G341*C341,0)</f>
        <v>2725747</v>
      </c>
      <c r="K341" s="172">
        <f>ROUND($G341*E341,0)</f>
        <v>3121971</v>
      </c>
      <c r="M341" s="273">
        <f t="shared" si="45"/>
        <v>13.1</v>
      </c>
      <c r="N341" s="272"/>
      <c r="O341" s="172">
        <f>ROUND(M341*$E341,0)</f>
        <v>3800913</v>
      </c>
      <c r="P341" s="172"/>
      <c r="S341"/>
      <c r="T341" s="190">
        <f t="shared" si="46"/>
        <v>0.21747211895910779</v>
      </c>
    </row>
    <row r="342" spans="1:22">
      <c r="A342" s="185" t="s">
        <v>222</v>
      </c>
      <c r="C342" s="186">
        <v>311950.44680851098</v>
      </c>
      <c r="E342" s="163">
        <f>ROUND(C342*$E$347/$C$347,0)</f>
        <v>357296</v>
      </c>
      <c r="G342" s="213">
        <v>7.3</v>
      </c>
      <c r="H342" s="272"/>
      <c r="I342" s="172">
        <f>ROUND($G342*C342,0)</f>
        <v>2277238</v>
      </c>
      <c r="K342" s="172">
        <f>ROUND($G342*E342,0)</f>
        <v>2608261</v>
      </c>
      <c r="M342" s="273">
        <f t="shared" si="45"/>
        <v>8.89</v>
      </c>
      <c r="N342" s="272"/>
      <c r="O342" s="172">
        <f>ROUND(M342*$E342,0)</f>
        <v>3176361</v>
      </c>
      <c r="P342" s="218"/>
      <c r="T342" s="190">
        <f t="shared" si="46"/>
        <v>0.21780821917808235</v>
      </c>
    </row>
    <row r="343" spans="1:22">
      <c r="A343" s="185" t="s">
        <v>228</v>
      </c>
      <c r="C343" s="186">
        <v>31745659</v>
      </c>
      <c r="E343" s="163">
        <f>ROUND(C343*$E$347/($C$347-$C$346),0)</f>
        <v>36466614</v>
      </c>
      <c r="G343" s="293">
        <v>3.5857999999999999</v>
      </c>
      <c r="H343" s="193" t="s">
        <v>108</v>
      </c>
      <c r="I343" s="172">
        <f>ROUND($G343*C343/100,0)</f>
        <v>1138336</v>
      </c>
      <c r="K343" s="172">
        <f>ROUND($G343*E343/100,0)</f>
        <v>1307620</v>
      </c>
      <c r="M343" s="294">
        <f t="shared" si="45"/>
        <v>4.3661000000000003</v>
      </c>
      <c r="N343" s="193" t="s">
        <v>108</v>
      </c>
      <c r="O343" s="172">
        <f>ROUND(M343*$E343/100,0)</f>
        <v>1592169</v>
      </c>
      <c r="P343" s="218"/>
      <c r="T343" s="190">
        <f t="shared" si="46"/>
        <v>0.21760834402364893</v>
      </c>
      <c r="U343"/>
    </row>
    <row r="344" spans="1:22">
      <c r="A344" s="185" t="s">
        <v>229</v>
      </c>
      <c r="C344" s="186">
        <v>73224483</v>
      </c>
      <c r="E344" s="163">
        <f>ROUND(C344*$E$347/($C$347-$C$346),0)</f>
        <v>84113829</v>
      </c>
      <c r="G344" s="293">
        <v>2.6962999999999999</v>
      </c>
      <c r="H344" s="193" t="s">
        <v>108</v>
      </c>
      <c r="I344" s="172">
        <f>ROUND($G344*C344/100,0)</f>
        <v>1974352</v>
      </c>
      <c r="K344" s="172">
        <f>ROUND($G344*E344/100,0)</f>
        <v>2267961</v>
      </c>
      <c r="M344" s="294">
        <f t="shared" si="45"/>
        <v>3.2829999999999999</v>
      </c>
      <c r="N344" s="193" t="s">
        <v>108</v>
      </c>
      <c r="O344" s="172">
        <f>ROUND(M344*$E344/100,0)</f>
        <v>2761457</v>
      </c>
      <c r="P344" s="218"/>
      <c r="T344" s="190">
        <f t="shared" si="46"/>
        <v>0.21759448132626202</v>
      </c>
    </row>
    <row r="345" spans="1:22">
      <c r="A345" s="185" t="s">
        <v>223</v>
      </c>
      <c r="C345" s="186">
        <v>158226152</v>
      </c>
      <c r="E345" s="163">
        <f>E347-E343-E344</f>
        <v>181756250</v>
      </c>
      <c r="G345" s="293">
        <v>2.2517999999999998</v>
      </c>
      <c r="H345" s="193" t="s">
        <v>108</v>
      </c>
      <c r="I345" s="172">
        <f>ROUND($G345*C345/100,0)</f>
        <v>3562936</v>
      </c>
      <c r="K345" s="172">
        <f>ROUND($G345*E345/100,0)</f>
        <v>4092787</v>
      </c>
      <c r="M345" s="294">
        <f t="shared" si="45"/>
        <v>2.7423000000000002</v>
      </c>
      <c r="N345" s="193" t="s">
        <v>108</v>
      </c>
      <c r="O345" s="172">
        <f>ROUND(M345*$E345/100,0)</f>
        <v>4984302</v>
      </c>
      <c r="P345" s="218"/>
      <c r="Q345" s="171" t="s">
        <v>117</v>
      </c>
      <c r="R345" s="248">
        <f>O347/K347-1</f>
        <v>0.21758706675870454</v>
      </c>
      <c r="T345" s="190">
        <f t="shared" si="46"/>
        <v>0.2178257394084735</v>
      </c>
      <c r="V345"/>
    </row>
    <row r="346" spans="1:22">
      <c r="A346" s="185" t="s">
        <v>132</v>
      </c>
      <c r="C346" s="227">
        <v>769707</v>
      </c>
      <c r="E346" s="227">
        <v>0</v>
      </c>
      <c r="I346" s="229">
        <v>60099</v>
      </c>
      <c r="K346" s="229">
        <v>0</v>
      </c>
      <c r="O346" s="229">
        <v>0</v>
      </c>
      <c r="Q346" s="171" t="s">
        <v>138</v>
      </c>
      <c r="R346" s="264">
        <f>(O347+O348)/(K347+K348)-1</f>
        <v>0.16811548985950808</v>
      </c>
    </row>
    <row r="347" spans="1:22" ht="16.5" thickBot="1">
      <c r="A347" s="185" t="s">
        <v>134</v>
      </c>
      <c r="C347" s="265">
        <f>SUM(C343:C346)</f>
        <v>263966001</v>
      </c>
      <c r="E347" s="265">
        <v>302336693</v>
      </c>
      <c r="G347" s="254"/>
      <c r="I347" s="255">
        <f>SUM(I339:I346)</f>
        <v>12794704</v>
      </c>
      <c r="K347" s="255">
        <f>SUM(K339:K346)</f>
        <v>14599774</v>
      </c>
      <c r="M347" s="256"/>
      <c r="O347" s="255">
        <f>SUM(O339:O346)</f>
        <v>17776496</v>
      </c>
      <c r="R347"/>
    </row>
    <row r="348" spans="1:22" ht="16.5" thickTop="1">
      <c r="A348" s="185" t="s">
        <v>135</v>
      </c>
      <c r="C348" s="163"/>
      <c r="E348" s="163"/>
      <c r="G348" s="238"/>
      <c r="H348" s="239"/>
      <c r="I348" s="228">
        <f>ROUND($I$335*I347/$I$334,0)</f>
        <v>618324</v>
      </c>
      <c r="K348" s="228">
        <f>I348</f>
        <v>618324</v>
      </c>
      <c r="M348" s="180"/>
      <c r="N348" s="239"/>
      <c r="O348" s="228">
        <v>0</v>
      </c>
      <c r="P348" s="172"/>
    </row>
    <row r="349" spans="1:22">
      <c r="A349" s="185" t="s">
        <v>136</v>
      </c>
      <c r="C349" s="163"/>
      <c r="E349" s="163"/>
      <c r="G349" s="238">
        <f>M349</f>
        <v>3.6999999999999998E-2</v>
      </c>
      <c r="H349" s="258"/>
      <c r="I349" s="228">
        <f>ROUND(SUM(I340:I345,I348)*$G349,0)</f>
        <v>491851</v>
      </c>
      <c r="K349" s="228">
        <f>ROUND(SUM(K340:K345,K348)*$G349,0)</f>
        <v>560850</v>
      </c>
      <c r="M349" s="259">
        <f>M336</f>
        <v>3.6999999999999998E-2</v>
      </c>
      <c r="N349" s="258"/>
      <c r="O349" s="228">
        <f>ROUND(SUM(O340:O345,O348)*M349,0)</f>
        <v>655022</v>
      </c>
      <c r="P349" s="172"/>
    </row>
    <row r="350" spans="1:22">
      <c r="C350" s="163"/>
      <c r="E350" s="163"/>
      <c r="P350" s="172"/>
    </row>
    <row r="351" spans="1:22">
      <c r="A351" s="181" t="s">
        <v>231</v>
      </c>
      <c r="C351" s="163"/>
      <c r="E351" s="163"/>
      <c r="P351" s="172"/>
    </row>
    <row r="352" spans="1:22">
      <c r="A352" s="185" t="s">
        <v>104</v>
      </c>
      <c r="C352" s="186">
        <v>1472.966027852784</v>
      </c>
      <c r="E352" s="260">
        <v>1464</v>
      </c>
      <c r="G352" s="213">
        <v>200</v>
      </c>
      <c r="H352" s="272"/>
      <c r="I352" s="172">
        <f>ROUND($G352*C352,0)</f>
        <v>294593</v>
      </c>
      <c r="K352" s="172">
        <f>ROUND($G352*E352,0)</f>
        <v>292800</v>
      </c>
      <c r="M352" s="273">
        <f t="shared" ref="M352:M358" si="47">M326</f>
        <v>244</v>
      </c>
      <c r="N352" s="272"/>
      <c r="O352" s="172">
        <f>ROUND(M352*$E352,0)</f>
        <v>357216</v>
      </c>
      <c r="P352" s="172"/>
      <c r="T352" s="190">
        <f t="shared" ref="T352:T358" si="48">M352/G352-1</f>
        <v>0.21999999999999997</v>
      </c>
    </row>
    <row r="353" spans="1:22">
      <c r="A353" s="185" t="s">
        <v>220</v>
      </c>
      <c r="C353" s="186">
        <v>6343883.49435711</v>
      </c>
      <c r="E353" s="260">
        <f>ROUND(C353*$E$360/$C$360,0)</f>
        <v>6911697</v>
      </c>
      <c r="G353" s="213">
        <v>1.71</v>
      </c>
      <c r="H353" s="272"/>
      <c r="I353" s="172">
        <f>ROUND($G353*C353,0)</f>
        <v>10848041</v>
      </c>
      <c r="K353" s="172">
        <f>ROUND($G353*E353,0)</f>
        <v>11819002</v>
      </c>
      <c r="M353" s="273">
        <f t="shared" si="47"/>
        <v>2.08</v>
      </c>
      <c r="N353" s="272"/>
      <c r="O353" s="172">
        <f>ROUND(M353*$E353,0)</f>
        <v>14376330</v>
      </c>
      <c r="P353" s="172"/>
      <c r="T353" s="190">
        <f t="shared" si="48"/>
        <v>0.21637426900584811</v>
      </c>
    </row>
    <row r="354" spans="1:22">
      <c r="A354" s="185" t="s">
        <v>221</v>
      </c>
      <c r="C354" s="186">
        <v>2639405.485443186</v>
      </c>
      <c r="E354" s="260">
        <f>ROUND(C354*$E$360/$C$360,0)</f>
        <v>2875647</v>
      </c>
      <c r="G354" s="213">
        <v>10.76</v>
      </c>
      <c r="H354" s="272"/>
      <c r="I354" s="172">
        <f>ROUND($G354*C354,0)</f>
        <v>28400003</v>
      </c>
      <c r="K354" s="172">
        <f>ROUND($G354*E354,0)</f>
        <v>30941962</v>
      </c>
      <c r="M354" s="273">
        <f t="shared" si="47"/>
        <v>13.1</v>
      </c>
      <c r="N354" s="272"/>
      <c r="O354" s="172">
        <f>ROUND(M354*$E354,0)</f>
        <v>37670976</v>
      </c>
      <c r="P354" s="172"/>
      <c r="S354"/>
      <c r="T354" s="190">
        <f t="shared" si="48"/>
        <v>0.21747211895910779</v>
      </c>
    </row>
    <row r="355" spans="1:22">
      <c r="A355" s="185" t="s">
        <v>222</v>
      </c>
      <c r="C355" s="186">
        <v>3610414.4226950351</v>
      </c>
      <c r="E355" s="260">
        <f>ROUND(C355*$E$360/$C$360,0)</f>
        <v>3933567</v>
      </c>
      <c r="G355" s="213">
        <v>7.3</v>
      </c>
      <c r="H355" s="272"/>
      <c r="I355" s="172">
        <f>ROUND($G355*C355,0)</f>
        <v>26356025</v>
      </c>
      <c r="K355" s="172">
        <f>ROUND($G355*E355,0)</f>
        <v>28715039</v>
      </c>
      <c r="M355" s="273">
        <f t="shared" si="47"/>
        <v>8.89</v>
      </c>
      <c r="N355" s="272"/>
      <c r="O355" s="172">
        <f>ROUND(M355*$E355,0)</f>
        <v>34969411</v>
      </c>
      <c r="P355" s="218"/>
      <c r="T355" s="190">
        <f t="shared" si="48"/>
        <v>0.21780821917808235</v>
      </c>
    </row>
    <row r="356" spans="1:22">
      <c r="A356" s="185" t="s">
        <v>228</v>
      </c>
      <c r="C356" s="186">
        <v>361137905</v>
      </c>
      <c r="E356" s="260">
        <f>ROUND(C356*$E$360/($C$360-C$359),0)</f>
        <v>394854802</v>
      </c>
      <c r="G356" s="293">
        <v>3.5857999999999999</v>
      </c>
      <c r="H356" s="193" t="s">
        <v>108</v>
      </c>
      <c r="I356" s="172">
        <f>ROUND($G356*C356/100,0)</f>
        <v>12949683</v>
      </c>
      <c r="K356" s="172">
        <f>ROUND($G356*E356/100,0)</f>
        <v>14158703</v>
      </c>
      <c r="M356" s="294">
        <f t="shared" si="47"/>
        <v>4.3661000000000003</v>
      </c>
      <c r="N356" s="193" t="s">
        <v>108</v>
      </c>
      <c r="O356" s="172">
        <f>ROUND(M356*$E356/100,0)</f>
        <v>17239756</v>
      </c>
      <c r="P356" s="218"/>
      <c r="T356" s="190">
        <f t="shared" si="48"/>
        <v>0.21760834402364893</v>
      </c>
      <c r="U356"/>
    </row>
    <row r="357" spans="1:22">
      <c r="A357" s="185" t="s">
        <v>229</v>
      </c>
      <c r="C357" s="186">
        <v>958263312</v>
      </c>
      <c r="E357" s="260">
        <f>ROUND(C357*$E$360/($C$360-C$359),0)</f>
        <v>1047729593</v>
      </c>
      <c r="G357" s="293">
        <v>2.6962999999999999</v>
      </c>
      <c r="H357" s="193" t="s">
        <v>108</v>
      </c>
      <c r="I357" s="172">
        <f>ROUND($G357*C357/100,0)</f>
        <v>25837654</v>
      </c>
      <c r="K357" s="172">
        <f>ROUND($G357*E357/100,0)</f>
        <v>28249933</v>
      </c>
      <c r="M357" s="294">
        <f t="shared" si="47"/>
        <v>3.2829999999999999</v>
      </c>
      <c r="N357" s="193" t="s">
        <v>108</v>
      </c>
      <c r="O357" s="172">
        <f>ROUND(M357*$E357/100,0)</f>
        <v>34396963</v>
      </c>
      <c r="P357" s="218"/>
      <c r="T357" s="190">
        <f t="shared" si="48"/>
        <v>0.21759448132626202</v>
      </c>
    </row>
    <row r="358" spans="1:22">
      <c r="A358" s="185" t="s">
        <v>223</v>
      </c>
      <c r="C358" s="186">
        <v>2207938159</v>
      </c>
      <c r="E358" s="260">
        <f>E360-E356-E357</f>
        <v>2414077757.6560912</v>
      </c>
      <c r="G358" s="293">
        <v>2.2517999999999998</v>
      </c>
      <c r="H358" s="193" t="s">
        <v>108</v>
      </c>
      <c r="I358" s="172">
        <f>ROUND($G358*C358/100,0)</f>
        <v>49718351</v>
      </c>
      <c r="K358" s="172">
        <f>ROUND($G358*E358/100,0)</f>
        <v>54360203</v>
      </c>
      <c r="M358" s="294">
        <f t="shared" si="47"/>
        <v>2.7423000000000002</v>
      </c>
      <c r="N358" s="193" t="s">
        <v>108</v>
      </c>
      <c r="O358" s="172">
        <f>ROUND(M358*$E358/100,0)</f>
        <v>66201254</v>
      </c>
      <c r="P358" s="218"/>
      <c r="Q358" s="171" t="s">
        <v>117</v>
      </c>
      <c r="R358" s="248">
        <f>O360/K360-1</f>
        <v>0.21760280709279178</v>
      </c>
      <c r="T358" s="190">
        <f t="shared" si="48"/>
        <v>0.2178257394084735</v>
      </c>
      <c r="V358"/>
    </row>
    <row r="359" spans="1:22">
      <c r="A359" s="185" t="s">
        <v>132</v>
      </c>
      <c r="C359" s="227">
        <v>12488169</v>
      </c>
      <c r="E359" s="227">
        <v>0</v>
      </c>
      <c r="I359" s="229">
        <v>332169</v>
      </c>
      <c r="J359" s="312"/>
      <c r="K359" s="229">
        <v>0</v>
      </c>
      <c r="L359" s="312"/>
      <c r="M359" s="313"/>
      <c r="N359" s="312"/>
      <c r="O359" s="229">
        <v>0</v>
      </c>
      <c r="Q359" s="171" t="s">
        <v>138</v>
      </c>
      <c r="R359" s="264">
        <f>(O360+O361)/(K360+K361)-1</f>
        <v>0.16587387676387277</v>
      </c>
    </row>
    <row r="360" spans="1:22" ht="16.5" thickBot="1">
      <c r="A360" s="185" t="s">
        <v>134</v>
      </c>
      <c r="C360" s="265">
        <f>SUM(C356:C359)</f>
        <v>3539827545</v>
      </c>
      <c r="E360" s="265">
        <v>3856662152.6560912</v>
      </c>
      <c r="G360" s="254"/>
      <c r="I360" s="255">
        <f>SUM(I352:I359)</f>
        <v>154736519</v>
      </c>
      <c r="K360" s="255">
        <f>SUM(K352:K359)</f>
        <v>168537642</v>
      </c>
      <c r="M360" s="256"/>
      <c r="O360" s="255">
        <f>SUM(O352:O359)</f>
        <v>205211906</v>
      </c>
      <c r="R360"/>
    </row>
    <row r="361" spans="1:22" ht="16.5" thickTop="1">
      <c r="A361" s="185" t="s">
        <v>135</v>
      </c>
      <c r="C361" s="163"/>
      <c r="E361" s="163"/>
      <c r="G361" s="238"/>
      <c r="H361" s="239"/>
      <c r="I361" s="228">
        <f>ROUND($I$335*I360/$I$334,0)</f>
        <v>7477886</v>
      </c>
      <c r="K361" s="228">
        <f>I361</f>
        <v>7477886</v>
      </c>
      <c r="M361" s="180"/>
      <c r="N361" s="239"/>
      <c r="O361" s="228">
        <v>0</v>
      </c>
      <c r="P361" s="172"/>
    </row>
    <row r="362" spans="1:22">
      <c r="A362" s="185" t="s">
        <v>136</v>
      </c>
      <c r="C362" s="163"/>
      <c r="E362" s="163"/>
      <c r="G362" s="238">
        <f>M362</f>
        <v>3.6999999999999998E-2</v>
      </c>
      <c r="H362" s="258"/>
      <c r="I362" s="228">
        <f>ROUND(SUM(I353:I358,I361)*$G362,0)</f>
        <v>5978743</v>
      </c>
      <c r="K362" s="228">
        <f>ROUND(SUM(K353:K358,K361)*$G362,0)</f>
        <v>6501741</v>
      </c>
      <c r="M362" s="259">
        <f>M336</f>
        <v>3.6999999999999998E-2</v>
      </c>
      <c r="N362" s="258"/>
      <c r="O362" s="228">
        <f>ROUND(SUM(O353:O358,O361)*M362,0)</f>
        <v>7579624</v>
      </c>
      <c r="P362" s="172"/>
    </row>
    <row r="363" spans="1:22">
      <c r="C363" s="163"/>
      <c r="E363" s="163"/>
      <c r="P363" s="172"/>
    </row>
    <row r="364" spans="1:22">
      <c r="A364" s="181" t="s">
        <v>232</v>
      </c>
      <c r="C364" s="163"/>
      <c r="E364" s="163"/>
      <c r="P364" s="172"/>
    </row>
    <row r="365" spans="1:22">
      <c r="A365" s="185" t="s">
        <v>104</v>
      </c>
      <c r="C365" s="186">
        <v>47.999949999999998</v>
      </c>
      <c r="E365" s="260">
        <v>48</v>
      </c>
      <c r="G365" s="213">
        <v>200</v>
      </c>
      <c r="H365" s="272"/>
      <c r="I365" s="172">
        <f>ROUND($G365*C365,0)</f>
        <v>9600</v>
      </c>
      <c r="K365" s="172">
        <f>ROUND($G365*E365,0)</f>
        <v>9600</v>
      </c>
      <c r="M365" s="273">
        <f t="shared" ref="M365:M371" si="49">M326</f>
        <v>244</v>
      </c>
      <c r="N365" s="272"/>
      <c r="O365" s="172">
        <f>ROUND(M365*$E365,0)</f>
        <v>11712</v>
      </c>
      <c r="P365" s="172"/>
      <c r="T365" s="190">
        <f t="shared" ref="T365:T371" si="50">M365/G365-1</f>
        <v>0.21999999999999997</v>
      </c>
    </row>
    <row r="366" spans="1:22">
      <c r="A366" s="185" t="s">
        <v>220</v>
      </c>
      <c r="C366" s="186">
        <v>850301.00069112203</v>
      </c>
      <c r="E366" s="260">
        <f>ROUND(C366*$E$373/$C$373,0)</f>
        <v>880989</v>
      </c>
      <c r="G366" s="213">
        <v>1.71</v>
      </c>
      <c r="H366" s="272"/>
      <c r="I366" s="172">
        <f>ROUND($G366*C366,0)</f>
        <v>1454015</v>
      </c>
      <c r="K366" s="172">
        <f>ROUND($G366*E366,0)</f>
        <v>1506491</v>
      </c>
      <c r="M366" s="273">
        <f t="shared" si="49"/>
        <v>2.08</v>
      </c>
      <c r="N366" s="272"/>
      <c r="O366" s="172">
        <f>ROUND(M366*$E366,0)</f>
        <v>1832457</v>
      </c>
      <c r="P366" s="172"/>
      <c r="T366" s="190">
        <f t="shared" si="50"/>
        <v>0.21637426900584811</v>
      </c>
    </row>
    <row r="367" spans="1:22">
      <c r="A367" s="185" t="s">
        <v>221</v>
      </c>
      <c r="C367" s="186">
        <v>369712.000185874</v>
      </c>
      <c r="E367" s="260">
        <f>ROUND(C367*$E$373/$C$373,0)</f>
        <v>383055</v>
      </c>
      <c r="G367" s="213">
        <v>10.76</v>
      </c>
      <c r="H367" s="272"/>
      <c r="I367" s="172">
        <f>ROUND($G367*C367,0)</f>
        <v>3978101</v>
      </c>
      <c r="K367" s="172">
        <f>ROUND($G367*E367,0)</f>
        <v>4121672</v>
      </c>
      <c r="M367" s="273">
        <f t="shared" si="49"/>
        <v>13.1</v>
      </c>
      <c r="N367" s="272"/>
      <c r="O367" s="172">
        <f>ROUND(M367*$E367,0)</f>
        <v>5018021</v>
      </c>
      <c r="P367" s="172"/>
      <c r="S367"/>
      <c r="T367" s="190">
        <f t="shared" si="50"/>
        <v>0.21747211895910779</v>
      </c>
    </row>
    <row r="368" spans="1:22">
      <c r="A368" s="185" t="s">
        <v>222</v>
      </c>
      <c r="C368" s="186">
        <v>463834</v>
      </c>
      <c r="E368" s="260">
        <f>ROUND(C368*$E$373/$C$373,0)</f>
        <v>480574</v>
      </c>
      <c r="G368" s="213">
        <v>7.3</v>
      </c>
      <c r="H368" s="272"/>
      <c r="I368" s="172">
        <f>ROUND($G368*C368,0)</f>
        <v>3385988</v>
      </c>
      <c r="K368" s="172">
        <f>ROUND($G368*E368,0)</f>
        <v>3508190</v>
      </c>
      <c r="M368" s="273">
        <f t="shared" si="49"/>
        <v>8.89</v>
      </c>
      <c r="N368" s="272"/>
      <c r="O368" s="172">
        <f>ROUND(M368*$E368,0)</f>
        <v>4272303</v>
      </c>
      <c r="P368" s="218"/>
      <c r="T368" s="190">
        <f t="shared" si="50"/>
        <v>0.21780821917808235</v>
      </c>
    </row>
    <row r="369" spans="1:22">
      <c r="A369" s="185" t="s">
        <v>228</v>
      </c>
      <c r="C369" s="186">
        <v>47221613</v>
      </c>
      <c r="E369" s="260">
        <f>ROUND(C369*$E$373/($C$373-$C$372),0)</f>
        <v>48815573</v>
      </c>
      <c r="G369" s="293">
        <v>3.5857999999999999</v>
      </c>
      <c r="H369" s="193" t="s">
        <v>108</v>
      </c>
      <c r="I369" s="172">
        <f>ROUND($G369*C369/100,0)</f>
        <v>1693273</v>
      </c>
      <c r="K369" s="172">
        <f>ROUND($G369*E369/100,0)</f>
        <v>1750429</v>
      </c>
      <c r="M369" s="294">
        <f t="shared" si="49"/>
        <v>4.3661000000000003</v>
      </c>
      <c r="N369" s="193" t="s">
        <v>108</v>
      </c>
      <c r="O369" s="172">
        <f>ROUND(M369*$E369/100,0)</f>
        <v>2131337</v>
      </c>
      <c r="P369" s="218"/>
      <c r="T369" s="190">
        <f t="shared" si="50"/>
        <v>0.21760834402364893</v>
      </c>
      <c r="U369"/>
    </row>
    <row r="370" spans="1:22">
      <c r="A370" s="185" t="s">
        <v>229</v>
      </c>
      <c r="C370" s="186">
        <v>120759900</v>
      </c>
      <c r="E370" s="260">
        <f>ROUND(C370*$E$373/($C$373-$C$372),0)</f>
        <v>124836137</v>
      </c>
      <c r="G370" s="293">
        <v>2.6962999999999999</v>
      </c>
      <c r="H370" s="193" t="s">
        <v>108</v>
      </c>
      <c r="I370" s="172">
        <f>ROUND($G370*C370/100,0)</f>
        <v>3256049</v>
      </c>
      <c r="K370" s="172">
        <f>ROUND($G370*E370/100,0)</f>
        <v>3365957</v>
      </c>
      <c r="M370" s="294">
        <f t="shared" si="49"/>
        <v>3.2829999999999999</v>
      </c>
      <c r="N370" s="193" t="s">
        <v>108</v>
      </c>
      <c r="O370" s="172">
        <f>ROUND(M370*$E370/100,0)</f>
        <v>4098370</v>
      </c>
      <c r="P370" s="218"/>
      <c r="T370" s="190">
        <f t="shared" si="50"/>
        <v>0.21759448132626202</v>
      </c>
    </row>
    <row r="371" spans="1:22">
      <c r="A371" s="185" t="s">
        <v>223</v>
      </c>
      <c r="C371" s="186">
        <v>252737087</v>
      </c>
      <c r="E371" s="260">
        <f>E373-E369-E370</f>
        <v>261268200.1163367</v>
      </c>
      <c r="G371" s="293">
        <v>2.2517999999999998</v>
      </c>
      <c r="H371" s="193" t="s">
        <v>108</v>
      </c>
      <c r="I371" s="172">
        <f>ROUND($G371*C371/100,0)</f>
        <v>5691134</v>
      </c>
      <c r="K371" s="172">
        <f>ROUND($G371*E371/100,0)</f>
        <v>5883237</v>
      </c>
      <c r="M371" s="294">
        <f t="shared" si="49"/>
        <v>2.7423000000000002</v>
      </c>
      <c r="N371" s="193" t="s">
        <v>108</v>
      </c>
      <c r="O371" s="172">
        <f>ROUND(M371*$E371/100,0)</f>
        <v>7164758</v>
      </c>
      <c r="P371" s="218"/>
      <c r="Q371" s="171" t="s">
        <v>117</v>
      </c>
      <c r="R371" s="248">
        <f>O373/K373-1</f>
        <v>0.21758533982845663</v>
      </c>
      <c r="T371" s="190">
        <f t="shared" si="50"/>
        <v>0.2178257394084735</v>
      </c>
      <c r="V371"/>
    </row>
    <row r="372" spans="1:22">
      <c r="A372" s="185" t="s">
        <v>132</v>
      </c>
      <c r="C372" s="227">
        <v>-948637</v>
      </c>
      <c r="E372" s="227">
        <v>0</v>
      </c>
      <c r="I372" s="229">
        <v>64438</v>
      </c>
      <c r="K372" s="229">
        <v>0</v>
      </c>
      <c r="O372" s="229">
        <v>0</v>
      </c>
      <c r="Q372" s="171" t="s">
        <v>138</v>
      </c>
      <c r="R372" s="264">
        <f>(O373+O374)/(K373+K374)-1</f>
        <v>0.16308755934809538</v>
      </c>
      <c r="S372" s="257"/>
    </row>
    <row r="373" spans="1:22" ht="16.5" thickBot="1">
      <c r="A373" s="185" t="s">
        <v>134</v>
      </c>
      <c r="C373" s="265">
        <f>SUM(C369:C372)</f>
        <v>419769963</v>
      </c>
      <c r="E373" s="265">
        <v>434919910.1163367</v>
      </c>
      <c r="G373" s="254"/>
      <c r="I373" s="255">
        <f>SUM(I365:I372)</f>
        <v>19532598</v>
      </c>
      <c r="K373" s="255">
        <f>SUM(K365:K372)</f>
        <v>20145576</v>
      </c>
      <c r="M373" s="256"/>
      <c r="O373" s="255">
        <f>SUM(O365:O372)</f>
        <v>24528958</v>
      </c>
      <c r="R373"/>
      <c r="S373" s="257"/>
    </row>
    <row r="374" spans="1:22" ht="16.5" thickTop="1">
      <c r="A374" s="185" t="s">
        <v>135</v>
      </c>
      <c r="C374" s="163"/>
      <c r="E374" s="163"/>
      <c r="G374" s="238"/>
      <c r="H374" s="239"/>
      <c r="I374" s="228">
        <f>I335-I348-I361</f>
        <v>943943.70370000042</v>
      </c>
      <c r="K374" s="228">
        <f>I374</f>
        <v>943943.70370000042</v>
      </c>
      <c r="M374" s="180"/>
      <c r="N374" s="239"/>
      <c r="O374" s="228">
        <v>0</v>
      </c>
      <c r="P374" s="172"/>
      <c r="S374" s="257"/>
      <c r="T374" s="257"/>
      <c r="U374" s="172"/>
    </row>
    <row r="375" spans="1:22">
      <c r="A375" s="185" t="s">
        <v>136</v>
      </c>
      <c r="C375" s="163"/>
      <c r="E375" s="163"/>
      <c r="G375" s="238">
        <f>M375</f>
        <v>3.6999999999999998E-2</v>
      </c>
      <c r="H375" s="258"/>
      <c r="I375" s="228">
        <f>ROUND(SUM(I366:I371,I374)*$G375,0)</f>
        <v>754893</v>
      </c>
      <c r="K375" s="228">
        <f>ROUND(SUM(K366:K371,K374)*$G375,0)</f>
        <v>779957</v>
      </c>
      <c r="M375" s="259">
        <f>M362</f>
        <v>3.6999999999999998E-2</v>
      </c>
      <c r="N375" s="258"/>
      <c r="O375" s="228">
        <f>ROUND(SUM(O366:O371,O374)*M375,0)</f>
        <v>907138</v>
      </c>
      <c r="P375" s="172"/>
      <c r="T375" s="257"/>
      <c r="U375" s="172"/>
    </row>
    <row r="376" spans="1:22">
      <c r="C376" s="163"/>
      <c r="E376" s="163"/>
      <c r="P376" s="172"/>
      <c r="S376" s="224"/>
      <c r="T376" s="257"/>
      <c r="U376" s="172"/>
      <c r="V376" s="260"/>
    </row>
    <row r="377" spans="1:22">
      <c r="A377" s="181" t="s">
        <v>233</v>
      </c>
      <c r="C377" s="163"/>
      <c r="E377" s="163"/>
      <c r="G377" s="269"/>
      <c r="H377" s="267"/>
      <c r="M377" s="270"/>
      <c r="N377" s="267"/>
      <c r="P377" s="172"/>
      <c r="U377" s="172"/>
      <c r="V377" s="260"/>
    </row>
    <row r="378" spans="1:22">
      <c r="A378" s="185" t="s">
        <v>104</v>
      </c>
      <c r="C378" s="186">
        <v>24.000016666666699</v>
      </c>
      <c r="E378" s="260">
        <v>24</v>
      </c>
      <c r="G378" s="187">
        <v>200</v>
      </c>
      <c r="H378" s="241"/>
      <c r="I378" s="172">
        <f>ROUND($G378*C378,0)</f>
        <v>4800</v>
      </c>
      <c r="K378" s="172">
        <f>ROUND($G378*E378,0)</f>
        <v>4800</v>
      </c>
      <c r="M378" s="242">
        <f>M326</f>
        <v>244</v>
      </c>
      <c r="N378" s="241"/>
      <c r="O378" s="172">
        <f>ROUND(M378*$E378,0)</f>
        <v>5856</v>
      </c>
      <c r="P378" s="172"/>
      <c r="Q378" s="198" t="s">
        <v>111</v>
      </c>
      <c r="R378" s="199">
        <f>O384+O394</f>
        <v>3808197</v>
      </c>
      <c r="T378" s="190">
        <f>M378/G378-1</f>
        <v>0.21999999999999997</v>
      </c>
      <c r="U378" s="172"/>
      <c r="V378" s="260"/>
    </row>
    <row r="379" spans="1:22">
      <c r="A379" s="185" t="s">
        <v>234</v>
      </c>
      <c r="C379" s="186">
        <v>0</v>
      </c>
      <c r="E379" s="186">
        <v>0</v>
      </c>
      <c r="G379" s="187">
        <v>0</v>
      </c>
      <c r="H379" s="188"/>
      <c r="I379" s="172">
        <f>ROUND($G379*C379,0)</f>
        <v>0</v>
      </c>
      <c r="K379" s="172">
        <f>ROUND($G379*E379,0)</f>
        <v>0</v>
      </c>
      <c r="M379" s="189">
        <v>0</v>
      </c>
      <c r="N379" s="188"/>
      <c r="O379" s="172">
        <f>ROUND(M379*$E379,0)</f>
        <v>0</v>
      </c>
      <c r="P379" s="218"/>
      <c r="Q379" s="202" t="s">
        <v>113</v>
      </c>
      <c r="R379" s="203">
        <f>RateSpread!O26*1000</f>
        <v>3808192.517</v>
      </c>
      <c r="T379" s="190"/>
      <c r="V379" s="260"/>
    </row>
    <row r="380" spans="1:22">
      <c r="A380" s="185" t="s">
        <v>235</v>
      </c>
      <c r="C380" s="186">
        <v>79119</v>
      </c>
      <c r="E380" s="260">
        <f>ROUND(C380*$E$384/$C$384,0)</f>
        <v>109222</v>
      </c>
      <c r="G380" s="187">
        <v>1.71</v>
      </c>
      <c r="H380" s="241"/>
      <c r="I380" s="172">
        <f>ROUND($G380*C380,0)</f>
        <v>135293</v>
      </c>
      <c r="K380" s="172">
        <f>ROUND($G380*E380,0)</f>
        <v>186770</v>
      </c>
      <c r="M380" s="242">
        <f>M327</f>
        <v>2.08</v>
      </c>
      <c r="N380" s="241"/>
      <c r="O380" s="172">
        <f>ROUND(M380*$E380,0)</f>
        <v>227182</v>
      </c>
      <c r="P380" s="218"/>
      <c r="Q380" s="207" t="s">
        <v>115</v>
      </c>
      <c r="R380" s="208">
        <f>R379-R378</f>
        <v>-4.4830000000074506</v>
      </c>
      <c r="T380" s="190">
        <f>M380/G380-1</f>
        <v>0.21637426900584811</v>
      </c>
      <c r="U380" s="172"/>
      <c r="V380"/>
    </row>
    <row r="381" spans="1:22">
      <c r="A381" s="185" t="s">
        <v>236</v>
      </c>
      <c r="C381" s="186">
        <v>11658000</v>
      </c>
      <c r="E381" s="260">
        <f>ROUND(C381*($E$384-$E$383)/($C$384-$C$383),0)</f>
        <v>16140604</v>
      </c>
      <c r="G381" s="251">
        <v>6.6246999999999998</v>
      </c>
      <c r="H381" s="193" t="s">
        <v>108</v>
      </c>
      <c r="I381" s="172">
        <f>ROUND($G381*C381/100,0)</f>
        <v>772308</v>
      </c>
      <c r="K381" s="172">
        <f>ROUND($G381*E381/100,0)</f>
        <v>1069267</v>
      </c>
      <c r="M381" s="251">
        <f>ROUND(G381*(1+R383),4)</f>
        <v>8.0719999999999992</v>
      </c>
      <c r="N381" s="193" t="s">
        <v>108</v>
      </c>
      <c r="O381" s="172">
        <f>ROUND(M381*$E381/100,0)</f>
        <v>1302870</v>
      </c>
      <c r="P381" s="218"/>
      <c r="Q381" s="210" t="s">
        <v>117</v>
      </c>
      <c r="R381" s="281">
        <f>R378/(K384+K394)-1</f>
        <v>0.21847526332006462</v>
      </c>
      <c r="T381" s="190">
        <f>M381/G381-1</f>
        <v>0.21847027035186484</v>
      </c>
      <c r="V381"/>
    </row>
    <row r="382" spans="1:22">
      <c r="A382" s="185" t="s">
        <v>223</v>
      </c>
      <c r="C382" s="186">
        <v>13185600</v>
      </c>
      <c r="E382" s="260">
        <f>E384-E381</f>
        <v>18255580</v>
      </c>
      <c r="G382" s="251">
        <v>2.8479000000000001</v>
      </c>
      <c r="H382" s="193" t="s">
        <v>108</v>
      </c>
      <c r="I382" s="172">
        <f>ROUND($G382*C382/100,0)</f>
        <v>375513</v>
      </c>
      <c r="K382" s="172">
        <f>ROUND($G382*E382/100,0)</f>
        <v>519901</v>
      </c>
      <c r="M382" s="251">
        <f>ROUND((R379-SUM(O378:O381,O389:O391))/(E382+E392)*100,4)</f>
        <v>3.4742999999999999</v>
      </c>
      <c r="N382" s="193" t="s">
        <v>108</v>
      </c>
      <c r="O382" s="172">
        <f>ROUND(M382*$E382/100,0)</f>
        <v>634254</v>
      </c>
      <c r="P382" s="218"/>
      <c r="Q382" s="214" t="s">
        <v>119</v>
      </c>
      <c r="R382" s="281">
        <f>R379/(K384+K394)-1</f>
        <v>0.21847382893402689</v>
      </c>
      <c r="T382" s="190">
        <f>M382/G382-1</f>
        <v>0.21995154324238908</v>
      </c>
      <c r="U382" s="275"/>
      <c r="V382"/>
    </row>
    <row r="383" spans="1:22">
      <c r="A383" s="185" t="s">
        <v>132</v>
      </c>
      <c r="C383" s="227">
        <v>72654</v>
      </c>
      <c r="E383" s="282">
        <v>0</v>
      </c>
      <c r="I383" s="229">
        <v>6065</v>
      </c>
      <c r="K383" s="229">
        <v>0</v>
      </c>
      <c r="M383" s="161"/>
      <c r="O383" s="229">
        <v>0</v>
      </c>
      <c r="Q383" s="214" t="s">
        <v>168</v>
      </c>
      <c r="R383" s="281">
        <f>(R379-O378-O389-O379)/(K384+K394-K378-K389-K379)-1</f>
        <v>0.2184632079152542</v>
      </c>
    </row>
    <row r="384" spans="1:22" ht="16.5" thickBot="1">
      <c r="A384" s="185" t="s">
        <v>134</v>
      </c>
      <c r="C384" s="265">
        <f>SUM(C381:C383)</f>
        <v>24916254</v>
      </c>
      <c r="E384" s="265">
        <v>34396184</v>
      </c>
      <c r="G384" s="254"/>
      <c r="I384" s="255">
        <f>SUM(I378:I383)</f>
        <v>1293979</v>
      </c>
      <c r="K384" s="255">
        <f>SUM(K378:K383)</f>
        <v>1780738</v>
      </c>
      <c r="M384" s="254"/>
      <c r="O384" s="255">
        <f>SUM(O378:O383)</f>
        <v>2170162</v>
      </c>
      <c r="Q384" s="230" t="s">
        <v>123</v>
      </c>
      <c r="R384" s="309">
        <f>O378/K378-1</f>
        <v>0.21999999999999997</v>
      </c>
    </row>
    <row r="385" spans="1:22" ht="16.5" thickTop="1">
      <c r="A385" s="185" t="s">
        <v>135</v>
      </c>
      <c r="C385" s="163"/>
      <c r="E385" s="163"/>
      <c r="G385" s="238"/>
      <c r="H385" s="239"/>
      <c r="I385" s="228">
        <f>ROUND(MPA!K190*I384/(I384+I394),0)</f>
        <v>69877</v>
      </c>
      <c r="K385" s="228">
        <f>I385</f>
        <v>69877</v>
      </c>
      <c r="M385" s="180"/>
      <c r="N385" s="239"/>
      <c r="O385" s="228">
        <v>0</v>
      </c>
      <c r="P385" s="172"/>
      <c r="Q385" s="230" t="s">
        <v>138</v>
      </c>
      <c r="R385" s="284">
        <f>(O384+O385)/(K384+K385)-1</f>
        <v>0.17267070676504837</v>
      </c>
    </row>
    <row r="386" spans="1:22">
      <c r="A386" s="185" t="s">
        <v>136</v>
      </c>
      <c r="C386" s="163"/>
      <c r="E386" s="163"/>
      <c r="G386" s="238">
        <f>M386</f>
        <v>3.6999999999999998E-2</v>
      </c>
      <c r="H386" s="239"/>
      <c r="I386" s="228">
        <f>ROUND(SUM(I380:I382,I385)*$G386,0)</f>
        <v>50061</v>
      </c>
      <c r="K386" s="228">
        <f>ROUND(SUM(K380:K382,K385)*$G386,0)</f>
        <v>68295</v>
      </c>
      <c r="M386" s="180">
        <v>3.6999999999999998E-2</v>
      </c>
      <c r="N386" s="239"/>
      <c r="O386" s="228">
        <f>ROUND(SUM(O380:O382,O385)*M386,0)</f>
        <v>80079</v>
      </c>
      <c r="P386" s="172"/>
    </row>
    <row r="387" spans="1:22">
      <c r="C387" s="163"/>
      <c r="E387" s="163"/>
      <c r="P387" s="172"/>
    </row>
    <row r="388" spans="1:22">
      <c r="A388" s="181" t="s">
        <v>237</v>
      </c>
      <c r="C388" s="163"/>
      <c r="E388" s="163"/>
      <c r="G388" s="269"/>
      <c r="H388" s="267"/>
      <c r="M388" s="270"/>
      <c r="N388" s="267"/>
      <c r="P388" s="172"/>
      <c r="S388"/>
    </row>
    <row r="389" spans="1:22">
      <c r="A389" s="185" t="s">
        <v>104</v>
      </c>
      <c r="C389" s="186">
        <v>84.000127290260394</v>
      </c>
      <c r="E389" s="260">
        <v>84</v>
      </c>
      <c r="G389" s="213">
        <v>200</v>
      </c>
      <c r="H389" s="272"/>
      <c r="I389" s="172">
        <f>ROUND($G389*C389,0)</f>
        <v>16800</v>
      </c>
      <c r="K389" s="172">
        <f>ROUND($G389*E389,0)</f>
        <v>16800</v>
      </c>
      <c r="M389" s="273">
        <f>M378</f>
        <v>244</v>
      </c>
      <c r="N389" s="272"/>
      <c r="O389" s="172">
        <f>ROUND(M389*$E389,0)</f>
        <v>20496</v>
      </c>
      <c r="P389" s="218"/>
      <c r="T389" s="190">
        <f>M389/G389-1</f>
        <v>0.21999999999999997</v>
      </c>
    </row>
    <row r="390" spans="1:22">
      <c r="A390" s="185" t="s">
        <v>235</v>
      </c>
      <c r="C390" s="186">
        <v>175509.01297941798</v>
      </c>
      <c r="E390" s="260">
        <f>ROUND(C390*$E$394/$C$394,0)</f>
        <v>178334</v>
      </c>
      <c r="G390" s="213">
        <v>1.71</v>
      </c>
      <c r="H390" s="272"/>
      <c r="I390" s="172">
        <f>ROUND($G390*C390,0)</f>
        <v>300120</v>
      </c>
      <c r="K390" s="172">
        <f>ROUND($G390*E390,0)</f>
        <v>304951</v>
      </c>
      <c r="M390" s="273">
        <f>M380</f>
        <v>2.08</v>
      </c>
      <c r="N390" s="272"/>
      <c r="O390" s="172">
        <f>ROUND(M390*$E390,0)</f>
        <v>370935</v>
      </c>
      <c r="P390" s="218"/>
      <c r="T390" s="190">
        <f>M390/G390-1</f>
        <v>0.21637426900584811</v>
      </c>
      <c r="U390"/>
    </row>
    <row r="391" spans="1:22">
      <c r="A391" s="185" t="s">
        <v>236</v>
      </c>
      <c r="C391" s="186">
        <v>12717239</v>
      </c>
      <c r="E391" s="260">
        <f>ROUND(C391*($E$394-$E$393)/($C$394-$C$393),0)</f>
        <v>12967672</v>
      </c>
      <c r="G391" s="293">
        <v>6.6246999999999998</v>
      </c>
      <c r="H391" s="193" t="s">
        <v>108</v>
      </c>
      <c r="I391" s="172">
        <f>ROUND($G391*C391/100,0)</f>
        <v>842479</v>
      </c>
      <c r="K391" s="172">
        <f>ROUND($G391*E391/100,0)</f>
        <v>859069</v>
      </c>
      <c r="M391" s="294">
        <f>M381</f>
        <v>8.0719999999999992</v>
      </c>
      <c r="N391" s="193" t="s">
        <v>108</v>
      </c>
      <c r="O391" s="172">
        <f>ROUND(M391*$E391/100,0)</f>
        <v>1046750</v>
      </c>
      <c r="P391" s="218"/>
      <c r="T391" s="190">
        <f>M391/G391-1</f>
        <v>0.21847027035186484</v>
      </c>
    </row>
    <row r="392" spans="1:22">
      <c r="A392" s="185" t="s">
        <v>223</v>
      </c>
      <c r="C392" s="186">
        <v>5641263</v>
      </c>
      <c r="E392" s="260">
        <f>E394-E391</f>
        <v>5752352.4114926457</v>
      </c>
      <c r="G392" s="293">
        <v>2.8479000000000001</v>
      </c>
      <c r="H392" s="193" t="s">
        <v>108</v>
      </c>
      <c r="I392" s="172">
        <f>ROUND($G392*C392/100,0)</f>
        <v>160658</v>
      </c>
      <c r="K392" s="172">
        <f>ROUND($G392*E392/100,0)</f>
        <v>163821</v>
      </c>
      <c r="M392" s="294">
        <f>M382</f>
        <v>3.4742999999999999</v>
      </c>
      <c r="N392" s="193" t="s">
        <v>108</v>
      </c>
      <c r="O392" s="172">
        <f>ROUND(M392*$E392/100,0)</f>
        <v>199854</v>
      </c>
      <c r="P392" s="218"/>
      <c r="Q392" s="171" t="s">
        <v>117</v>
      </c>
      <c r="R392" s="248">
        <f>O394/K394-1</f>
        <v>0.21819504239421517</v>
      </c>
      <c r="T392" s="190">
        <f>M392/G392-1</f>
        <v>0.21995154324238908</v>
      </c>
      <c r="V392"/>
    </row>
    <row r="393" spans="1:22">
      <c r="A393" s="185" t="s">
        <v>132</v>
      </c>
      <c r="C393" s="227">
        <v>64996</v>
      </c>
      <c r="E393" s="282">
        <v>0</v>
      </c>
      <c r="I393" s="229">
        <v>2843</v>
      </c>
      <c r="J393" s="312"/>
      <c r="K393" s="229">
        <v>0</v>
      </c>
      <c r="L393" s="312"/>
      <c r="M393" s="313"/>
      <c r="N393" s="312"/>
      <c r="O393" s="229">
        <v>0</v>
      </c>
      <c r="Q393" s="171" t="s">
        <v>138</v>
      </c>
      <c r="R393" s="264">
        <f>(O394+O395)/(K394+K395)-1</f>
        <v>0.1567394205872128</v>
      </c>
    </row>
    <row r="394" spans="1:22" ht="16.5" thickBot="1">
      <c r="A394" s="185" t="s">
        <v>134</v>
      </c>
      <c r="C394" s="265">
        <f>SUM(C391:C393)</f>
        <v>18423498</v>
      </c>
      <c r="E394" s="265">
        <v>18720024.411492646</v>
      </c>
      <c r="G394" s="254"/>
      <c r="I394" s="255">
        <f>SUM(I389:I393)</f>
        <v>1322900</v>
      </c>
      <c r="K394" s="255">
        <f>SUM(K389:K393)</f>
        <v>1344641</v>
      </c>
      <c r="M394" s="256"/>
      <c r="O394" s="255">
        <f>SUM(O389:O393)</f>
        <v>1638035</v>
      </c>
      <c r="R394"/>
      <c r="S394" s="257"/>
    </row>
    <row r="395" spans="1:22" ht="16.5" thickTop="1">
      <c r="A395" s="185" t="s">
        <v>135</v>
      </c>
      <c r="C395" s="163"/>
      <c r="E395" s="163"/>
      <c r="G395" s="238"/>
      <c r="H395" s="239"/>
      <c r="I395" s="228">
        <f>MPA!K190-I385</f>
        <v>71438.516999999993</v>
      </c>
      <c r="K395" s="228">
        <f>I395</f>
        <v>71438.516999999993</v>
      </c>
      <c r="M395" s="180"/>
      <c r="N395" s="239"/>
      <c r="O395" s="228">
        <v>0</v>
      </c>
      <c r="P395" s="172"/>
    </row>
    <row r="396" spans="1:22">
      <c r="A396" s="185" t="s">
        <v>136</v>
      </c>
      <c r="C396" s="163"/>
      <c r="E396" s="163"/>
      <c r="G396" s="238">
        <f>M396</f>
        <v>3.6999999999999998E-2</v>
      </c>
      <c r="H396" s="258"/>
      <c r="I396" s="228">
        <f>ROUND(SUM(I390:I392,I395)*$G396,0)</f>
        <v>50864</v>
      </c>
      <c r="K396" s="228">
        <f>ROUND(SUM(K390:K392,K395)*$G396,0)</f>
        <v>51773</v>
      </c>
      <c r="M396" s="259">
        <f>M386</f>
        <v>3.6999999999999998E-2</v>
      </c>
      <c r="N396" s="258"/>
      <c r="O396" s="228">
        <f>ROUND(SUM(O390:O392,O395)*M396,0)</f>
        <v>59849</v>
      </c>
      <c r="P396" s="172"/>
      <c r="S396" s="257"/>
      <c r="T396" s="257"/>
      <c r="U396" s="172"/>
    </row>
    <row r="397" spans="1:22">
      <c r="C397" s="163"/>
      <c r="E397" s="163"/>
      <c r="P397" s="172"/>
      <c r="S397" s="257"/>
    </row>
    <row r="398" spans="1:22">
      <c r="A398" s="181" t="s">
        <v>238</v>
      </c>
      <c r="P398" s="172"/>
      <c r="T398" s="257"/>
      <c r="U398" s="172"/>
      <c r="V398" s="260"/>
    </row>
    <row r="399" spans="1:22">
      <c r="A399" s="185" t="s">
        <v>239</v>
      </c>
      <c r="C399" s="186">
        <v>1</v>
      </c>
      <c r="E399" s="260">
        <v>1</v>
      </c>
      <c r="G399" s="213">
        <v>98</v>
      </c>
      <c r="H399" s="217"/>
      <c r="I399" s="172">
        <f>ROUND($G399*C399,0)</f>
        <v>98</v>
      </c>
      <c r="K399" s="172">
        <f>ROUND($G399*E399,0)</f>
        <v>98</v>
      </c>
      <c r="M399" s="213">
        <f>ROUND(G399*(1+$R$408),0)</f>
        <v>121</v>
      </c>
      <c r="N399" s="217"/>
      <c r="O399" s="172">
        <f>ROUND(M399*$E399,0)</f>
        <v>121</v>
      </c>
      <c r="P399" s="172"/>
      <c r="T399" s="190">
        <f t="shared" ref="T399:T405" si="51">M399/G399-1</f>
        <v>0.23469387755102034</v>
      </c>
      <c r="U399" s="172"/>
    </row>
    <row r="400" spans="1:22">
      <c r="A400" s="185" t="s">
        <v>240</v>
      </c>
      <c r="C400" s="186">
        <v>2484.4848275862087</v>
      </c>
      <c r="E400" s="260">
        <v>2610</v>
      </c>
      <c r="G400" s="213">
        <v>30</v>
      </c>
      <c r="H400" s="217"/>
      <c r="I400" s="172">
        <f>ROUND($G400*C400,0)</f>
        <v>74535</v>
      </c>
      <c r="K400" s="172">
        <f>ROUND($G400*E400,0)</f>
        <v>78300</v>
      </c>
      <c r="M400" s="213">
        <f>ROUND(G400*(1+$R$408),0)</f>
        <v>37</v>
      </c>
      <c r="N400" s="217"/>
      <c r="O400" s="172">
        <f>ROUND(M400*$E400,0)</f>
        <v>96570</v>
      </c>
      <c r="P400" s="172"/>
      <c r="Q400" s="242"/>
      <c r="T400" s="190">
        <f t="shared" si="51"/>
        <v>0.23333333333333339</v>
      </c>
      <c r="V400" s="260"/>
    </row>
    <row r="401" spans="1:22">
      <c r="A401" s="185" t="s">
        <v>241</v>
      </c>
      <c r="C401" s="186">
        <v>0</v>
      </c>
      <c r="E401" s="260">
        <f>ROUND(C401*(E$399+E$400)/(C$399+C$400),0)</f>
        <v>0</v>
      </c>
      <c r="G401" s="213">
        <v>12</v>
      </c>
      <c r="H401" s="217"/>
      <c r="I401" s="172">
        <f>ROUND($G401*C401,0)</f>
        <v>0</v>
      </c>
      <c r="K401" s="172">
        <f>ROUND($G401*E401,0)</f>
        <v>0</v>
      </c>
      <c r="M401" s="213">
        <f>ROUND(G401*(1+$R$408),0)</f>
        <v>15</v>
      </c>
      <c r="N401" s="217"/>
      <c r="O401" s="172">
        <f>ROUND(M401*$E401,0)</f>
        <v>0</v>
      </c>
      <c r="P401" s="218"/>
      <c r="Q401" s="242"/>
      <c r="S401" s="257"/>
      <c r="T401" s="190">
        <f t="shared" si="51"/>
        <v>0.25</v>
      </c>
      <c r="V401" s="260"/>
    </row>
    <row r="402" spans="1:22">
      <c r="A402" s="185" t="s">
        <v>242</v>
      </c>
      <c r="C402" s="186">
        <v>349882.25347929023</v>
      </c>
      <c r="E402" s="260">
        <f>ROUND(C402*$E$412/$C$412,0)</f>
        <v>355317</v>
      </c>
      <c r="G402" s="213">
        <v>5.75</v>
      </c>
      <c r="H402" s="217"/>
      <c r="I402" s="172">
        <f>ROUND($G402*C402,0)</f>
        <v>2011823</v>
      </c>
      <c r="K402" s="172">
        <f>ROUND($G402*E402,0)</f>
        <v>2043073</v>
      </c>
      <c r="M402" s="213">
        <f>ROUND(G402*(1+R$410),2)</f>
        <v>7.13</v>
      </c>
      <c r="N402" s="217"/>
      <c r="O402" s="172">
        <f>ROUND(M402*$E402,0)</f>
        <v>2533410</v>
      </c>
      <c r="P402" s="218"/>
      <c r="R402" s="275"/>
      <c r="S402" s="257"/>
      <c r="T402" s="190">
        <f t="shared" si="51"/>
        <v>0.24</v>
      </c>
    </row>
    <row r="403" spans="1:22">
      <c r="A403" s="185" t="s">
        <v>154</v>
      </c>
      <c r="C403" s="186">
        <v>3</v>
      </c>
      <c r="E403" s="260">
        <f>ROUND(C403*$E$412/$C$412,0)</f>
        <v>3</v>
      </c>
      <c r="G403" s="213">
        <v>-1.61</v>
      </c>
      <c r="H403" s="217"/>
      <c r="I403" s="172">
        <f>ROUND($G403*C403,0)</f>
        <v>-5</v>
      </c>
      <c r="K403" s="172">
        <f>ROUND($G403*E403,0)</f>
        <v>-5</v>
      </c>
      <c r="M403" s="213">
        <f>ROUND(G403*(1+R$410),2)</f>
        <v>-2</v>
      </c>
      <c r="N403" s="217"/>
      <c r="O403" s="172">
        <f>ROUND(M403*$E403,0)</f>
        <v>-6</v>
      </c>
      <c r="Q403" s="320"/>
      <c r="R403" s="275"/>
      <c r="T403" s="190">
        <f t="shared" si="51"/>
        <v>0.2422360248447204</v>
      </c>
      <c r="U403" s="172"/>
    </row>
    <row r="404" spans="1:22">
      <c r="A404" s="185" t="s">
        <v>243</v>
      </c>
      <c r="C404" s="186">
        <v>79713146</v>
      </c>
      <c r="E404" s="260">
        <f>ROUND(C404*$E$406/$C$406,0)</f>
        <v>78875890</v>
      </c>
      <c r="G404" s="251">
        <v>5.7252000000000001</v>
      </c>
      <c r="H404" s="193" t="s">
        <v>108</v>
      </c>
      <c r="I404" s="172">
        <f>ROUND($G404*C404/100,0)</f>
        <v>4563737</v>
      </c>
      <c r="K404" s="172">
        <f>ROUND($G404*E404/100,0)</f>
        <v>4515802</v>
      </c>
      <c r="M404" s="251">
        <f>ROUND(G404*(1+R$410),4)</f>
        <v>7.0952999999999999</v>
      </c>
      <c r="N404" s="193" t="s">
        <v>108</v>
      </c>
      <c r="O404" s="172">
        <f>ROUND(M404*$E404/100,0)</f>
        <v>5596481</v>
      </c>
      <c r="P404" s="218"/>
      <c r="Q404" s="171" t="s">
        <v>244</v>
      </c>
      <c r="T404" s="190">
        <f t="shared" si="51"/>
        <v>0.23931041710333267</v>
      </c>
      <c r="U404" s="172"/>
    </row>
    <row r="405" spans="1:22">
      <c r="A405" s="185" t="s">
        <v>245</v>
      </c>
      <c r="C405" s="227">
        <v>49875711</v>
      </c>
      <c r="E405" s="282">
        <f>E406-E404</f>
        <v>49351848</v>
      </c>
      <c r="G405" s="251">
        <v>4.2317999999999998</v>
      </c>
      <c r="H405" s="193" t="s">
        <v>108</v>
      </c>
      <c r="I405" s="228">
        <f>ROUND($G405*C405/100,0)</f>
        <v>2110640</v>
      </c>
      <c r="K405" s="228">
        <f>ROUND($G405*E405/100,0)</f>
        <v>2088472</v>
      </c>
      <c r="M405" s="251">
        <f>ROUND(G405*(1+R$410),4)</f>
        <v>5.2445000000000004</v>
      </c>
      <c r="N405" s="193" t="s">
        <v>108</v>
      </c>
      <c r="O405" s="228">
        <f>ROUND(M405*$E405/100,0)</f>
        <v>2588258</v>
      </c>
      <c r="P405" s="172"/>
      <c r="Q405" s="198" t="s">
        <v>111</v>
      </c>
      <c r="R405" s="199">
        <f>O412+O430</f>
        <v>14416370</v>
      </c>
      <c r="T405" s="190">
        <f t="shared" si="51"/>
        <v>0.239307150621485</v>
      </c>
      <c r="V405" s="260"/>
    </row>
    <row r="406" spans="1:22">
      <c r="A406" s="185" t="s">
        <v>246</v>
      </c>
      <c r="C406" s="321">
        <f>C405+C404</f>
        <v>129588857</v>
      </c>
      <c r="E406" s="322">
        <f>ROUND(E412*C406/(C406+C410),0)</f>
        <v>128227738</v>
      </c>
      <c r="G406" s="323"/>
      <c r="I406" s="228">
        <f>SUM(I399:I405)</f>
        <v>8760828</v>
      </c>
      <c r="K406" s="228">
        <f>SUM(K399:K405)</f>
        <v>8725740</v>
      </c>
      <c r="M406" s="323"/>
      <c r="O406" s="228">
        <f>SUM(O399:O405)</f>
        <v>10814834</v>
      </c>
      <c r="P406" s="218"/>
      <c r="Q406" s="214" t="s">
        <v>113</v>
      </c>
      <c r="R406" s="203">
        <f>RateSpread!O30*1000</f>
        <v>14416372.037200002</v>
      </c>
      <c r="V406" s="260"/>
    </row>
    <row r="407" spans="1:22">
      <c r="A407" s="185" t="s">
        <v>247</v>
      </c>
      <c r="C407" s="163"/>
      <c r="E407" s="260"/>
      <c r="M407" s="161"/>
      <c r="P407" s="218"/>
      <c r="Q407" s="207" t="s">
        <v>115</v>
      </c>
      <c r="R407" s="324">
        <f>R406-R405</f>
        <v>2.0372000019997358</v>
      </c>
    </row>
    <row r="408" spans="1:22">
      <c r="A408" s="185" t="s">
        <v>248</v>
      </c>
      <c r="C408" s="191">
        <v>15566.893333333212</v>
      </c>
      <c r="E408" s="261">
        <f>ROUND(C408*(E$399+E$400)/(C$399+C$400),0)</f>
        <v>16353</v>
      </c>
      <c r="G408" s="325">
        <v>12</v>
      </c>
      <c r="H408" s="212"/>
      <c r="I408" s="218">
        <f>ROUND($G408*C408,0)</f>
        <v>186803</v>
      </c>
      <c r="K408" s="218">
        <f>ROUND($G408*E408,0)</f>
        <v>196236</v>
      </c>
      <c r="M408" s="325">
        <f>M401</f>
        <v>15</v>
      </c>
      <c r="N408" s="212"/>
      <c r="O408" s="218">
        <f>ROUND(M408*$E408,0)</f>
        <v>245295</v>
      </c>
      <c r="P408" s="218"/>
      <c r="Q408" s="230" t="s">
        <v>119</v>
      </c>
      <c r="R408" s="284">
        <f>R406/(K412+K430)-1</f>
        <v>0.23946092383023099</v>
      </c>
      <c r="T408" s="190">
        <f>M408/G408-1</f>
        <v>0.25</v>
      </c>
    </row>
    <row r="409" spans="1:22">
      <c r="A409" s="185" t="s">
        <v>249</v>
      </c>
      <c r="C409" s="227">
        <v>44223766</v>
      </c>
      <c r="E409" s="321">
        <f>E410</f>
        <v>43759268</v>
      </c>
      <c r="G409" s="269">
        <v>3.9216000000000002</v>
      </c>
      <c r="H409" s="193" t="s">
        <v>108</v>
      </c>
      <c r="I409" s="326">
        <f>ROUND($G409*C409/100,0)</f>
        <v>1734279</v>
      </c>
      <c r="K409" s="326">
        <f>ROUND($G409*E409/100,0)</f>
        <v>1716063</v>
      </c>
      <c r="M409" s="251">
        <f>ROUND(G409*(1+R$410),4)</f>
        <v>4.8601000000000001</v>
      </c>
      <c r="N409" s="193" t="s">
        <v>108</v>
      </c>
      <c r="O409" s="228">
        <f>ROUND(M409*$E409/100,0)</f>
        <v>2126744</v>
      </c>
      <c r="P409" s="218"/>
      <c r="Q409" s="210" t="s">
        <v>117</v>
      </c>
      <c r="R409" s="280">
        <f>R405/(K412+K430)-1</f>
        <v>0.23946074868007616</v>
      </c>
      <c r="T409" s="190">
        <f>M409/G409-1</f>
        <v>0.23931558547531617</v>
      </c>
    </row>
    <row r="410" spans="1:22">
      <c r="A410" s="185" t="s">
        <v>250</v>
      </c>
      <c r="C410" s="321">
        <f>C409</f>
        <v>44223766</v>
      </c>
      <c r="E410" s="321">
        <f>E412-E406</f>
        <v>43759268</v>
      </c>
      <c r="G410" s="323"/>
      <c r="I410" s="228">
        <f>I408+I409</f>
        <v>1921082</v>
      </c>
      <c r="K410" s="228">
        <f>K408+K409</f>
        <v>1912299</v>
      </c>
      <c r="M410" s="323"/>
      <c r="O410" s="228">
        <f>O408+O409</f>
        <v>2372039</v>
      </c>
      <c r="P410" s="218"/>
      <c r="Q410" s="214" t="s">
        <v>168</v>
      </c>
      <c r="R410" s="281">
        <f>(R406-O399-O400-O401-O408-O417-O418-O419-O426)/(K402+K403+K404+K405+K409+K420+K421+K422+K423+K427)-1</f>
        <v>0.23930657820636814</v>
      </c>
    </row>
    <row r="411" spans="1:22">
      <c r="A411" s="185" t="s">
        <v>132</v>
      </c>
      <c r="C411" s="227">
        <v>-4456102</v>
      </c>
      <c r="E411" s="227">
        <v>0</v>
      </c>
      <c r="I411" s="229">
        <v>-94498</v>
      </c>
      <c r="K411" s="229">
        <v>0</v>
      </c>
      <c r="M411" s="161"/>
      <c r="O411" s="228">
        <v>0</v>
      </c>
      <c r="Q411" s="230" t="s">
        <v>138</v>
      </c>
      <c r="R411" s="284">
        <f>(O412+O413)/(K412+K413)-1</f>
        <v>0.18669448325338434</v>
      </c>
    </row>
    <row r="412" spans="1:22" ht="16.5" thickBot="1">
      <c r="A412" s="185" t="s">
        <v>251</v>
      </c>
      <c r="C412" s="265">
        <f>C409+C406+C411</f>
        <v>169356521</v>
      </c>
      <c r="E412" s="265">
        <v>171987006</v>
      </c>
      <c r="G412" s="254"/>
      <c r="I412" s="255">
        <f>I410+I406+I411</f>
        <v>10587412</v>
      </c>
      <c r="K412" s="255">
        <f>K410+K406+K411</f>
        <v>10638039</v>
      </c>
      <c r="M412" s="254"/>
      <c r="O412" s="255">
        <f>O410+O406+O411</f>
        <v>13186873</v>
      </c>
    </row>
    <row r="413" spans="1:22" ht="16.5" thickTop="1">
      <c r="A413" s="185" t="s">
        <v>135</v>
      </c>
      <c r="C413" s="163"/>
      <c r="E413" s="163"/>
      <c r="G413" s="238"/>
      <c r="H413" s="239"/>
      <c r="I413" s="228">
        <f>MPA!K206</f>
        <v>474233.94480000006</v>
      </c>
      <c r="K413" s="228">
        <f>I413</f>
        <v>474233.94480000006</v>
      </c>
      <c r="M413" s="180"/>
      <c r="N413" s="239"/>
      <c r="O413" s="228">
        <v>0</v>
      </c>
      <c r="P413" s="172"/>
    </row>
    <row r="414" spans="1:22">
      <c r="A414" s="185" t="s">
        <v>136</v>
      </c>
      <c r="C414" s="163"/>
      <c r="E414" s="163"/>
      <c r="G414" s="238">
        <f>M414</f>
        <v>3.7900000000000003E-2</v>
      </c>
      <c r="H414" s="239"/>
      <c r="I414" s="228">
        <f>ROUND(SUM(I402:I405,I409,I413)*$G414,0)</f>
        <v>412909</v>
      </c>
      <c r="K414" s="228">
        <f>ROUND(SUM(K402:K405,K409,K413)*$G414,0)</f>
        <v>410747</v>
      </c>
      <c r="M414" s="180">
        <v>3.7900000000000003E-2</v>
      </c>
      <c r="N414" s="239"/>
      <c r="O414" s="228">
        <f>ROUND(SUM(O402:O405,O409,O413)*M414,0)</f>
        <v>486821</v>
      </c>
      <c r="P414" s="172"/>
      <c r="S414" s="257"/>
    </row>
    <row r="415" spans="1:22">
      <c r="C415" s="163"/>
      <c r="E415" s="163"/>
      <c r="P415" s="172"/>
      <c r="S415" s="257"/>
    </row>
    <row r="416" spans="1:22">
      <c r="A416" s="181" t="s">
        <v>252</v>
      </c>
      <c r="C416" s="163"/>
      <c r="E416" s="163"/>
      <c r="P416" s="172"/>
      <c r="T416" s="257"/>
      <c r="U416" s="172"/>
    </row>
    <row r="417" spans="1:22">
      <c r="A417" s="185" t="s">
        <v>239</v>
      </c>
      <c r="C417" s="186">
        <v>2</v>
      </c>
      <c r="E417" s="260">
        <v>2</v>
      </c>
      <c r="G417" s="213">
        <v>98</v>
      </c>
      <c r="H417" s="272"/>
      <c r="I417" s="172">
        <f>ROUND($G417*C417,0)</f>
        <v>196</v>
      </c>
      <c r="K417" s="172">
        <f>ROUND($G417*E417,0)</f>
        <v>196</v>
      </c>
      <c r="M417" s="273">
        <f>M399</f>
        <v>121</v>
      </c>
      <c r="N417" s="272"/>
      <c r="O417" s="172">
        <f>ROUND(M417*$E417,0)</f>
        <v>242</v>
      </c>
      <c r="P417" s="172"/>
      <c r="T417" s="190">
        <f t="shared" ref="T417:T423" si="52">M417/G417-1</f>
        <v>0.23469387755102034</v>
      </c>
      <c r="U417" s="172"/>
    </row>
    <row r="418" spans="1:22">
      <c r="A418" s="185" t="s">
        <v>240</v>
      </c>
      <c r="C418" s="186">
        <v>240.18586206896541</v>
      </c>
      <c r="E418" s="261">
        <v>252.41666666666652</v>
      </c>
      <c r="G418" s="213">
        <v>30</v>
      </c>
      <c r="H418" s="272"/>
      <c r="I418" s="172">
        <f>ROUND($G418*C418,0)</f>
        <v>7206</v>
      </c>
      <c r="K418" s="172">
        <f>ROUND($G418*E418,0)</f>
        <v>7573</v>
      </c>
      <c r="M418" s="273">
        <f>M400</f>
        <v>37</v>
      </c>
      <c r="N418" s="272"/>
      <c r="O418" s="172">
        <f>ROUND(M418*$E418,0)</f>
        <v>9339</v>
      </c>
      <c r="P418" s="172"/>
      <c r="T418" s="190">
        <f t="shared" si="52"/>
        <v>0.23333333333333339</v>
      </c>
      <c r="V418" s="260"/>
    </row>
    <row r="419" spans="1:22">
      <c r="A419" s="185" t="s">
        <v>253</v>
      </c>
      <c r="C419" s="186">
        <v>0</v>
      </c>
      <c r="E419" s="261">
        <f>ROUND(C419*(E417+E418)/(C417+C418),0)</f>
        <v>0</v>
      </c>
      <c r="G419" s="213">
        <v>12</v>
      </c>
      <c r="H419" s="272"/>
      <c r="I419" s="172">
        <f>ROUND($G419*C419,0)</f>
        <v>0</v>
      </c>
      <c r="K419" s="172">
        <f>ROUND($G419*E419,0)</f>
        <v>0</v>
      </c>
      <c r="M419" s="273">
        <f>M401</f>
        <v>15</v>
      </c>
      <c r="N419" s="272"/>
      <c r="O419" s="172">
        <f>ROUND(M419*$E419,0)</f>
        <v>0</v>
      </c>
      <c r="P419" s="218"/>
      <c r="T419" s="190">
        <f t="shared" si="52"/>
        <v>0.25</v>
      </c>
      <c r="V419" s="260"/>
    </row>
    <row r="420" spans="1:22">
      <c r="A420" s="185" t="s">
        <v>242</v>
      </c>
      <c r="C420" s="186">
        <v>41136.479288904688</v>
      </c>
      <c r="E420" s="261">
        <f>ROUND(C420*$E$430/$C$430,0)</f>
        <v>41775</v>
      </c>
      <c r="G420" s="213">
        <v>5.75</v>
      </c>
      <c r="H420" s="272"/>
      <c r="I420" s="172">
        <f>ROUND($G420*C420,0)</f>
        <v>236535</v>
      </c>
      <c r="K420" s="172">
        <f>ROUND($G420*E420,0)</f>
        <v>240206</v>
      </c>
      <c r="M420" s="273">
        <f>M402</f>
        <v>7.13</v>
      </c>
      <c r="N420" s="272"/>
      <c r="O420" s="172">
        <f>ROUND(M420*$E420,0)</f>
        <v>297856</v>
      </c>
      <c r="P420" s="218"/>
      <c r="S420" s="224"/>
      <c r="T420" s="190">
        <f t="shared" si="52"/>
        <v>0.24</v>
      </c>
      <c r="U420" s="172"/>
    </row>
    <row r="421" spans="1:22">
      <c r="A421" s="185" t="s">
        <v>254</v>
      </c>
      <c r="C421" s="186">
        <v>970.09269537292198</v>
      </c>
      <c r="E421" s="261">
        <f>ROUND(C421*$E$430/$C$430,0)</f>
        <v>985</v>
      </c>
      <c r="G421" s="213">
        <v>-1.61</v>
      </c>
      <c r="H421" s="272"/>
      <c r="I421" s="172">
        <f>ROUND($G421*C421,0)</f>
        <v>-1562</v>
      </c>
      <c r="K421" s="172">
        <f>ROUND($G421*E421,0)</f>
        <v>-1586</v>
      </c>
      <c r="M421" s="273">
        <f>M403</f>
        <v>-2</v>
      </c>
      <c r="N421" s="272"/>
      <c r="O421" s="172">
        <f>ROUND(M421*$E421,0)</f>
        <v>-1970</v>
      </c>
      <c r="R421" s="275"/>
      <c r="T421" s="190">
        <f t="shared" si="52"/>
        <v>0.2422360248447204</v>
      </c>
    </row>
    <row r="422" spans="1:22">
      <c r="A422" s="185" t="s">
        <v>236</v>
      </c>
      <c r="C422" s="186">
        <v>2422711</v>
      </c>
      <c r="E422" s="261">
        <f>ROUND(C422*$E$424/$C$424,0)</f>
        <v>2397264</v>
      </c>
      <c r="G422" s="251">
        <v>11.311</v>
      </c>
      <c r="H422" s="193" t="s">
        <v>108</v>
      </c>
      <c r="I422" s="172">
        <f>ROUND($G422*C422/100,0)</f>
        <v>274033</v>
      </c>
      <c r="K422" s="172">
        <f>ROUND($G422*E422/100,0)</f>
        <v>271155</v>
      </c>
      <c r="M422" s="251">
        <f>ROUND(G422*(1+R$410),4)</f>
        <v>14.017799999999999</v>
      </c>
      <c r="N422" s="193" t="s">
        <v>108</v>
      </c>
      <c r="O422" s="172">
        <f>ROUND(M422*$E422/100,0)</f>
        <v>336044</v>
      </c>
      <c r="P422" s="218"/>
      <c r="T422" s="190">
        <f t="shared" si="52"/>
        <v>0.23930686941914936</v>
      </c>
      <c r="U422" s="172"/>
      <c r="V422" s="260"/>
    </row>
    <row r="423" spans="1:22">
      <c r="A423" s="185" t="s">
        <v>223</v>
      </c>
      <c r="C423" s="227">
        <v>8752979</v>
      </c>
      <c r="E423" s="321">
        <f>E424-E422</f>
        <v>8661043</v>
      </c>
      <c r="G423" s="269">
        <v>3.2631000000000001</v>
      </c>
      <c r="H423" s="193" t="s">
        <v>108</v>
      </c>
      <c r="I423" s="326">
        <f>ROUND($G423*C423/100,0)</f>
        <v>285618</v>
      </c>
      <c r="K423" s="326">
        <f>ROUND($G423*E423/100,0)</f>
        <v>282618</v>
      </c>
      <c r="M423" s="311">
        <f>ROUND((R406-O412-SUM(O417:O422,O428))/E423*100,4)</f>
        <v>4.0252999999999997</v>
      </c>
      <c r="N423" s="193" t="s">
        <v>108</v>
      </c>
      <c r="O423" s="228">
        <f>ROUND(M423*$E423/100,0)</f>
        <v>348633</v>
      </c>
      <c r="P423" s="172"/>
      <c r="T423" s="190">
        <f t="shared" si="52"/>
        <v>0.23358156354386916</v>
      </c>
      <c r="U423" s="172"/>
    </row>
    <row r="424" spans="1:22">
      <c r="A424" s="185" t="s">
        <v>246</v>
      </c>
      <c r="C424" s="321">
        <f>C423+C422</f>
        <v>11175690</v>
      </c>
      <c r="E424" s="321">
        <f>ROUND(E430*C424/(C424+C428),0)</f>
        <v>11058307</v>
      </c>
      <c r="G424" s="323"/>
      <c r="I424" s="228">
        <f>SUM(I417:I423)</f>
        <v>802026</v>
      </c>
      <c r="K424" s="228">
        <f>SUM(K417:K423)</f>
        <v>800162</v>
      </c>
      <c r="M424" s="327"/>
      <c r="O424" s="228">
        <f>SUM(O417:O423)</f>
        <v>990144</v>
      </c>
      <c r="P424" s="218"/>
      <c r="S424"/>
      <c r="U424" s="275"/>
    </row>
    <row r="425" spans="1:22">
      <c r="A425" s="185" t="s">
        <v>247</v>
      </c>
      <c r="C425" s="163"/>
      <c r="E425" s="163"/>
      <c r="P425" s="218"/>
      <c r="Q425" s="183"/>
      <c r="R425" s="218"/>
    </row>
    <row r="426" spans="1:22">
      <c r="A426" s="185" t="s">
        <v>248</v>
      </c>
      <c r="C426" s="191">
        <v>1573.9438636363625</v>
      </c>
      <c r="E426" s="328">
        <f>ROUND(C426*(E417+E418)/(C417+C418),0)</f>
        <v>1653</v>
      </c>
      <c r="G426" s="325">
        <v>12</v>
      </c>
      <c r="H426" s="272"/>
      <c r="I426" s="218">
        <f>ROUND($G426*C426,0)</f>
        <v>18887</v>
      </c>
      <c r="K426" s="218">
        <f>ROUND($G426*E426,0)</f>
        <v>19836</v>
      </c>
      <c r="M426" s="272">
        <f>M408</f>
        <v>15</v>
      </c>
      <c r="N426" s="272"/>
      <c r="O426" s="218">
        <f>ROUND(M426*$E426,0)</f>
        <v>24795</v>
      </c>
      <c r="P426" s="218"/>
      <c r="Q426" s="223"/>
      <c r="R426" s="204"/>
      <c r="T426" s="190">
        <f>M426/G426-1</f>
        <v>0.25</v>
      </c>
      <c r="U426"/>
    </row>
    <row r="427" spans="1:22">
      <c r="A427" s="185" t="s">
        <v>249</v>
      </c>
      <c r="C427" s="227">
        <v>4461548</v>
      </c>
      <c r="E427" s="321">
        <f>E428</f>
        <v>4414687.0491753817</v>
      </c>
      <c r="G427" s="269">
        <v>3.9216000000000002</v>
      </c>
      <c r="H427" s="193" t="s">
        <v>108</v>
      </c>
      <c r="I427" s="326">
        <f>ROUND($G427*C427/100,0)</f>
        <v>174964</v>
      </c>
      <c r="K427" s="326">
        <f>ROUND($G427*E427/100,0)</f>
        <v>173126</v>
      </c>
      <c r="M427" s="269">
        <f>M409</f>
        <v>4.8601000000000001</v>
      </c>
      <c r="N427" s="193" t="s">
        <v>108</v>
      </c>
      <c r="O427" s="228">
        <f>ROUND(M427*$E427/100,0)</f>
        <v>214558</v>
      </c>
      <c r="P427" s="218"/>
      <c r="Q427" s="184"/>
      <c r="R427" s="218"/>
      <c r="T427" s="190">
        <f>M427/G427-1</f>
        <v>0.23931558547531617</v>
      </c>
    </row>
    <row r="428" spans="1:22">
      <c r="A428" s="185" t="s">
        <v>250</v>
      </c>
      <c r="C428" s="321">
        <f>C427</f>
        <v>4461548</v>
      </c>
      <c r="E428" s="321">
        <f>E430-E424</f>
        <v>4414687.0491753817</v>
      </c>
      <c r="G428" s="323"/>
      <c r="I428" s="228">
        <f>I426+I427</f>
        <v>193851</v>
      </c>
      <c r="K428" s="228">
        <f>K426+K427</f>
        <v>192962</v>
      </c>
      <c r="M428" s="327"/>
      <c r="O428" s="228">
        <f>O426+O427</f>
        <v>239353</v>
      </c>
      <c r="P428" s="218"/>
      <c r="Q428" s="223"/>
      <c r="R428" s="204"/>
      <c r="S428" s="253"/>
      <c r="V428"/>
    </row>
    <row r="429" spans="1:22">
      <c r="A429" s="185" t="s">
        <v>132</v>
      </c>
      <c r="C429" s="282">
        <v>-400898</v>
      </c>
      <c r="E429" s="321">
        <v>0</v>
      </c>
      <c r="I429" s="229">
        <v>-8502</v>
      </c>
      <c r="K429" s="229">
        <v>0</v>
      </c>
      <c r="O429" s="229">
        <v>0</v>
      </c>
      <c r="Q429" s="171" t="s">
        <v>138</v>
      </c>
      <c r="R429" s="264">
        <f>(O430+O431)/(K430+K431)-1</f>
        <v>0.17586565865859471</v>
      </c>
      <c r="S429" s="253"/>
    </row>
    <row r="430" spans="1:22" ht="16.5" thickBot="1">
      <c r="A430" s="185" t="s">
        <v>255</v>
      </c>
      <c r="C430" s="265">
        <f>C427+C424+C429</f>
        <v>15236340</v>
      </c>
      <c r="E430" s="265">
        <v>15472994.049175382</v>
      </c>
      <c r="G430" s="254"/>
      <c r="I430" s="255">
        <f>I428+I424+I429</f>
        <v>987375</v>
      </c>
      <c r="K430" s="255">
        <f>K428+K424+K429</f>
        <v>993124</v>
      </c>
      <c r="M430" s="256"/>
      <c r="O430" s="255">
        <f>O428+O424+O429</f>
        <v>1229497</v>
      </c>
      <c r="S430" s="253"/>
      <c r="T430" s="253"/>
    </row>
    <row r="431" spans="1:22" ht="16.5" thickTop="1">
      <c r="A431" s="185" t="s">
        <v>135</v>
      </c>
      <c r="C431" s="163"/>
      <c r="E431" s="163"/>
      <c r="G431" s="238"/>
      <c r="H431" s="239"/>
      <c r="I431" s="228">
        <f>MPA!K222</f>
        <v>52486.092400000009</v>
      </c>
      <c r="K431" s="228">
        <f>I431</f>
        <v>52486.092400000009</v>
      </c>
      <c r="M431" s="180"/>
      <c r="N431" s="239"/>
      <c r="O431" s="228">
        <v>0</v>
      </c>
      <c r="P431" s="172"/>
      <c r="S431" s="253"/>
      <c r="T431" s="253"/>
    </row>
    <row r="432" spans="1:22">
      <c r="A432" s="185" t="s">
        <v>136</v>
      </c>
      <c r="C432" s="163"/>
      <c r="E432" s="163"/>
      <c r="G432" s="238">
        <f>M432</f>
        <v>3.7900000000000003E-2</v>
      </c>
      <c r="H432" s="258"/>
      <c r="I432" s="228">
        <f>ROUND(SUM(I420:I423,I427,I431)*$G432,0)</f>
        <v>38737</v>
      </c>
      <c r="K432" s="228">
        <f>ROUND(SUM(K420:K423,K427,K431)*$G432,0)</f>
        <v>38582</v>
      </c>
      <c r="M432" s="259">
        <f>M414</f>
        <v>3.7900000000000003E-2</v>
      </c>
      <c r="N432" s="258"/>
      <c r="O432" s="228">
        <f>ROUND(SUM(O420:O423,O427,O431)*M432,0)</f>
        <v>45295</v>
      </c>
      <c r="P432" s="172"/>
      <c r="S432" s="253"/>
      <c r="T432" s="253"/>
    </row>
    <row r="433" spans="1:21">
      <c r="C433" s="163" t="s">
        <v>256</v>
      </c>
      <c r="E433" s="163"/>
      <c r="P433" s="172"/>
      <c r="S433" s="253"/>
      <c r="T433" s="253"/>
    </row>
    <row r="434" spans="1:21">
      <c r="A434" s="181" t="s">
        <v>257</v>
      </c>
      <c r="B434" s="161"/>
      <c r="C434" s="278"/>
      <c r="D434" s="245"/>
      <c r="E434" s="278"/>
      <c r="F434" s="245"/>
      <c r="H434" s="245"/>
      <c r="I434" s="161"/>
      <c r="J434" s="245"/>
      <c r="K434" s="161"/>
      <c r="L434" s="245"/>
      <c r="M434" s="161"/>
      <c r="N434" s="245"/>
      <c r="O434" s="161"/>
      <c r="P434" s="172"/>
      <c r="Q434" s="329"/>
      <c r="R434" s="329"/>
      <c r="S434" s="329"/>
      <c r="T434" s="253"/>
    </row>
    <row r="435" spans="1:21">
      <c r="A435" s="295" t="s">
        <v>258</v>
      </c>
      <c r="B435" s="161"/>
      <c r="C435" s="221"/>
      <c r="D435" s="245"/>
      <c r="E435" s="221"/>
      <c r="F435" s="245"/>
      <c r="G435" s="285"/>
      <c r="H435" s="285"/>
      <c r="I435" s="330"/>
      <c r="J435" s="245"/>
      <c r="K435" s="330"/>
      <c r="L435" s="245"/>
      <c r="M435" s="285"/>
      <c r="N435" s="285"/>
      <c r="O435" s="330"/>
      <c r="P435" s="172"/>
      <c r="Q435" s="198" t="s">
        <v>111</v>
      </c>
      <c r="R435" s="199">
        <f>O484</f>
        <v>6594387</v>
      </c>
      <c r="S435" s="329"/>
      <c r="T435" s="329"/>
      <c r="U435" s="329"/>
    </row>
    <row r="436" spans="1:21">
      <c r="A436" s="185" t="s">
        <v>259</v>
      </c>
      <c r="B436" s="161"/>
      <c r="C436" s="278">
        <v>67360.845488277293</v>
      </c>
      <c r="D436" s="245"/>
      <c r="E436" s="278">
        <f t="shared" ref="E436:E450" si="53">ROUND(C436*$E$481/$C$481,0)</f>
        <v>68712</v>
      </c>
      <c r="F436" s="245"/>
      <c r="G436" s="187">
        <v>11.69</v>
      </c>
      <c r="H436" s="285"/>
      <c r="I436" s="331">
        <f t="shared" ref="I436:I450" si="54">ROUND(C436*$G436,0)</f>
        <v>787448</v>
      </c>
      <c r="J436" s="245"/>
      <c r="K436" s="331">
        <f t="shared" ref="K436:K450" si="55">ROUND(E436*$G436,0)</f>
        <v>803243</v>
      </c>
      <c r="L436" s="245"/>
      <c r="M436" s="187">
        <f>ROUND(G436*(1+$R$439),2)</f>
        <v>11.8</v>
      </c>
      <c r="N436" s="285"/>
      <c r="O436" s="331">
        <f t="shared" ref="O436:O450" si="56">ROUND(E436*M436,0)</f>
        <v>810802</v>
      </c>
      <c r="P436" s="172"/>
      <c r="Q436" s="202" t="s">
        <v>113</v>
      </c>
      <c r="R436" s="203">
        <f>RateSpread!O43*1000</f>
        <v>6595607.1942999996</v>
      </c>
      <c r="S436" s="332"/>
      <c r="T436" s="190">
        <f t="shared" ref="T436:T462" si="57">M436/G436-1</f>
        <v>9.4097519247220429E-3</v>
      </c>
      <c r="U436" s="329"/>
    </row>
    <row r="437" spans="1:21" s="329" customFormat="1">
      <c r="A437" s="185" t="s">
        <v>260</v>
      </c>
      <c r="B437" s="161"/>
      <c r="C437" s="278">
        <v>264373.06217159901</v>
      </c>
      <c r="D437" s="245"/>
      <c r="E437" s="278">
        <f t="shared" si="53"/>
        <v>269677</v>
      </c>
      <c r="F437" s="245"/>
      <c r="G437" s="187">
        <v>12.66</v>
      </c>
      <c r="H437" s="285"/>
      <c r="I437" s="331">
        <f t="shared" si="54"/>
        <v>3346963</v>
      </c>
      <c r="J437" s="245"/>
      <c r="K437" s="331">
        <f t="shared" si="55"/>
        <v>3414111</v>
      </c>
      <c r="L437" s="245"/>
      <c r="M437" s="187">
        <f t="shared" ref="M437:M450" si="58">ROUND(G437*(1+$R$439),2)</f>
        <v>12.78</v>
      </c>
      <c r="N437" s="285"/>
      <c r="O437" s="331">
        <f t="shared" si="56"/>
        <v>3446472</v>
      </c>
      <c r="Q437" s="207" t="s">
        <v>115</v>
      </c>
      <c r="R437" s="208">
        <f>R436-R435</f>
        <v>1220.1942999996245</v>
      </c>
      <c r="S437" s="332"/>
      <c r="T437" s="190">
        <f t="shared" si="57"/>
        <v>9.4786729857818663E-3</v>
      </c>
    </row>
    <row r="438" spans="1:21" s="329" customFormat="1">
      <c r="A438" s="185" t="s">
        <v>261</v>
      </c>
      <c r="B438" s="161"/>
      <c r="C438" s="278">
        <v>156.00055743690501</v>
      </c>
      <c r="D438" s="245"/>
      <c r="E438" s="278">
        <f t="shared" si="53"/>
        <v>159</v>
      </c>
      <c r="F438" s="245"/>
      <c r="G438" s="187">
        <v>11.39</v>
      </c>
      <c r="H438" s="285"/>
      <c r="I438" s="331">
        <f t="shared" si="54"/>
        <v>1777</v>
      </c>
      <c r="J438" s="245"/>
      <c r="K438" s="331">
        <f t="shared" si="55"/>
        <v>1811</v>
      </c>
      <c r="L438" s="245"/>
      <c r="M438" s="187">
        <f t="shared" si="58"/>
        <v>11.5</v>
      </c>
      <c r="N438" s="285"/>
      <c r="O438" s="331">
        <f t="shared" si="56"/>
        <v>1829</v>
      </c>
      <c r="Q438" s="210" t="s">
        <v>117</v>
      </c>
      <c r="R438" s="280">
        <f>R435/K484-1</f>
        <v>9.5196061726801062E-3</v>
      </c>
      <c r="S438" s="332"/>
      <c r="T438" s="190">
        <f t="shared" si="57"/>
        <v>9.6575943810359721E-3</v>
      </c>
    </row>
    <row r="439" spans="1:21" s="329" customFormat="1">
      <c r="A439" s="185" t="s">
        <v>262</v>
      </c>
      <c r="B439" s="161"/>
      <c r="C439" s="278">
        <v>330.66673898893498</v>
      </c>
      <c r="D439" s="245"/>
      <c r="E439" s="278">
        <f t="shared" si="53"/>
        <v>337</v>
      </c>
      <c r="F439" s="245"/>
      <c r="G439" s="187">
        <v>46.09</v>
      </c>
      <c r="H439" s="285"/>
      <c r="I439" s="331">
        <f t="shared" si="54"/>
        <v>15240</v>
      </c>
      <c r="J439" s="245"/>
      <c r="K439" s="331">
        <f t="shared" si="55"/>
        <v>15532</v>
      </c>
      <c r="L439" s="245"/>
      <c r="M439" s="187">
        <f t="shared" si="58"/>
        <v>46.54</v>
      </c>
      <c r="N439" s="285"/>
      <c r="O439" s="331">
        <f t="shared" si="56"/>
        <v>15684</v>
      </c>
      <c r="Q439" s="230" t="s">
        <v>119</v>
      </c>
      <c r="R439" s="284">
        <f>R436/K484-1</f>
        <v>9.7064029240976346E-3</v>
      </c>
      <c r="S439" s="332"/>
      <c r="T439" s="190">
        <f t="shared" si="57"/>
        <v>9.7635061835539272E-3</v>
      </c>
    </row>
    <row r="440" spans="1:21" s="329" customFormat="1">
      <c r="A440" s="185" t="s">
        <v>263</v>
      </c>
      <c r="B440" s="161"/>
      <c r="C440" s="278">
        <v>178.81847133758001</v>
      </c>
      <c r="D440" s="245"/>
      <c r="E440" s="278">
        <f t="shared" si="53"/>
        <v>182</v>
      </c>
      <c r="F440" s="245"/>
      <c r="G440" s="187">
        <v>37.68</v>
      </c>
      <c r="H440" s="285"/>
      <c r="I440" s="331">
        <f t="shared" si="54"/>
        <v>6738</v>
      </c>
      <c r="J440" s="245"/>
      <c r="K440" s="331">
        <f t="shared" si="55"/>
        <v>6858</v>
      </c>
      <c r="L440" s="245"/>
      <c r="M440" s="187">
        <f t="shared" si="58"/>
        <v>38.049999999999997</v>
      </c>
      <c r="N440" s="285"/>
      <c r="O440" s="331">
        <f t="shared" si="56"/>
        <v>6925</v>
      </c>
      <c r="Q440" s="301" t="s">
        <v>138</v>
      </c>
      <c r="R440" s="302">
        <f>(O484+O485)/(K484+K485)-1</f>
        <v>-1.8500105662055955E-4</v>
      </c>
      <c r="S440" s="332"/>
      <c r="T440" s="190">
        <f t="shared" si="57"/>
        <v>9.8195329087047423E-3</v>
      </c>
    </row>
    <row r="441" spans="1:21" s="329" customFormat="1">
      <c r="A441" s="185" t="s">
        <v>264</v>
      </c>
      <c r="B441" s="161"/>
      <c r="C441" s="278">
        <v>27270.891402256701</v>
      </c>
      <c r="D441" s="245"/>
      <c r="E441" s="278">
        <f t="shared" si="53"/>
        <v>27818</v>
      </c>
      <c r="F441" s="245"/>
      <c r="G441" s="187">
        <v>16.78</v>
      </c>
      <c r="H441" s="285"/>
      <c r="I441" s="331">
        <f t="shared" si="54"/>
        <v>457606</v>
      </c>
      <c r="J441" s="245"/>
      <c r="K441" s="331">
        <f t="shared" si="55"/>
        <v>466786</v>
      </c>
      <c r="L441" s="245"/>
      <c r="M441" s="187">
        <f t="shared" si="58"/>
        <v>16.940000000000001</v>
      </c>
      <c r="N441" s="285"/>
      <c r="O441" s="331">
        <f t="shared" si="56"/>
        <v>471237</v>
      </c>
      <c r="Q441" s="332"/>
      <c r="R441" s="332"/>
      <c r="S441" s="332"/>
      <c r="T441" s="190">
        <f t="shared" si="57"/>
        <v>9.5351609058402786E-3</v>
      </c>
    </row>
    <row r="442" spans="1:21" s="329" customFormat="1">
      <c r="A442" s="185" t="s">
        <v>265</v>
      </c>
      <c r="B442" s="161"/>
      <c r="C442" s="278">
        <v>95.999718111345999</v>
      </c>
      <c r="D442" s="245"/>
      <c r="E442" s="278">
        <f t="shared" si="53"/>
        <v>98</v>
      </c>
      <c r="F442" s="245"/>
      <c r="G442" s="187">
        <v>15.1</v>
      </c>
      <c r="H442" s="285"/>
      <c r="I442" s="331">
        <f t="shared" si="54"/>
        <v>1450</v>
      </c>
      <c r="J442" s="245"/>
      <c r="K442" s="331">
        <f t="shared" si="55"/>
        <v>1480</v>
      </c>
      <c r="L442" s="245"/>
      <c r="M442" s="187">
        <f t="shared" si="58"/>
        <v>15.25</v>
      </c>
      <c r="N442" s="285"/>
      <c r="O442" s="331">
        <f t="shared" si="56"/>
        <v>1495</v>
      </c>
      <c r="Q442" s="332"/>
      <c r="R442" s="332"/>
      <c r="S442" s="332"/>
      <c r="T442" s="190">
        <f t="shared" si="57"/>
        <v>9.9337748344370258E-3</v>
      </c>
    </row>
    <row r="443" spans="1:21" s="329" customFormat="1">
      <c r="A443" s="185" t="s">
        <v>266</v>
      </c>
      <c r="B443" s="161"/>
      <c r="C443" s="278">
        <v>60</v>
      </c>
      <c r="D443" s="245"/>
      <c r="E443" s="278">
        <f t="shared" si="53"/>
        <v>61</v>
      </c>
      <c r="F443" s="245"/>
      <c r="G443" s="187">
        <v>47.37</v>
      </c>
      <c r="H443" s="285"/>
      <c r="I443" s="331">
        <f t="shared" si="54"/>
        <v>2842</v>
      </c>
      <c r="J443" s="245"/>
      <c r="K443" s="331">
        <f t="shared" si="55"/>
        <v>2890</v>
      </c>
      <c r="L443" s="245"/>
      <c r="M443" s="187">
        <f t="shared" si="58"/>
        <v>47.83</v>
      </c>
      <c r="N443" s="285"/>
      <c r="O443" s="331">
        <f t="shared" si="56"/>
        <v>2918</v>
      </c>
      <c r="Q443" s="332"/>
      <c r="R443" s="332"/>
      <c r="S443" s="332"/>
      <c r="T443" s="190">
        <f t="shared" si="57"/>
        <v>9.7107874181971976E-3</v>
      </c>
    </row>
    <row r="444" spans="1:21" s="329" customFormat="1">
      <c r="A444" s="185" t="s">
        <v>267</v>
      </c>
      <c r="B444" s="161"/>
      <c r="C444" s="278">
        <v>791.93326488706396</v>
      </c>
      <c r="D444" s="245"/>
      <c r="E444" s="278">
        <f t="shared" si="53"/>
        <v>808</v>
      </c>
      <c r="F444" s="245"/>
      <c r="G444" s="187">
        <v>38.96</v>
      </c>
      <c r="H444" s="285"/>
      <c r="I444" s="331">
        <f t="shared" si="54"/>
        <v>30854</v>
      </c>
      <c r="J444" s="245"/>
      <c r="K444" s="331">
        <f t="shared" si="55"/>
        <v>31480</v>
      </c>
      <c r="L444" s="245"/>
      <c r="M444" s="187">
        <f t="shared" si="58"/>
        <v>39.340000000000003</v>
      </c>
      <c r="N444" s="285"/>
      <c r="O444" s="331">
        <f t="shared" si="56"/>
        <v>31787</v>
      </c>
      <c r="Q444" s="332"/>
      <c r="R444" s="332"/>
      <c r="S444" s="332"/>
      <c r="T444" s="190">
        <f t="shared" si="57"/>
        <v>9.7535934291581583E-3</v>
      </c>
    </row>
    <row r="445" spans="1:21" s="329" customFormat="1">
      <c r="A445" s="185" t="s">
        <v>268</v>
      </c>
      <c r="B445" s="161"/>
      <c r="C445" s="278">
        <v>36082.979153562999</v>
      </c>
      <c r="D445" s="245"/>
      <c r="E445" s="278">
        <f t="shared" si="53"/>
        <v>36807</v>
      </c>
      <c r="F445" s="245"/>
      <c r="G445" s="187">
        <v>20.94</v>
      </c>
      <c r="H445" s="285"/>
      <c r="I445" s="331">
        <f t="shared" si="54"/>
        <v>755578</v>
      </c>
      <c r="J445" s="245"/>
      <c r="K445" s="331">
        <f t="shared" si="55"/>
        <v>770739</v>
      </c>
      <c r="L445" s="245"/>
      <c r="M445" s="187">
        <f t="shared" si="58"/>
        <v>21.14</v>
      </c>
      <c r="N445" s="285"/>
      <c r="O445" s="331">
        <f t="shared" si="56"/>
        <v>778100</v>
      </c>
      <c r="Q445" s="332"/>
      <c r="R445" s="332"/>
      <c r="S445" s="332"/>
      <c r="T445" s="190">
        <f t="shared" si="57"/>
        <v>9.5510983763131829E-3</v>
      </c>
    </row>
    <row r="446" spans="1:21" s="329" customFormat="1">
      <c r="A446" s="185" t="s">
        <v>269</v>
      </c>
      <c r="B446" s="161"/>
      <c r="C446" s="278">
        <v>48</v>
      </c>
      <c r="D446" s="245"/>
      <c r="E446" s="278">
        <f t="shared" si="53"/>
        <v>49</v>
      </c>
      <c r="F446" s="245"/>
      <c r="G446" s="187">
        <v>18.850000000000001</v>
      </c>
      <c r="H446" s="285"/>
      <c r="I446" s="331">
        <f t="shared" si="54"/>
        <v>905</v>
      </c>
      <c r="J446" s="245"/>
      <c r="K446" s="331">
        <f t="shared" si="55"/>
        <v>924</v>
      </c>
      <c r="L446" s="245"/>
      <c r="M446" s="187">
        <f t="shared" si="58"/>
        <v>19.03</v>
      </c>
      <c r="N446" s="285"/>
      <c r="O446" s="331">
        <f t="shared" si="56"/>
        <v>932</v>
      </c>
      <c r="Q446" s="332"/>
      <c r="R446" s="332"/>
      <c r="S446" s="332"/>
      <c r="T446" s="190">
        <f t="shared" si="57"/>
        <v>9.549071618037086E-3</v>
      </c>
    </row>
    <row r="447" spans="1:21" s="329" customFormat="1">
      <c r="A447" s="185" t="s">
        <v>270</v>
      </c>
      <c r="B447" s="161"/>
      <c r="C447" s="278">
        <v>1344</v>
      </c>
      <c r="D447" s="245"/>
      <c r="E447" s="278">
        <f t="shared" si="53"/>
        <v>1371</v>
      </c>
      <c r="F447" s="245"/>
      <c r="G447" s="187">
        <v>50.99</v>
      </c>
      <c r="H447" s="285"/>
      <c r="I447" s="331">
        <f t="shared" si="54"/>
        <v>68531</v>
      </c>
      <c r="J447" s="245"/>
      <c r="K447" s="331">
        <f t="shared" si="55"/>
        <v>69907</v>
      </c>
      <c r="L447" s="245"/>
      <c r="M447" s="187">
        <f t="shared" si="58"/>
        <v>51.48</v>
      </c>
      <c r="N447" s="285"/>
      <c r="O447" s="331">
        <f t="shared" si="56"/>
        <v>70579</v>
      </c>
      <c r="Q447" s="332"/>
      <c r="R447" s="332"/>
      <c r="S447" s="332"/>
      <c r="T447" s="190">
        <f t="shared" si="57"/>
        <v>9.6097273975288555E-3</v>
      </c>
    </row>
    <row r="448" spans="1:21" s="329" customFormat="1">
      <c r="A448" s="185" t="s">
        <v>271</v>
      </c>
      <c r="B448" s="161"/>
      <c r="C448" s="278">
        <v>0</v>
      </c>
      <c r="D448" s="245"/>
      <c r="E448" s="278">
        <f t="shared" si="53"/>
        <v>0</v>
      </c>
      <c r="F448" s="245"/>
      <c r="G448" s="187">
        <v>42.6</v>
      </c>
      <c r="H448" s="285"/>
      <c r="I448" s="331">
        <f t="shared" si="54"/>
        <v>0</v>
      </c>
      <c r="J448" s="245"/>
      <c r="K448" s="331">
        <f t="shared" si="55"/>
        <v>0</v>
      </c>
      <c r="L448" s="245"/>
      <c r="M448" s="187">
        <f t="shared" si="58"/>
        <v>43.01</v>
      </c>
      <c r="N448" s="285"/>
      <c r="O448" s="331">
        <f t="shared" si="56"/>
        <v>0</v>
      </c>
      <c r="Q448" s="332"/>
      <c r="R448" s="332"/>
      <c r="S448" s="332"/>
      <c r="T448" s="190">
        <f t="shared" si="57"/>
        <v>9.6244131455398563E-3</v>
      </c>
    </row>
    <row r="449" spans="1:21" s="329" customFormat="1">
      <c r="A449" s="185" t="s">
        <v>272</v>
      </c>
      <c r="B449" s="161"/>
      <c r="C449" s="278">
        <v>14980.8391953914</v>
      </c>
      <c r="D449" s="245"/>
      <c r="E449" s="278">
        <f t="shared" si="53"/>
        <v>15281</v>
      </c>
      <c r="F449" s="245"/>
      <c r="G449" s="187">
        <v>25.77</v>
      </c>
      <c r="H449" s="285"/>
      <c r="I449" s="331">
        <f t="shared" si="54"/>
        <v>386056</v>
      </c>
      <c r="J449" s="245"/>
      <c r="K449" s="331">
        <f t="shared" si="55"/>
        <v>393791</v>
      </c>
      <c r="L449" s="245"/>
      <c r="M449" s="187">
        <f t="shared" si="58"/>
        <v>26.02</v>
      </c>
      <c r="N449" s="285"/>
      <c r="O449" s="331">
        <f t="shared" si="56"/>
        <v>397612</v>
      </c>
      <c r="Q449" s="333"/>
      <c r="R449" s="333"/>
      <c r="S449" s="333"/>
      <c r="T449" s="190">
        <f t="shared" si="57"/>
        <v>9.7012029491656548E-3</v>
      </c>
    </row>
    <row r="450" spans="1:21" s="329" customFormat="1">
      <c r="A450" s="185" t="s">
        <v>273</v>
      </c>
      <c r="B450" s="161"/>
      <c r="C450" s="278">
        <v>0</v>
      </c>
      <c r="D450" s="245"/>
      <c r="E450" s="278">
        <f t="shared" si="53"/>
        <v>0</v>
      </c>
      <c r="F450" s="245"/>
      <c r="G450" s="187">
        <v>51.04</v>
      </c>
      <c r="H450" s="285"/>
      <c r="I450" s="331">
        <f t="shared" si="54"/>
        <v>0</v>
      </c>
      <c r="J450" s="245"/>
      <c r="K450" s="331">
        <f t="shared" si="55"/>
        <v>0</v>
      </c>
      <c r="L450" s="245"/>
      <c r="M450" s="187">
        <f t="shared" si="58"/>
        <v>51.54</v>
      </c>
      <c r="N450" s="285"/>
      <c r="O450" s="331">
        <f t="shared" si="56"/>
        <v>0</v>
      </c>
      <c r="Q450" s="332"/>
      <c r="R450" s="332"/>
      <c r="S450" s="332"/>
      <c r="T450" s="190">
        <f t="shared" si="57"/>
        <v>9.7962382445140328E-3</v>
      </c>
      <c r="U450" s="161"/>
    </row>
    <row r="451" spans="1:21" s="329" customFormat="1">
      <c r="A451" s="295" t="s">
        <v>274</v>
      </c>
      <c r="B451" s="161"/>
      <c r="C451" s="278"/>
      <c r="D451" s="245"/>
      <c r="E451" s="278"/>
      <c r="F451" s="245"/>
      <c r="G451" s="213"/>
      <c r="H451" s="325"/>
      <c r="I451" s="331"/>
      <c r="J451" s="245"/>
      <c r="K451" s="331"/>
      <c r="L451" s="245"/>
      <c r="M451" s="213"/>
      <c r="N451" s="325"/>
      <c r="O451" s="331"/>
      <c r="Q451" s="332"/>
      <c r="R451" s="332"/>
      <c r="S451" s="332"/>
      <c r="T451" s="190"/>
    </row>
    <row r="452" spans="1:21" s="161" customFormat="1">
      <c r="A452" s="185" t="s">
        <v>275</v>
      </c>
      <c r="C452" s="278">
        <v>23.9676817899316</v>
      </c>
      <c r="D452" s="245"/>
      <c r="E452" s="278">
        <f t="shared" ref="E452:E462" si="59">ROUND(C452*$E$481/$C$481,0)</f>
        <v>24</v>
      </c>
      <c r="F452" s="245"/>
      <c r="G452" s="187">
        <v>48.27</v>
      </c>
      <c r="H452" s="285"/>
      <c r="I452" s="331">
        <f t="shared" ref="I452:I462" si="60">ROUND(C452*$G452,0)</f>
        <v>1157</v>
      </c>
      <c r="J452" s="245"/>
      <c r="K452" s="331">
        <f t="shared" ref="K452:K462" si="61">ROUND(E452*$G452,0)</f>
        <v>1158</v>
      </c>
      <c r="L452" s="245"/>
      <c r="M452" s="187">
        <f t="shared" ref="M452:M462" si="62">ROUND(G452*(1+$R$439),2)</f>
        <v>48.74</v>
      </c>
      <c r="N452" s="285"/>
      <c r="O452" s="331">
        <f t="shared" ref="O452:O462" si="63">ROUND(E452*M452,0)</f>
        <v>1170</v>
      </c>
      <c r="Q452" s="332"/>
      <c r="R452" s="332"/>
      <c r="S452" s="332"/>
      <c r="T452" s="190">
        <f t="shared" si="57"/>
        <v>9.7368966231614618E-3</v>
      </c>
      <c r="U452" s="329"/>
    </row>
    <row r="453" spans="1:21" s="329" customFormat="1">
      <c r="A453" s="185" t="s">
        <v>276</v>
      </c>
      <c r="B453" s="161"/>
      <c r="C453" s="278">
        <v>593.30015045135406</v>
      </c>
      <c r="D453" s="245"/>
      <c r="E453" s="278">
        <f t="shared" si="59"/>
        <v>605</v>
      </c>
      <c r="F453" s="245"/>
      <c r="G453" s="187">
        <v>39.880000000000003</v>
      </c>
      <c r="H453" s="285"/>
      <c r="I453" s="331">
        <f t="shared" si="60"/>
        <v>23661</v>
      </c>
      <c r="J453" s="245"/>
      <c r="K453" s="331">
        <f t="shared" si="61"/>
        <v>24127</v>
      </c>
      <c r="L453" s="245"/>
      <c r="M453" s="187">
        <f t="shared" si="62"/>
        <v>40.270000000000003</v>
      </c>
      <c r="N453" s="285"/>
      <c r="O453" s="331">
        <f t="shared" si="63"/>
        <v>24363</v>
      </c>
      <c r="Q453" s="332"/>
      <c r="R453" s="332"/>
      <c r="S453" s="332"/>
      <c r="T453" s="190">
        <f t="shared" si="57"/>
        <v>9.7793380140420716E-3</v>
      </c>
    </row>
    <row r="454" spans="1:21" s="329" customFormat="1">
      <c r="A454" s="185" t="s">
        <v>277</v>
      </c>
      <c r="B454" s="161"/>
      <c r="C454" s="278">
        <v>60.761785356068202</v>
      </c>
      <c r="D454" s="245"/>
      <c r="E454" s="278">
        <f t="shared" si="59"/>
        <v>62</v>
      </c>
      <c r="F454" s="245"/>
      <c r="G454" s="187">
        <v>19.940000000000001</v>
      </c>
      <c r="H454" s="285"/>
      <c r="I454" s="331">
        <f t="shared" si="60"/>
        <v>1212</v>
      </c>
      <c r="J454" s="245"/>
      <c r="K454" s="331">
        <f t="shared" si="61"/>
        <v>1236</v>
      </c>
      <c r="L454" s="245"/>
      <c r="M454" s="187">
        <f t="shared" si="62"/>
        <v>20.13</v>
      </c>
      <c r="N454" s="285"/>
      <c r="O454" s="331">
        <f t="shared" si="63"/>
        <v>1248</v>
      </c>
      <c r="Q454" s="333"/>
      <c r="R454" s="333"/>
      <c r="S454" s="333"/>
      <c r="T454" s="190">
        <f t="shared" si="57"/>
        <v>9.5285857572717791E-3</v>
      </c>
    </row>
    <row r="455" spans="1:21" s="329" customFormat="1">
      <c r="A455" s="185" t="s">
        <v>278</v>
      </c>
      <c r="B455" s="161"/>
      <c r="C455" s="278">
        <v>0</v>
      </c>
      <c r="D455" s="245"/>
      <c r="E455" s="278">
        <f t="shared" si="59"/>
        <v>0</v>
      </c>
      <c r="F455" s="245"/>
      <c r="G455" s="187">
        <v>50.16</v>
      </c>
      <c r="H455" s="285"/>
      <c r="I455" s="331">
        <f t="shared" si="60"/>
        <v>0</v>
      </c>
      <c r="J455" s="245"/>
      <c r="K455" s="331">
        <f t="shared" si="61"/>
        <v>0</v>
      </c>
      <c r="L455" s="245"/>
      <c r="M455" s="187">
        <f t="shared" si="62"/>
        <v>50.65</v>
      </c>
      <c r="N455" s="285"/>
      <c r="O455" s="331">
        <f t="shared" si="63"/>
        <v>0</v>
      </c>
      <c r="Q455" s="332"/>
      <c r="R455" s="332"/>
      <c r="S455" s="332"/>
      <c r="T455" s="190">
        <f t="shared" si="57"/>
        <v>9.7687400318979822E-3</v>
      </c>
      <c r="U455" s="161"/>
    </row>
    <row r="456" spans="1:21" s="329" customFormat="1">
      <c r="A456" s="185" t="s">
        <v>279</v>
      </c>
      <c r="B456" s="161"/>
      <c r="C456" s="278">
        <v>1897.91958269273</v>
      </c>
      <c r="D456" s="245"/>
      <c r="E456" s="278">
        <f t="shared" si="59"/>
        <v>1936</v>
      </c>
      <c r="F456" s="245"/>
      <c r="G456" s="187">
        <v>41.76</v>
      </c>
      <c r="H456" s="285"/>
      <c r="I456" s="331">
        <f t="shared" si="60"/>
        <v>79257</v>
      </c>
      <c r="J456" s="245"/>
      <c r="K456" s="331">
        <f t="shared" si="61"/>
        <v>80847</v>
      </c>
      <c r="L456" s="245"/>
      <c r="M456" s="187">
        <f t="shared" si="62"/>
        <v>42.17</v>
      </c>
      <c r="N456" s="285"/>
      <c r="O456" s="331">
        <f t="shared" si="63"/>
        <v>81641</v>
      </c>
      <c r="Q456" s="332"/>
      <c r="R456" s="332"/>
      <c r="S456" s="332"/>
      <c r="T456" s="190">
        <f t="shared" si="57"/>
        <v>9.8180076628353596E-3</v>
      </c>
    </row>
    <row r="457" spans="1:21" s="161" customFormat="1">
      <c r="A457" s="185" t="s">
        <v>280</v>
      </c>
      <c r="C457" s="278">
        <v>154.631843065693</v>
      </c>
      <c r="D457" s="245"/>
      <c r="E457" s="278">
        <f t="shared" si="59"/>
        <v>158</v>
      </c>
      <c r="F457" s="245"/>
      <c r="G457" s="187">
        <v>21.92</v>
      </c>
      <c r="H457" s="285"/>
      <c r="I457" s="331">
        <f t="shared" si="60"/>
        <v>3390</v>
      </c>
      <c r="J457" s="245"/>
      <c r="K457" s="331">
        <f t="shared" si="61"/>
        <v>3463</v>
      </c>
      <c r="L457" s="245"/>
      <c r="M457" s="187">
        <f t="shared" si="62"/>
        <v>22.13</v>
      </c>
      <c r="N457" s="285"/>
      <c r="O457" s="331">
        <f t="shared" si="63"/>
        <v>3497</v>
      </c>
      <c r="Q457" s="333"/>
      <c r="R457" s="333"/>
      <c r="S457" s="333"/>
      <c r="T457" s="190">
        <f t="shared" si="57"/>
        <v>9.58029197080279E-3</v>
      </c>
      <c r="U457" s="329"/>
    </row>
    <row r="458" spans="1:21" s="329" customFormat="1">
      <c r="A458" s="185" t="s">
        <v>281</v>
      </c>
      <c r="B458" s="161"/>
      <c r="C458" s="278">
        <v>402.50573631747199</v>
      </c>
      <c r="D458" s="245"/>
      <c r="E458" s="278">
        <f t="shared" si="59"/>
        <v>411</v>
      </c>
      <c r="F458" s="245"/>
      <c r="G458" s="187">
        <v>53.17</v>
      </c>
      <c r="H458" s="285"/>
      <c r="I458" s="331">
        <f t="shared" si="60"/>
        <v>21401</v>
      </c>
      <c r="J458" s="245"/>
      <c r="K458" s="331">
        <f t="shared" si="61"/>
        <v>21853</v>
      </c>
      <c r="L458" s="245"/>
      <c r="M458" s="187">
        <f t="shared" si="62"/>
        <v>53.69</v>
      </c>
      <c r="N458" s="285"/>
      <c r="O458" s="331">
        <f t="shared" si="63"/>
        <v>22067</v>
      </c>
      <c r="Q458" s="332"/>
      <c r="R458" s="332"/>
      <c r="S458" s="332"/>
      <c r="T458" s="190">
        <f t="shared" si="57"/>
        <v>9.7799511002443218E-3</v>
      </c>
      <c r="U458" s="161"/>
    </row>
    <row r="459" spans="1:21" s="329" customFormat="1">
      <c r="A459" s="185" t="s">
        <v>282</v>
      </c>
      <c r="B459" s="161"/>
      <c r="C459" s="278">
        <v>223.206797724491</v>
      </c>
      <c r="D459" s="245"/>
      <c r="E459" s="278">
        <f t="shared" si="59"/>
        <v>228</v>
      </c>
      <c r="F459" s="245"/>
      <c r="G459" s="187">
        <v>44.77</v>
      </c>
      <c r="H459" s="285"/>
      <c r="I459" s="331">
        <f t="shared" si="60"/>
        <v>9993</v>
      </c>
      <c r="J459" s="245"/>
      <c r="K459" s="331">
        <f t="shared" si="61"/>
        <v>10208</v>
      </c>
      <c r="L459" s="245"/>
      <c r="M459" s="187">
        <f t="shared" si="62"/>
        <v>45.2</v>
      </c>
      <c r="N459" s="285"/>
      <c r="O459" s="331">
        <f t="shared" si="63"/>
        <v>10306</v>
      </c>
      <c r="Q459" s="332"/>
      <c r="R459" s="332"/>
      <c r="S459" s="332"/>
      <c r="T459" s="190">
        <f t="shared" si="57"/>
        <v>9.6046459682823659E-3</v>
      </c>
    </row>
    <row r="460" spans="1:21" s="161" customFormat="1">
      <c r="A460" s="185" t="s">
        <v>283</v>
      </c>
      <c r="C460" s="278">
        <v>17.5131218174696</v>
      </c>
      <c r="D460" s="245"/>
      <c r="E460" s="278">
        <f t="shared" si="59"/>
        <v>18</v>
      </c>
      <c r="F460" s="245"/>
      <c r="G460" s="285">
        <v>25.53</v>
      </c>
      <c r="H460" s="285"/>
      <c r="I460" s="331">
        <f t="shared" si="60"/>
        <v>447</v>
      </c>
      <c r="J460" s="245"/>
      <c r="K460" s="331">
        <f t="shared" si="61"/>
        <v>460</v>
      </c>
      <c r="L460" s="245"/>
      <c r="M460" s="187">
        <f t="shared" si="62"/>
        <v>25.78</v>
      </c>
      <c r="N460" s="285"/>
      <c r="O460" s="331">
        <f t="shared" si="63"/>
        <v>464</v>
      </c>
      <c r="Q460" s="333"/>
      <c r="R460" s="333"/>
      <c r="S460" s="333"/>
      <c r="T460" s="190">
        <f t="shared" si="57"/>
        <v>9.7924010967489483E-3</v>
      </c>
      <c r="U460" s="329"/>
    </row>
    <row r="461" spans="1:21" s="329" customFormat="1">
      <c r="A461" s="185" t="s">
        <v>284</v>
      </c>
      <c r="B461" s="161"/>
      <c r="C461" s="278">
        <v>0</v>
      </c>
      <c r="D461" s="245"/>
      <c r="E461" s="278">
        <f t="shared" si="59"/>
        <v>0</v>
      </c>
      <c r="F461" s="245"/>
      <c r="G461" s="285">
        <v>54.8</v>
      </c>
      <c r="H461" s="285"/>
      <c r="I461" s="331">
        <f t="shared" si="60"/>
        <v>0</v>
      </c>
      <c r="J461" s="245"/>
      <c r="K461" s="331">
        <f t="shared" si="61"/>
        <v>0</v>
      </c>
      <c r="L461" s="245"/>
      <c r="M461" s="187">
        <f t="shared" si="62"/>
        <v>55.33</v>
      </c>
      <c r="N461" s="285"/>
      <c r="O461" s="331">
        <f t="shared" si="63"/>
        <v>0</v>
      </c>
      <c r="Q461" s="332"/>
      <c r="R461" s="332"/>
      <c r="S461" s="332"/>
      <c r="T461" s="190">
        <f t="shared" si="57"/>
        <v>9.6715328467154027E-3</v>
      </c>
      <c r="U461" s="161"/>
    </row>
    <row r="462" spans="1:21" s="329" customFormat="1">
      <c r="A462" s="185" t="s">
        <v>285</v>
      </c>
      <c r="B462" s="161"/>
      <c r="C462" s="278">
        <v>0</v>
      </c>
      <c r="D462" s="245"/>
      <c r="E462" s="278">
        <f t="shared" si="59"/>
        <v>0</v>
      </c>
      <c r="F462" s="245"/>
      <c r="G462" s="285">
        <v>46.41</v>
      </c>
      <c r="H462" s="285"/>
      <c r="I462" s="331">
        <f t="shared" si="60"/>
        <v>0</v>
      </c>
      <c r="J462" s="245"/>
      <c r="K462" s="331">
        <f t="shared" si="61"/>
        <v>0</v>
      </c>
      <c r="L462" s="245"/>
      <c r="M462" s="187">
        <f t="shared" si="62"/>
        <v>46.86</v>
      </c>
      <c r="N462" s="285"/>
      <c r="O462" s="331">
        <f t="shared" si="63"/>
        <v>0</v>
      </c>
      <c r="Q462" s="332"/>
      <c r="R462" s="332"/>
      <c r="S462" s="332"/>
      <c r="T462" s="190">
        <f t="shared" si="57"/>
        <v>9.6961861667743676E-3</v>
      </c>
    </row>
    <row r="463" spans="1:21" s="161" customFormat="1">
      <c r="A463" s="295" t="s">
        <v>286</v>
      </c>
      <c r="C463" s="221"/>
      <c r="D463" s="245"/>
      <c r="E463" s="221"/>
      <c r="F463" s="245"/>
      <c r="G463" s="285"/>
      <c r="H463" s="285"/>
      <c r="I463" s="330"/>
      <c r="J463" s="245"/>
      <c r="K463" s="330"/>
      <c r="L463" s="245"/>
      <c r="M463" s="285"/>
      <c r="N463" s="285"/>
      <c r="O463" s="330"/>
      <c r="Q463" s="332"/>
      <c r="R463" s="332"/>
      <c r="S463" s="332"/>
      <c r="T463" s="329"/>
      <c r="U463" s="329"/>
    </row>
    <row r="464" spans="1:21" s="329" customFormat="1">
      <c r="A464" s="185" t="s">
        <v>287</v>
      </c>
      <c r="B464" s="161"/>
      <c r="C464" s="278">
        <v>10322.2140202059</v>
      </c>
      <c r="D464" s="245"/>
      <c r="E464" s="278">
        <f>ROUND(C464*$E$481/$C$481,0)</f>
        <v>10529</v>
      </c>
      <c r="F464" s="245"/>
      <c r="G464" s="187">
        <v>10.98</v>
      </c>
      <c r="H464" s="285"/>
      <c r="I464" s="331">
        <f>ROUND(C464*$G464,0)</f>
        <v>113338</v>
      </c>
      <c r="J464" s="245"/>
      <c r="K464" s="331">
        <f>ROUND(E464*$G464,0)</f>
        <v>115608</v>
      </c>
      <c r="L464" s="245"/>
      <c r="M464" s="187">
        <f>ROUND(G464*(1+$R$439),2)</f>
        <v>11.09</v>
      </c>
      <c r="N464" s="285"/>
      <c r="O464" s="331">
        <f>ROUND(E464*M464,0)</f>
        <v>116767</v>
      </c>
      <c r="Q464" s="332"/>
      <c r="R464" s="332"/>
      <c r="S464" s="332"/>
      <c r="T464" s="190">
        <f>M464/G464-1</f>
        <v>1.0018214936247771E-2</v>
      </c>
    </row>
    <row r="465" spans="1:20" s="329" customFormat="1">
      <c r="A465" s="185" t="s">
        <v>189</v>
      </c>
      <c r="B465" s="161"/>
      <c r="C465" s="278">
        <v>13394.7214580335</v>
      </c>
      <c r="D465" s="245"/>
      <c r="E465" s="278">
        <f>ROUND(C465*$E$481/$C$481,0)</f>
        <v>13663</v>
      </c>
      <c r="F465" s="245"/>
      <c r="G465" s="187">
        <v>13.7</v>
      </c>
      <c r="H465" s="285"/>
      <c r="I465" s="331">
        <f>ROUND(C465*$G465,0)</f>
        <v>183508</v>
      </c>
      <c r="J465" s="245"/>
      <c r="K465" s="331">
        <f>ROUND(E465*$G465,0)</f>
        <v>187183</v>
      </c>
      <c r="L465" s="245"/>
      <c r="M465" s="187">
        <f>ROUND(G465*(1+$R$439),2)</f>
        <v>13.83</v>
      </c>
      <c r="N465" s="285"/>
      <c r="O465" s="331">
        <f>ROUND(E465*M465,0)</f>
        <v>188959</v>
      </c>
      <c r="Q465" s="332"/>
      <c r="R465" s="332"/>
      <c r="S465" s="332"/>
      <c r="T465" s="190">
        <f>M465/G465-1</f>
        <v>9.4890510948906215E-3</v>
      </c>
    </row>
    <row r="466" spans="1:20" s="329" customFormat="1">
      <c r="A466" s="185" t="s">
        <v>288</v>
      </c>
      <c r="B466" s="161"/>
      <c r="C466" s="278">
        <v>294.699860558544</v>
      </c>
      <c r="D466" s="245"/>
      <c r="E466" s="278">
        <f>ROUND(C466*$E$481/$C$481,0)</f>
        <v>301</v>
      </c>
      <c r="F466" s="245"/>
      <c r="G466" s="187">
        <v>19.21</v>
      </c>
      <c r="H466" s="285"/>
      <c r="I466" s="331">
        <f>ROUND(C466*$G466,0)</f>
        <v>5661</v>
      </c>
      <c r="J466" s="245"/>
      <c r="K466" s="331">
        <f>ROUND(E466*$G466,0)</f>
        <v>5782</v>
      </c>
      <c r="L466" s="245"/>
      <c r="M466" s="187">
        <f>ROUND(G466*(1+$R$439),2)</f>
        <v>19.399999999999999</v>
      </c>
      <c r="N466" s="285"/>
      <c r="O466" s="331">
        <f>ROUND(E466*M466,0)</f>
        <v>5839</v>
      </c>
      <c r="Q466" s="332"/>
      <c r="R466" s="332"/>
      <c r="S466" s="332"/>
      <c r="T466" s="190">
        <f>M466/G466-1</f>
        <v>9.8906819364912302E-3</v>
      </c>
    </row>
    <row r="467" spans="1:20" s="329" customFormat="1">
      <c r="A467" s="185" t="s">
        <v>289</v>
      </c>
      <c r="B467" s="161"/>
      <c r="C467" s="278">
        <v>0</v>
      </c>
      <c r="D467" s="245"/>
      <c r="E467" s="278">
        <f>ROUND(C467*$E$481/$C$481,0)</f>
        <v>0</v>
      </c>
      <c r="F467" s="245"/>
      <c r="G467" s="187">
        <v>17.29</v>
      </c>
      <c r="H467" s="285"/>
      <c r="I467" s="331">
        <f>ROUND(C467*$G467,0)</f>
        <v>0</v>
      </c>
      <c r="J467" s="245"/>
      <c r="K467" s="331">
        <f>ROUND(E467*$G467,0)</f>
        <v>0</v>
      </c>
      <c r="L467" s="245"/>
      <c r="M467" s="187">
        <f>ROUND(G467*(1+$R$439),2)</f>
        <v>17.46</v>
      </c>
      <c r="N467" s="285"/>
      <c r="O467" s="331">
        <f>ROUND(E467*M467,0)</f>
        <v>0</v>
      </c>
      <c r="Q467" s="332"/>
      <c r="R467" s="332"/>
      <c r="S467" s="332"/>
      <c r="T467" s="190">
        <f>M467/G467-1</f>
        <v>9.8322729901678674E-3</v>
      </c>
    </row>
    <row r="468" spans="1:20" s="329" customFormat="1">
      <c r="A468" s="185" t="s">
        <v>191</v>
      </c>
      <c r="B468" s="161"/>
      <c r="C468" s="278">
        <v>2254.0305210900101</v>
      </c>
      <c r="D468" s="245"/>
      <c r="E468" s="278">
        <f>ROUND(C468*$E$481/$C$481,0)</f>
        <v>2299</v>
      </c>
      <c r="F468" s="245"/>
      <c r="G468" s="187">
        <v>24.2</v>
      </c>
      <c r="H468" s="285"/>
      <c r="I468" s="331">
        <f>ROUND(C468*$G468,0)</f>
        <v>54548</v>
      </c>
      <c r="J468" s="245"/>
      <c r="K468" s="331">
        <f>ROUND(E468*$G468,0)</f>
        <v>55636</v>
      </c>
      <c r="L468" s="245"/>
      <c r="M468" s="187">
        <f>ROUND(G468*(1+$R$439),2)</f>
        <v>24.43</v>
      </c>
      <c r="N468" s="285"/>
      <c r="O468" s="331">
        <f>ROUND(E468*M468,0)</f>
        <v>56165</v>
      </c>
      <c r="Q468" s="332"/>
      <c r="R468" s="332"/>
      <c r="S468" s="332"/>
      <c r="T468" s="190">
        <f>M468/G468-1</f>
        <v>9.5041322314048937E-3</v>
      </c>
    </row>
    <row r="469" spans="1:20" s="329" customFormat="1">
      <c r="A469" s="295" t="s">
        <v>290</v>
      </c>
      <c r="B469" s="161"/>
      <c r="C469" s="278"/>
      <c r="D469" s="245"/>
      <c r="E469" s="278"/>
      <c r="F469" s="245"/>
      <c r="G469" s="161"/>
      <c r="H469" s="245"/>
      <c r="I469" s="331"/>
      <c r="J469" s="245"/>
      <c r="K469" s="331"/>
      <c r="L469" s="245"/>
      <c r="M469" s="161"/>
      <c r="N469" s="245"/>
      <c r="O469" s="331"/>
      <c r="Q469" s="332"/>
      <c r="R469" s="332"/>
      <c r="S469" s="332"/>
    </row>
    <row r="470" spans="1:20" s="329" customFormat="1">
      <c r="A470" s="185" t="s">
        <v>291</v>
      </c>
      <c r="B470" s="161"/>
      <c r="C470" s="278">
        <v>0</v>
      </c>
      <c r="D470" s="245"/>
      <c r="E470" s="278">
        <f t="shared" ref="E470:E475" si="64">ROUND(C470*$E$481/$C$481,0)</f>
        <v>0</v>
      </c>
      <c r="F470" s="245"/>
      <c r="G470" s="187">
        <v>11.87</v>
      </c>
      <c r="H470" s="285"/>
      <c r="I470" s="331">
        <f t="shared" ref="I470:I475" si="65">ROUND(C470*$G470,0)</f>
        <v>0</v>
      </c>
      <c r="J470" s="245"/>
      <c r="K470" s="331">
        <f t="shared" ref="K470:K475" si="66">ROUND(E470*$G470,0)</f>
        <v>0</v>
      </c>
      <c r="L470" s="245"/>
      <c r="M470" s="187">
        <f t="shared" ref="M470:M475" si="67">ROUND(G470*(1+$R$439),2)</f>
        <v>11.99</v>
      </c>
      <c r="N470" s="285"/>
      <c r="O470" s="331">
        <f t="shared" ref="O470:O475" si="68">ROUND(E470*M470,0)</f>
        <v>0</v>
      </c>
      <c r="Q470" s="332"/>
      <c r="R470" s="332"/>
      <c r="S470" s="332"/>
      <c r="T470" s="190">
        <f t="shared" ref="T470:T475" si="69">M470/G470-1</f>
        <v>1.0109519797809607E-2</v>
      </c>
    </row>
    <row r="471" spans="1:20" s="329" customFormat="1">
      <c r="A471" s="185" t="s">
        <v>292</v>
      </c>
      <c r="B471" s="161"/>
      <c r="C471" s="278">
        <v>144</v>
      </c>
      <c r="D471" s="245"/>
      <c r="E471" s="278">
        <f t="shared" si="64"/>
        <v>147</v>
      </c>
      <c r="F471" s="245"/>
      <c r="G471" s="187">
        <v>4.2</v>
      </c>
      <c r="H471" s="285"/>
      <c r="I471" s="331">
        <f t="shared" si="65"/>
        <v>605</v>
      </c>
      <c r="J471" s="245"/>
      <c r="K471" s="331">
        <f t="shared" si="66"/>
        <v>617</v>
      </c>
      <c r="L471" s="245"/>
      <c r="M471" s="187">
        <f t="shared" si="67"/>
        <v>4.24</v>
      </c>
      <c r="N471" s="285"/>
      <c r="O471" s="331">
        <f t="shared" si="68"/>
        <v>623</v>
      </c>
      <c r="Q471" s="332"/>
      <c r="R471" s="332"/>
      <c r="S471" s="332"/>
      <c r="T471" s="190">
        <f t="shared" si="69"/>
        <v>9.52380952380949E-3</v>
      </c>
    </row>
    <row r="472" spans="1:20" s="329" customFormat="1">
      <c r="A472" s="185" t="s">
        <v>293</v>
      </c>
      <c r="B472" s="161"/>
      <c r="C472" s="278">
        <v>178.56696165191701</v>
      </c>
      <c r="D472" s="245"/>
      <c r="E472" s="278">
        <f t="shared" si="64"/>
        <v>182</v>
      </c>
      <c r="F472" s="245"/>
      <c r="G472" s="187">
        <v>16.95</v>
      </c>
      <c r="H472" s="285"/>
      <c r="I472" s="331">
        <f t="shared" si="65"/>
        <v>3027</v>
      </c>
      <c r="J472" s="245"/>
      <c r="K472" s="331">
        <f t="shared" si="66"/>
        <v>3085</v>
      </c>
      <c r="L472" s="245"/>
      <c r="M472" s="187">
        <f t="shared" si="67"/>
        <v>17.11</v>
      </c>
      <c r="N472" s="285"/>
      <c r="O472" s="331">
        <f t="shared" si="68"/>
        <v>3114</v>
      </c>
      <c r="Q472" s="332"/>
      <c r="R472" s="332"/>
      <c r="S472" s="332"/>
      <c r="T472" s="190">
        <f t="shared" si="69"/>
        <v>9.4395280235988199E-3</v>
      </c>
    </row>
    <row r="473" spans="1:20" s="329" customFormat="1">
      <c r="A473" s="185" t="s">
        <v>287</v>
      </c>
      <c r="B473" s="161"/>
      <c r="C473" s="278">
        <v>390.59667505954002</v>
      </c>
      <c r="D473" s="245"/>
      <c r="E473" s="278">
        <f t="shared" si="64"/>
        <v>398</v>
      </c>
      <c r="F473" s="245"/>
      <c r="G473" s="187">
        <v>20.23</v>
      </c>
      <c r="H473" s="285"/>
      <c r="I473" s="331">
        <f t="shared" si="65"/>
        <v>7902</v>
      </c>
      <c r="J473" s="245"/>
      <c r="K473" s="331">
        <f t="shared" si="66"/>
        <v>8052</v>
      </c>
      <c r="L473" s="245"/>
      <c r="M473" s="187">
        <f t="shared" si="67"/>
        <v>20.43</v>
      </c>
      <c r="N473" s="285"/>
      <c r="O473" s="331">
        <f t="shared" si="68"/>
        <v>8131</v>
      </c>
      <c r="Q473" s="332"/>
      <c r="R473" s="332"/>
      <c r="S473" s="332"/>
      <c r="T473" s="190">
        <f t="shared" si="69"/>
        <v>9.8863074641621917E-3</v>
      </c>
    </row>
    <row r="474" spans="1:20" s="329" customFormat="1">
      <c r="A474" s="185" t="s">
        <v>294</v>
      </c>
      <c r="B474" s="161"/>
      <c r="C474" s="278">
        <v>1132.99109792285</v>
      </c>
      <c r="D474" s="245"/>
      <c r="E474" s="278">
        <f t="shared" si="64"/>
        <v>1156</v>
      </c>
      <c r="F474" s="245"/>
      <c r="G474" s="187">
        <v>23.59</v>
      </c>
      <c r="H474" s="285"/>
      <c r="I474" s="331">
        <f t="shared" si="65"/>
        <v>26727</v>
      </c>
      <c r="J474" s="245"/>
      <c r="K474" s="331">
        <f t="shared" si="66"/>
        <v>27270</v>
      </c>
      <c r="L474" s="245"/>
      <c r="M474" s="187">
        <f t="shared" si="67"/>
        <v>23.82</v>
      </c>
      <c r="N474" s="285"/>
      <c r="O474" s="331">
        <f t="shared" si="68"/>
        <v>27536</v>
      </c>
      <c r="Q474" s="332"/>
      <c r="R474" s="332"/>
      <c r="S474" s="332"/>
      <c r="T474" s="190">
        <f t="shared" si="69"/>
        <v>9.7498940228910591E-3</v>
      </c>
    </row>
    <row r="475" spans="1:20" s="329" customFormat="1">
      <c r="A475" s="185" t="s">
        <v>288</v>
      </c>
      <c r="B475" s="161"/>
      <c r="C475" s="278">
        <v>24</v>
      </c>
      <c r="D475" s="245"/>
      <c r="E475" s="278">
        <f t="shared" si="64"/>
        <v>24</v>
      </c>
      <c r="F475" s="245"/>
      <c r="G475" s="187">
        <v>31.17</v>
      </c>
      <c r="H475" s="285"/>
      <c r="I475" s="331">
        <f t="shared" si="65"/>
        <v>748</v>
      </c>
      <c r="J475" s="245"/>
      <c r="K475" s="331">
        <f t="shared" si="66"/>
        <v>748</v>
      </c>
      <c r="L475" s="245"/>
      <c r="M475" s="187">
        <f t="shared" si="67"/>
        <v>31.47</v>
      </c>
      <c r="N475" s="285"/>
      <c r="O475" s="331">
        <f t="shared" si="68"/>
        <v>755</v>
      </c>
      <c r="Q475" s="332"/>
      <c r="R475" s="332"/>
      <c r="S475" s="332"/>
      <c r="T475" s="190">
        <f t="shared" si="69"/>
        <v>9.6246390760346134E-3</v>
      </c>
    </row>
    <row r="476" spans="1:20" s="329" customFormat="1">
      <c r="A476" s="295" t="s">
        <v>295</v>
      </c>
      <c r="B476" s="161"/>
      <c r="C476" s="221"/>
      <c r="D476" s="245"/>
      <c r="E476" s="221"/>
      <c r="F476" s="245"/>
      <c r="G476" s="285"/>
      <c r="H476" s="285"/>
      <c r="I476" s="330"/>
      <c r="J476" s="245"/>
      <c r="K476" s="330"/>
      <c r="L476" s="245"/>
      <c r="M476" s="285"/>
      <c r="N476" s="285"/>
      <c r="O476" s="330"/>
      <c r="Q476" s="332"/>
      <c r="R476" s="332"/>
      <c r="S476" s="332"/>
    </row>
    <row r="477" spans="1:20" s="329" customFormat="1">
      <c r="A477" s="185" t="s">
        <v>296</v>
      </c>
      <c r="B477" s="161"/>
      <c r="C477" s="278">
        <v>12.0001516351982</v>
      </c>
      <c r="D477" s="245"/>
      <c r="E477" s="278">
        <f>ROUND(C477*$E$481/$C$481,0)</f>
        <v>12</v>
      </c>
      <c r="F477" s="245"/>
      <c r="G477" s="187">
        <v>27.58</v>
      </c>
      <c r="H477" s="285"/>
      <c r="I477" s="331">
        <f>ROUND(C477*$G477,0)</f>
        <v>331</v>
      </c>
      <c r="J477" s="245"/>
      <c r="K477" s="331">
        <f>ROUND(E477*$G477,0)</f>
        <v>331</v>
      </c>
      <c r="L477" s="245"/>
      <c r="M477" s="187">
        <f>ROUND(G477*(1+$R$439),2)</f>
        <v>27.85</v>
      </c>
      <c r="N477" s="285"/>
      <c r="O477" s="331">
        <f>ROUND(E477*M477,0)</f>
        <v>334</v>
      </c>
      <c r="Q477" s="332"/>
      <c r="R477" s="332"/>
      <c r="S477" s="332"/>
      <c r="T477" s="190">
        <f>M477/G477-1</f>
        <v>9.7897026831037515E-3</v>
      </c>
    </row>
    <row r="478" spans="1:20" s="329" customFormat="1">
      <c r="A478" s="295" t="s">
        <v>297</v>
      </c>
      <c r="B478" s="161"/>
      <c r="C478" s="278"/>
      <c r="D478" s="245"/>
      <c r="E478" s="278"/>
      <c r="F478" s="245"/>
      <c r="G478" s="187"/>
      <c r="H478" s="285"/>
      <c r="I478" s="331"/>
      <c r="J478" s="245"/>
      <c r="K478" s="331"/>
      <c r="L478" s="245"/>
      <c r="M478" s="187"/>
      <c r="N478" s="285"/>
      <c r="O478" s="331"/>
      <c r="Q478" s="332"/>
      <c r="R478" s="332"/>
      <c r="S478" s="332"/>
    </row>
    <row r="479" spans="1:20" s="329" customFormat="1">
      <c r="A479" s="185" t="s">
        <v>298</v>
      </c>
      <c r="B479" s="161"/>
      <c r="C479" s="278">
        <v>126.49994631609501</v>
      </c>
      <c r="D479" s="245"/>
      <c r="E479" s="278">
        <f>ROUND(C479*$E$481/$C$481,0)</f>
        <v>129</v>
      </c>
      <c r="F479" s="245"/>
      <c r="G479" s="187">
        <v>38.659999999999997</v>
      </c>
      <c r="H479" s="285"/>
      <c r="I479" s="331">
        <f>ROUND(C479*$G479,0)</f>
        <v>4890</v>
      </c>
      <c r="J479" s="245"/>
      <c r="K479" s="331">
        <f>ROUND(E479*$G479,0)</f>
        <v>4987</v>
      </c>
      <c r="L479" s="245"/>
      <c r="M479" s="187">
        <f>ROUND(G479*(1+$R$439),2)</f>
        <v>39.04</v>
      </c>
      <c r="N479" s="285"/>
      <c r="O479" s="331">
        <f>ROUND(E479*M479,0)</f>
        <v>5036</v>
      </c>
      <c r="Q479" s="332"/>
      <c r="R479" s="332"/>
      <c r="S479" s="332"/>
      <c r="T479" s="190">
        <f>M479/G479-1</f>
        <v>9.8292809105018364E-3</v>
      </c>
    </row>
    <row r="480" spans="1:20" s="329" customFormat="1">
      <c r="A480" s="185" t="s">
        <v>299</v>
      </c>
      <c r="B480" s="161"/>
      <c r="C480" s="334">
        <f>SUM(C436:C479)</f>
        <v>444722.16355353798</v>
      </c>
      <c r="D480" s="245"/>
      <c r="E480" s="334">
        <f>SUM(E436:E479)</f>
        <v>453642</v>
      </c>
      <c r="F480" s="245"/>
      <c r="G480" s="323"/>
      <c r="H480" s="245"/>
      <c r="I480" s="335">
        <f>SUM(I436:I479)</f>
        <v>6403791</v>
      </c>
      <c r="J480" s="245"/>
      <c r="K480" s="335">
        <f>SUM(K436:K479)</f>
        <v>6532203</v>
      </c>
      <c r="L480" s="245"/>
      <c r="M480" s="323"/>
      <c r="N480" s="245"/>
      <c r="O480" s="335">
        <f>SUM(O436:O479)</f>
        <v>6594387</v>
      </c>
      <c r="Q480" s="332"/>
      <c r="R480" s="332"/>
      <c r="S480" s="332"/>
    </row>
    <row r="481" spans="1:20" s="329" customFormat="1" ht="16.5" thickBot="1">
      <c r="A481" s="185" t="s">
        <v>215</v>
      </c>
      <c r="B481" s="161"/>
      <c r="C481" s="336">
        <v>21847235.578286897</v>
      </c>
      <c r="D481" s="245"/>
      <c r="E481" s="336">
        <v>22285519</v>
      </c>
      <c r="F481" s="245"/>
      <c r="G481" s="254"/>
      <c r="H481" s="245"/>
      <c r="I481" s="254"/>
      <c r="J481" s="245"/>
      <c r="K481" s="254"/>
      <c r="L481" s="245"/>
      <c r="M481" s="254"/>
      <c r="N481" s="245"/>
      <c r="O481" s="254"/>
      <c r="Q481" s="332"/>
      <c r="R481" s="332"/>
      <c r="S481" s="332"/>
    </row>
    <row r="482" spans="1:20" s="329" customFormat="1" ht="16.5" thickTop="1">
      <c r="A482" s="185" t="s">
        <v>11</v>
      </c>
      <c r="B482" s="161"/>
      <c r="C482" s="300">
        <v>991.58333333333303</v>
      </c>
      <c r="D482" s="245"/>
      <c r="E482" s="300">
        <v>872.33333333333337</v>
      </c>
      <c r="F482" s="245"/>
      <c r="G482" s="161"/>
      <c r="H482" s="245"/>
      <c r="I482" s="161"/>
      <c r="J482" s="245"/>
      <c r="K482" s="161"/>
      <c r="L482" s="245"/>
      <c r="M482" s="161"/>
      <c r="N482" s="245"/>
      <c r="O482" s="161"/>
      <c r="P482" s="337"/>
      <c r="Q482" s="332"/>
      <c r="R482" s="332"/>
      <c r="S482" s="332"/>
    </row>
    <row r="483" spans="1:20" s="329" customFormat="1">
      <c r="A483" s="185" t="s">
        <v>216</v>
      </c>
      <c r="B483" s="161"/>
      <c r="C483" s="338">
        <v>234895</v>
      </c>
      <c r="D483" s="245"/>
      <c r="E483" s="338">
        <v>0</v>
      </c>
      <c r="F483" s="245"/>
      <c r="G483" s="323"/>
      <c r="H483" s="245"/>
      <c r="I483" s="335">
        <v>48139</v>
      </c>
      <c r="J483" s="245"/>
      <c r="K483" s="335">
        <v>0</v>
      </c>
      <c r="L483" s="245"/>
      <c r="M483" s="323"/>
      <c r="N483" s="245"/>
      <c r="O483" s="335">
        <v>0</v>
      </c>
      <c r="Q483" s="332"/>
      <c r="R483" s="332"/>
      <c r="S483" s="332"/>
    </row>
    <row r="484" spans="1:20" s="329" customFormat="1" ht="16.5" thickBot="1">
      <c r="A484" s="185" t="s">
        <v>300</v>
      </c>
      <c r="B484" s="161"/>
      <c r="C484" s="336">
        <f>C483+C481</f>
        <v>22082130.578286897</v>
      </c>
      <c r="D484" s="245"/>
      <c r="E484" s="336">
        <f>E483+E481</f>
        <v>22285519</v>
      </c>
      <c r="F484" s="245"/>
      <c r="G484" s="339"/>
      <c r="H484" s="340"/>
      <c r="I484" s="339">
        <f>I483+I480</f>
        <v>6451930</v>
      </c>
      <c r="J484" s="245"/>
      <c r="K484" s="339">
        <f>K483+K480</f>
        <v>6532203</v>
      </c>
      <c r="L484" s="245"/>
      <c r="M484" s="339"/>
      <c r="N484" s="340"/>
      <c r="O484" s="339">
        <f>O483+O480</f>
        <v>6594387</v>
      </c>
      <c r="Q484" s="341">
        <f>O484/K484-1</f>
        <v>9.5196061726801062E-3</v>
      </c>
      <c r="R484" s="332"/>
      <c r="S484" s="332"/>
    </row>
    <row r="485" spans="1:20" s="329" customFormat="1" ht="16.5" thickTop="1">
      <c r="A485" s="185" t="s">
        <v>135</v>
      </c>
      <c r="B485" s="161"/>
      <c r="C485" s="278"/>
      <c r="D485" s="245"/>
      <c r="E485" s="278"/>
      <c r="F485" s="245"/>
      <c r="G485" s="238"/>
      <c r="H485" s="239"/>
      <c r="I485" s="228">
        <f>MPA!K274</f>
        <v>63404.194299999981</v>
      </c>
      <c r="J485" s="164"/>
      <c r="K485" s="228">
        <f>I485</f>
        <v>63404.194299999981</v>
      </c>
      <c r="L485" s="164"/>
      <c r="M485" s="180"/>
      <c r="N485" s="239"/>
      <c r="O485" s="228">
        <v>0</v>
      </c>
      <c r="Q485" s="332">
        <f>O484/E484*100</f>
        <v>29.590457372789924</v>
      </c>
      <c r="R485" s="332"/>
      <c r="S485" s="332"/>
    </row>
    <row r="486" spans="1:20" s="329" customFormat="1">
      <c r="A486" s="185" t="s">
        <v>136</v>
      </c>
      <c r="B486" s="161"/>
      <c r="C486" s="278"/>
      <c r="D486" s="245"/>
      <c r="E486" s="278"/>
      <c r="F486" s="245"/>
      <c r="G486" s="238">
        <f>M486</f>
        <v>3.6999999999999998E-2</v>
      </c>
      <c r="H486" s="342"/>
      <c r="I486" s="335">
        <f>ROUND(SUM(I480,I485)*$G486,0)</f>
        <v>239286</v>
      </c>
      <c r="J486" s="245"/>
      <c r="K486" s="335">
        <f>ROUND(SUM(K480,K485)*$G486,0)</f>
        <v>244037</v>
      </c>
      <c r="L486" s="245"/>
      <c r="M486" s="277">
        <v>3.6999999999999998E-2</v>
      </c>
      <c r="N486" s="342"/>
      <c r="O486" s="335">
        <f>ROUND(SUM(O480,O485)*M486,0)</f>
        <v>243992</v>
      </c>
      <c r="Q486" s="332"/>
      <c r="R486" s="332"/>
      <c r="S486" s="332"/>
    </row>
    <row r="487" spans="1:20" s="329" customFormat="1">
      <c r="A487" s="161"/>
      <c r="B487" s="161"/>
      <c r="C487" s="278"/>
      <c r="D487" s="245"/>
      <c r="E487" s="278"/>
      <c r="F487" s="245"/>
      <c r="G487" s="161"/>
      <c r="H487" s="245"/>
      <c r="I487" s="161"/>
      <c r="J487" s="245"/>
      <c r="K487" s="161"/>
      <c r="L487" s="245"/>
      <c r="M487" s="161"/>
      <c r="N487" s="245"/>
      <c r="O487" s="161"/>
      <c r="Q487" s="332"/>
      <c r="R487" s="332"/>
      <c r="S487" s="332"/>
    </row>
    <row r="488" spans="1:20" s="329" customFormat="1">
      <c r="A488" s="181" t="s">
        <v>301</v>
      </c>
      <c r="B488" s="161"/>
      <c r="C488" s="278"/>
      <c r="D488" s="245"/>
      <c r="E488" s="278"/>
      <c r="F488" s="245"/>
      <c r="G488" s="161"/>
      <c r="H488" s="245"/>
      <c r="I488" s="161"/>
      <c r="J488" s="245"/>
      <c r="K488" s="161"/>
      <c r="L488" s="245"/>
      <c r="M488" s="161"/>
      <c r="N488" s="245"/>
      <c r="O488" s="161"/>
      <c r="Q488" s="332"/>
      <c r="R488" s="332"/>
      <c r="S488" s="332"/>
    </row>
    <row r="489" spans="1:20" s="329" customFormat="1">
      <c r="A489" s="343" t="s">
        <v>302</v>
      </c>
      <c r="B489" s="161"/>
      <c r="C489" s="278"/>
      <c r="D489" s="245"/>
      <c r="E489" s="278"/>
      <c r="F489" s="245"/>
      <c r="G489" s="161"/>
      <c r="H489" s="245"/>
      <c r="I489" s="331"/>
      <c r="J489" s="245"/>
      <c r="K489" s="331"/>
      <c r="L489" s="245"/>
      <c r="M489" s="161"/>
      <c r="N489" s="245"/>
      <c r="O489" s="331"/>
      <c r="S489" s="332"/>
    </row>
    <row r="490" spans="1:20" s="329" customFormat="1">
      <c r="A490" s="295" t="s">
        <v>303</v>
      </c>
      <c r="B490" s="161"/>
      <c r="C490" s="278"/>
      <c r="D490" s="245"/>
      <c r="E490" s="278"/>
      <c r="F490" s="245"/>
      <c r="G490" s="161"/>
      <c r="H490" s="245"/>
      <c r="I490" s="331"/>
      <c r="J490" s="245"/>
      <c r="K490" s="331"/>
      <c r="L490" s="245"/>
      <c r="M490" s="161"/>
      <c r="N490" s="245"/>
      <c r="O490" s="331"/>
      <c r="S490" s="332"/>
    </row>
    <row r="491" spans="1:20" s="329" customFormat="1">
      <c r="A491" s="185" t="s">
        <v>304</v>
      </c>
      <c r="B491" s="161"/>
      <c r="C491" s="186">
        <v>66605.337991550201</v>
      </c>
      <c r="D491" s="312"/>
      <c r="E491" s="186">
        <f>ROUND(C491*$E$502/$C$502,0)</f>
        <v>64118</v>
      </c>
      <c r="F491" s="312"/>
      <c r="G491" s="187">
        <v>1.81</v>
      </c>
      <c r="H491" s="188"/>
      <c r="I491" s="331">
        <f>ROUND(C491*$G491,0)</f>
        <v>120556</v>
      </c>
      <c r="J491" s="331"/>
      <c r="K491" s="331">
        <f>ROUND(E491*$G491,0)</f>
        <v>116054</v>
      </c>
      <c r="L491" s="312"/>
      <c r="M491" s="187">
        <f>ROUND(G491*(1+$R$495),2)</f>
        <v>1.83</v>
      </c>
      <c r="N491" s="285"/>
      <c r="O491" s="331">
        <f>ROUND(E491*M491,0)</f>
        <v>117336</v>
      </c>
      <c r="Q491" s="198" t="s">
        <v>111</v>
      </c>
      <c r="R491" s="199">
        <f>O577</f>
        <v>3813444</v>
      </c>
      <c r="S491" s="332"/>
      <c r="T491" s="190">
        <f>M491/G491-1</f>
        <v>1.1049723756906049E-2</v>
      </c>
    </row>
    <row r="492" spans="1:20" s="329" customFormat="1">
      <c r="A492" s="185" t="s">
        <v>305</v>
      </c>
      <c r="B492" s="161"/>
      <c r="C492" s="186">
        <v>112200.922012425</v>
      </c>
      <c r="D492" s="245"/>
      <c r="E492" s="186">
        <f>ROUND(C492*$E$502/$C$502,0)</f>
        <v>108011</v>
      </c>
      <c r="F492" s="245"/>
      <c r="G492" s="187">
        <v>2.4700000000000002</v>
      </c>
      <c r="H492" s="285"/>
      <c r="I492" s="331">
        <f>ROUND(C492*$G492,0)</f>
        <v>277136</v>
      </c>
      <c r="J492" s="331"/>
      <c r="K492" s="331">
        <f>ROUND(E492*$G492,0)</f>
        <v>266787</v>
      </c>
      <c r="L492" s="245"/>
      <c r="M492" s="187">
        <f>ROUND(G492*(1+$R$495),2)</f>
        <v>2.5</v>
      </c>
      <c r="N492" s="285"/>
      <c r="O492" s="331">
        <f>ROUND(E492*M492,0)</f>
        <v>270028</v>
      </c>
      <c r="Q492" s="202" t="s">
        <v>113</v>
      </c>
      <c r="R492" s="203">
        <f>RateSpread!O44*1000</f>
        <v>3813207.0129</v>
      </c>
      <c r="S492" s="332"/>
      <c r="T492" s="190">
        <f>M492/G492-1</f>
        <v>1.2145748987854255E-2</v>
      </c>
    </row>
    <row r="493" spans="1:20" s="329" customFormat="1">
      <c r="A493" s="185" t="s">
        <v>306</v>
      </c>
      <c r="B493" s="161"/>
      <c r="C493" s="186">
        <v>109686.363454664</v>
      </c>
      <c r="D493" s="245"/>
      <c r="E493" s="186">
        <f>ROUND(C493*$E$502/$C$502,0)</f>
        <v>105591</v>
      </c>
      <c r="F493" s="245"/>
      <c r="G493" s="187">
        <v>3.62</v>
      </c>
      <c r="H493" s="285"/>
      <c r="I493" s="331">
        <f>ROUND(C493*$G493,0)</f>
        <v>397065</v>
      </c>
      <c r="J493" s="331"/>
      <c r="K493" s="331">
        <f>ROUND(E493*$G493,0)</f>
        <v>382239</v>
      </c>
      <c r="L493" s="245"/>
      <c r="M493" s="187">
        <f>ROUND(G493*(1+$R$495),2)</f>
        <v>3.66</v>
      </c>
      <c r="N493" s="285"/>
      <c r="O493" s="331">
        <f>ROUND(E493*M493,0)</f>
        <v>386463</v>
      </c>
      <c r="Q493" s="207" t="s">
        <v>115</v>
      </c>
      <c r="R493" s="208">
        <f>R492-R491</f>
        <v>-236.98710000002757</v>
      </c>
      <c r="S493" s="332"/>
      <c r="T493" s="190">
        <f>M493/G493-1</f>
        <v>1.1049723756906049E-2</v>
      </c>
    </row>
    <row r="494" spans="1:20" s="329" customFormat="1">
      <c r="A494" s="185" t="s">
        <v>307</v>
      </c>
      <c r="B494" s="161"/>
      <c r="C494" s="186">
        <v>53127.987612249599</v>
      </c>
      <c r="D494" s="245"/>
      <c r="E494" s="186">
        <f>ROUND(C494*$E$502/$C$502,0)</f>
        <v>51144</v>
      </c>
      <c r="F494" s="245"/>
      <c r="G494" s="187">
        <v>6.45</v>
      </c>
      <c r="H494" s="285"/>
      <c r="I494" s="331">
        <f>ROUND(C494*$G494,0)</f>
        <v>342676</v>
      </c>
      <c r="J494" s="331"/>
      <c r="K494" s="331">
        <f>ROUND(E494*$G494,0)</f>
        <v>329879</v>
      </c>
      <c r="L494" s="245"/>
      <c r="M494" s="187">
        <f>ROUND(G494*(1+$R$495),2)</f>
        <v>6.52</v>
      </c>
      <c r="N494" s="285"/>
      <c r="O494" s="331">
        <f>ROUND(E494*M494,0)</f>
        <v>333459</v>
      </c>
      <c r="Q494" s="210" t="s">
        <v>117</v>
      </c>
      <c r="R494" s="280">
        <f>R491/K577-1</f>
        <v>1.0628249773410259E-2</v>
      </c>
      <c r="S494" s="332"/>
      <c r="T494" s="190">
        <f>M494/G494-1</f>
        <v>1.0852713178294504E-2</v>
      </c>
    </row>
    <row r="495" spans="1:20" s="329" customFormat="1">
      <c r="A495" s="185" t="s">
        <v>308</v>
      </c>
      <c r="B495" s="161"/>
      <c r="C495" s="186">
        <v>70255.828404056505</v>
      </c>
      <c r="D495" s="245"/>
      <c r="E495" s="186">
        <f>ROUND(C495*$E$502/$C$502,0)</f>
        <v>67632</v>
      </c>
      <c r="F495" s="245"/>
      <c r="G495" s="187">
        <v>9.92</v>
      </c>
      <c r="H495" s="285"/>
      <c r="I495" s="331">
        <f>ROUND(C495*$G495,0)</f>
        <v>696938</v>
      </c>
      <c r="J495" s="331"/>
      <c r="K495" s="331">
        <f>ROUND(E495*$G495,0)</f>
        <v>670909</v>
      </c>
      <c r="L495" s="245"/>
      <c r="M495" s="187">
        <f>ROUND(G495*(1+$R$495),2)</f>
        <v>10.02</v>
      </c>
      <c r="N495" s="285"/>
      <c r="O495" s="331">
        <f>ROUND(E495*M495,0)</f>
        <v>677673</v>
      </c>
      <c r="Q495" s="230" t="s">
        <v>119</v>
      </c>
      <c r="R495" s="284">
        <f>R492/K577-1</f>
        <v>1.0565444115823164E-2</v>
      </c>
      <c r="S495" s="332"/>
      <c r="T495" s="190">
        <f>M495/G495-1</f>
        <v>1.0080645161290258E-2</v>
      </c>
    </row>
    <row r="496" spans="1:20" s="329" customFormat="1">
      <c r="A496" s="295" t="s">
        <v>274</v>
      </c>
      <c r="B496" s="161"/>
      <c r="C496" s="186"/>
      <c r="D496" s="245"/>
      <c r="E496" s="278"/>
      <c r="F496" s="245"/>
      <c r="G496" s="213"/>
      <c r="H496" s="325"/>
      <c r="I496" s="331"/>
      <c r="J496" s="245"/>
      <c r="K496" s="331"/>
      <c r="L496" s="245"/>
      <c r="M496" s="213"/>
      <c r="N496" s="325"/>
      <c r="O496" s="331"/>
      <c r="Q496" s="301" t="s">
        <v>138</v>
      </c>
      <c r="R496" s="344">
        <f>(O577+O578)/(K577+K578)-1</f>
        <v>6.2149025531033075E-5</v>
      </c>
      <c r="S496" s="332"/>
    </row>
    <row r="497" spans="1:20" s="329" customFormat="1">
      <c r="A497" s="185" t="s">
        <v>309</v>
      </c>
      <c r="B497" s="161"/>
      <c r="C497" s="186">
        <v>4092.17766726944</v>
      </c>
      <c r="D497" s="245"/>
      <c r="E497" s="186">
        <f>ROUND(C497*$E$502/$C$502,0)</f>
        <v>3939</v>
      </c>
      <c r="F497" s="245"/>
      <c r="G497" s="187">
        <v>2.52</v>
      </c>
      <c r="H497" s="285"/>
      <c r="I497" s="331">
        <f>ROUND(C497*$G497,0)</f>
        <v>10312</v>
      </c>
      <c r="J497" s="331"/>
      <c r="K497" s="331">
        <f>ROUND(E497*$G497,0)</f>
        <v>9926</v>
      </c>
      <c r="L497" s="245"/>
      <c r="M497" s="187">
        <f>ROUND(G497*(1+$R$495),2)</f>
        <v>2.5499999999999998</v>
      </c>
      <c r="N497" s="285"/>
      <c r="O497" s="331">
        <f>ROUND(E497*M497,0)</f>
        <v>10044</v>
      </c>
      <c r="Q497" s="332"/>
      <c r="R497" s="332"/>
      <c r="S497" s="332"/>
      <c r="T497" s="190">
        <f>M497/G497-1</f>
        <v>1.1904761904761862E-2</v>
      </c>
    </row>
    <row r="498" spans="1:20" s="329" customFormat="1">
      <c r="A498" s="185" t="s">
        <v>310</v>
      </c>
      <c r="B498" s="161"/>
      <c r="C498" s="186">
        <v>14146.166420191301</v>
      </c>
      <c r="D498" s="245"/>
      <c r="E498" s="186">
        <f>ROUND(C498*$E$502/$C$502,0)</f>
        <v>13618</v>
      </c>
      <c r="F498" s="245"/>
      <c r="G498" s="187">
        <v>4.41</v>
      </c>
      <c r="H498" s="285"/>
      <c r="I498" s="331">
        <f>ROUND(C498*$G498,0)</f>
        <v>62385</v>
      </c>
      <c r="J498" s="331"/>
      <c r="K498" s="331">
        <f>ROUND(E498*$G498,0)</f>
        <v>60055</v>
      </c>
      <c r="L498" s="245"/>
      <c r="M498" s="187">
        <f>ROUND(G498*(1+$R$495),2)</f>
        <v>4.46</v>
      </c>
      <c r="N498" s="285"/>
      <c r="O498" s="331">
        <f>ROUND(E498*M498,0)</f>
        <v>60736</v>
      </c>
      <c r="Q498" s="332"/>
      <c r="R498" s="332"/>
      <c r="S498" s="332"/>
      <c r="T498" s="190">
        <f>M498/G498-1</f>
        <v>1.1337868480725488E-2</v>
      </c>
    </row>
    <row r="499" spans="1:20" s="329" customFormat="1">
      <c r="A499" s="185" t="s">
        <v>311</v>
      </c>
      <c r="B499" s="161"/>
      <c r="C499" s="186">
        <v>27616.859349783601</v>
      </c>
      <c r="D499" s="245"/>
      <c r="E499" s="186">
        <f>ROUND(C499*$E$502/$C$502,0)</f>
        <v>26586</v>
      </c>
      <c r="F499" s="245"/>
      <c r="G499" s="187">
        <v>6.11</v>
      </c>
      <c r="H499" s="285"/>
      <c r="I499" s="331">
        <f>ROUND(C499*$G499,0)</f>
        <v>168739</v>
      </c>
      <c r="J499" s="331"/>
      <c r="K499" s="331">
        <f>ROUND(E499*$G499,0)</f>
        <v>162440</v>
      </c>
      <c r="L499" s="245"/>
      <c r="M499" s="187">
        <f>ROUND(G499*(1+$R$495),2)</f>
        <v>6.17</v>
      </c>
      <c r="N499" s="285"/>
      <c r="O499" s="331">
        <f>ROUND(E499*M499,0)</f>
        <v>164036</v>
      </c>
      <c r="Q499" s="332"/>
      <c r="R499" s="332"/>
      <c r="S499" s="332"/>
      <c r="T499" s="190">
        <f>M499/G499-1</f>
        <v>9.8199672667758087E-3</v>
      </c>
    </row>
    <row r="500" spans="1:20" s="329" customFormat="1">
      <c r="A500" s="185" t="s">
        <v>312</v>
      </c>
      <c r="B500" s="161"/>
      <c r="C500" s="186">
        <v>24587.624349405</v>
      </c>
      <c r="D500" s="245"/>
      <c r="E500" s="186">
        <f>ROUND(C500*$E$502/$C$502,0)</f>
        <v>23670</v>
      </c>
      <c r="F500" s="245"/>
      <c r="G500" s="285">
        <v>9.67</v>
      </c>
      <c r="H500" s="285"/>
      <c r="I500" s="331">
        <f>ROUND(C500*$G500,0)</f>
        <v>237762</v>
      </c>
      <c r="J500" s="331"/>
      <c r="K500" s="331">
        <f>ROUND(E500*$G500,0)</f>
        <v>228889</v>
      </c>
      <c r="L500" s="245"/>
      <c r="M500" s="285">
        <f>ROUND(G500*(1+$R$495),2)</f>
        <v>9.77</v>
      </c>
      <c r="N500" s="285"/>
      <c r="O500" s="331">
        <f>ROUND(E500*M500,0)</f>
        <v>231256</v>
      </c>
      <c r="Q500" s="332"/>
      <c r="R500" s="332"/>
      <c r="S500" s="332"/>
      <c r="T500" s="190">
        <f>M500/G500-1</f>
        <v>1.0341261633919352E-2</v>
      </c>
    </row>
    <row r="501" spans="1:20" s="329" customFormat="1">
      <c r="A501" s="295" t="s">
        <v>313</v>
      </c>
      <c r="B501" s="161"/>
      <c r="C501" s="186">
        <v>6813700.6341773206</v>
      </c>
      <c r="D501" s="245"/>
      <c r="E501" s="186">
        <f>ROUND(C501*$E$502/$C$502,0)</f>
        <v>6559274</v>
      </c>
      <c r="F501" s="245"/>
      <c r="G501" s="345">
        <v>6.4596999999999998</v>
      </c>
      <c r="H501" s="193" t="s">
        <v>108</v>
      </c>
      <c r="I501" s="331">
        <f>ROUND(C501*$G501/100,0)</f>
        <v>440145</v>
      </c>
      <c r="J501" s="331"/>
      <c r="K501" s="331">
        <f>ROUND(E501*$G501/100,0)</f>
        <v>423709</v>
      </c>
      <c r="L501" s="245"/>
      <c r="M501" s="345">
        <f>ROUND(G501*(1+$R$495),4)</f>
        <v>6.5278999999999998</v>
      </c>
      <c r="N501" s="193" t="s">
        <v>108</v>
      </c>
      <c r="O501" s="331">
        <f>ROUND(E501*M501/100,0)</f>
        <v>428183</v>
      </c>
      <c r="Q501" s="332"/>
      <c r="R501" s="332"/>
      <c r="S501" s="332"/>
      <c r="T501" s="190">
        <f>M501/G501-1</f>
        <v>1.0557765840518929E-2</v>
      </c>
    </row>
    <row r="502" spans="1:20" s="329" customFormat="1">
      <c r="A502" s="295" t="s">
        <v>314</v>
      </c>
      <c r="B502" s="161"/>
      <c r="C502" s="191">
        <v>42293384.777037106</v>
      </c>
      <c r="D502" s="245"/>
      <c r="E502" s="221">
        <f>E574-E570-E544</f>
        <v>40714133</v>
      </c>
      <c r="F502" s="245"/>
      <c r="G502" s="345"/>
      <c r="H502" s="346"/>
      <c r="I502" s="330">
        <f>SUM(I491:I501)</f>
        <v>2753714</v>
      </c>
      <c r="J502" s="245"/>
      <c r="K502" s="330">
        <f>SUM(K491:K501)</f>
        <v>2650887</v>
      </c>
      <c r="L502" s="245"/>
      <c r="M502" s="345"/>
      <c r="N502" s="285"/>
      <c r="O502" s="330">
        <f>SUM(O491:O501)</f>
        <v>2679214</v>
      </c>
      <c r="Q502" s="332"/>
      <c r="R502" s="332"/>
      <c r="S502" s="332"/>
    </row>
    <row r="503" spans="1:20" s="329" customFormat="1">
      <c r="A503" s="295" t="s">
        <v>216</v>
      </c>
      <c r="B503" s="161"/>
      <c r="C503" s="191">
        <v>454726</v>
      </c>
      <c r="D503" s="245"/>
      <c r="E503" s="221"/>
      <c r="F503" s="245"/>
      <c r="G503" s="345"/>
      <c r="H503" s="346"/>
      <c r="I503" s="330">
        <v>20711</v>
      </c>
      <c r="J503" s="245"/>
      <c r="K503" s="330"/>
      <c r="L503" s="245"/>
      <c r="M503" s="345"/>
      <c r="N503" s="285"/>
      <c r="O503" s="330"/>
      <c r="Q503" s="332"/>
      <c r="R503" s="332"/>
      <c r="S503" s="332"/>
    </row>
    <row r="504" spans="1:20" s="329" customFormat="1">
      <c r="A504" s="295" t="s">
        <v>300</v>
      </c>
      <c r="B504" s="161"/>
      <c r="C504" s="191">
        <f>SUM(C502:C503)</f>
        <v>42748110.777037106</v>
      </c>
      <c r="D504" s="245"/>
      <c r="E504" s="221"/>
      <c r="F504" s="245"/>
      <c r="G504" s="345"/>
      <c r="H504" s="346"/>
      <c r="I504" s="330">
        <f>SUM(I502:I503)</f>
        <v>2774425</v>
      </c>
      <c r="J504" s="245"/>
      <c r="K504" s="330">
        <f>SUM(K502:K503)</f>
        <v>2650887</v>
      </c>
      <c r="L504" s="245"/>
      <c r="M504" s="345"/>
      <c r="N504" s="285"/>
      <c r="O504" s="330">
        <f>SUM(O502:O503)</f>
        <v>2679214</v>
      </c>
      <c r="Q504" s="332"/>
      <c r="R504" s="332"/>
      <c r="S504" s="332"/>
    </row>
    <row r="505" spans="1:20" s="329" customFormat="1">
      <c r="A505" s="347" t="s">
        <v>315</v>
      </c>
      <c r="B505" s="161"/>
      <c r="C505" s="278"/>
      <c r="D505" s="245"/>
      <c r="E505" s="278"/>
      <c r="F505" s="245"/>
      <c r="G505" s="161"/>
      <c r="H505" s="245"/>
      <c r="I505" s="161"/>
      <c r="J505" s="245"/>
      <c r="K505" s="161"/>
      <c r="L505" s="245"/>
      <c r="M505" s="161"/>
      <c r="N505" s="245"/>
      <c r="O505" s="161"/>
      <c r="Q505" s="332"/>
      <c r="R505" s="332"/>
      <c r="S505" s="332"/>
    </row>
    <row r="506" spans="1:20" s="329" customFormat="1">
      <c r="A506" s="295" t="s">
        <v>316</v>
      </c>
      <c r="B506" s="161"/>
      <c r="C506" s="278"/>
      <c r="D506" s="245"/>
      <c r="E506" s="278"/>
      <c r="F506" s="245"/>
      <c r="G506" s="161"/>
      <c r="H506" s="245"/>
      <c r="I506" s="331"/>
      <c r="J506" s="245"/>
      <c r="K506" s="331"/>
      <c r="L506" s="245"/>
      <c r="M506" s="161"/>
      <c r="N506" s="245"/>
      <c r="O506" s="331"/>
      <c r="Q506" s="332"/>
      <c r="R506" s="332"/>
      <c r="S506" s="332"/>
    </row>
    <row r="507" spans="1:20" s="329" customFormat="1">
      <c r="A507" s="185" t="s">
        <v>317</v>
      </c>
      <c r="B507" s="161"/>
      <c r="C507" s="278">
        <v>96.133032694475801</v>
      </c>
      <c r="D507" s="245"/>
      <c r="E507" s="278">
        <f>ROUND(C507*$E$544/$C$544,0)</f>
        <v>93</v>
      </c>
      <c r="F507" s="245"/>
      <c r="G507" s="187">
        <v>8.8699999999999992</v>
      </c>
      <c r="H507" s="285"/>
      <c r="I507" s="331">
        <f>ROUND(C507*$G507,0)</f>
        <v>853</v>
      </c>
      <c r="J507" s="245"/>
      <c r="K507" s="331">
        <f>ROUND(E507*$G507,0)</f>
        <v>825</v>
      </c>
      <c r="L507" s="245"/>
      <c r="M507" s="187">
        <f>ROUND(G507*(1+$R$495),2)</f>
        <v>8.9600000000000009</v>
      </c>
      <c r="N507" s="285"/>
      <c r="O507" s="331">
        <f>ROUND(E507*M507,0)</f>
        <v>833</v>
      </c>
      <c r="Q507" s="332"/>
      <c r="R507" s="332"/>
      <c r="S507" s="332"/>
      <c r="T507" s="190">
        <f>M507/G507-1</f>
        <v>1.0146561443066693E-2</v>
      </c>
    </row>
    <row r="508" spans="1:20" s="329" customFormat="1">
      <c r="A508" s="185" t="s">
        <v>318</v>
      </c>
      <c r="B508" s="161"/>
      <c r="C508" s="278">
        <v>0</v>
      </c>
      <c r="D508" s="245"/>
      <c r="E508" s="278">
        <f>ROUND(C508*$E$544/$C$544,0)</f>
        <v>0</v>
      </c>
      <c r="F508" s="245"/>
      <c r="G508" s="187">
        <v>7.54</v>
      </c>
      <c r="H508" s="285"/>
      <c r="I508" s="331">
        <f>ROUND(C508*$G508,0)</f>
        <v>0</v>
      </c>
      <c r="J508" s="245"/>
      <c r="K508" s="331">
        <f>ROUND(E508*$G508,0)</f>
        <v>0</v>
      </c>
      <c r="L508" s="245"/>
      <c r="M508" s="187">
        <f>ROUND(G508*(1+$R$495),2)</f>
        <v>7.62</v>
      </c>
      <c r="N508" s="285"/>
      <c r="O508" s="331">
        <f>ROUND(E508*M508,0)</f>
        <v>0</v>
      </c>
      <c r="Q508" s="332"/>
      <c r="R508" s="332"/>
      <c r="S508" s="332"/>
      <c r="T508" s="190">
        <f>M508/G508-1</f>
        <v>1.0610079575596787E-2</v>
      </c>
    </row>
    <row r="509" spans="1:20" s="329" customFormat="1">
      <c r="A509" s="185" t="s">
        <v>287</v>
      </c>
      <c r="B509" s="161"/>
      <c r="C509" s="278">
        <v>36</v>
      </c>
      <c r="D509" s="245"/>
      <c r="E509" s="278">
        <f>ROUND(C509*$E$544/$C$544,0)</f>
        <v>35</v>
      </c>
      <c r="F509" s="245"/>
      <c r="G509" s="187">
        <v>12.06</v>
      </c>
      <c r="H509" s="285"/>
      <c r="I509" s="331">
        <f>ROUND(C509*$G509,0)</f>
        <v>434</v>
      </c>
      <c r="J509" s="245"/>
      <c r="K509" s="331">
        <f>ROUND(E509*$G509,0)</f>
        <v>422</v>
      </c>
      <c r="L509" s="245"/>
      <c r="M509" s="187">
        <f>ROUND(G509*(1+$R$495),2)</f>
        <v>12.19</v>
      </c>
      <c r="N509" s="285"/>
      <c r="O509" s="331">
        <f>ROUND(E509*M509,0)</f>
        <v>427</v>
      </c>
      <c r="Q509" s="332"/>
      <c r="R509" s="332"/>
      <c r="S509" s="332"/>
      <c r="T509" s="190">
        <f>M509/G509-1</f>
        <v>1.0779436152570376E-2</v>
      </c>
    </row>
    <row r="510" spans="1:20" s="329" customFormat="1">
      <c r="A510" s="295" t="s">
        <v>319</v>
      </c>
      <c r="B510" s="161"/>
      <c r="C510" s="278"/>
      <c r="D510" s="245"/>
      <c r="E510" s="278"/>
      <c r="F510" s="245"/>
      <c r="G510" s="187"/>
      <c r="H510" s="285"/>
      <c r="I510" s="161"/>
      <c r="J510" s="245"/>
      <c r="K510" s="161"/>
      <c r="L510" s="245"/>
      <c r="M510" s="187"/>
      <c r="N510" s="285"/>
      <c r="O510" s="161"/>
      <c r="Q510" s="332"/>
      <c r="R510" s="332"/>
      <c r="S510" s="332"/>
    </row>
    <row r="511" spans="1:20" s="329" customFormat="1">
      <c r="A511" s="185" t="s">
        <v>287</v>
      </c>
      <c r="B511" s="161"/>
      <c r="C511" s="278">
        <v>71.306360543701899</v>
      </c>
      <c r="D511" s="245"/>
      <c r="E511" s="278">
        <f>ROUND(C511*$E$544/$C$544,0)</f>
        <v>69</v>
      </c>
      <c r="F511" s="245"/>
      <c r="G511" s="187">
        <v>4.59</v>
      </c>
      <c r="H511" s="285"/>
      <c r="I511" s="331">
        <f>ROUND(C511*$G511,0)</f>
        <v>327</v>
      </c>
      <c r="J511" s="245"/>
      <c r="K511" s="331">
        <f>ROUND(E511*$G511,0)</f>
        <v>317</v>
      </c>
      <c r="L511" s="245"/>
      <c r="M511" s="187">
        <f>ROUND(G511*(1+$R$495),2)</f>
        <v>4.6399999999999997</v>
      </c>
      <c r="N511" s="285"/>
      <c r="O511" s="331">
        <f>ROUND(E511*M511,0)</f>
        <v>320</v>
      </c>
      <c r="Q511" s="332"/>
      <c r="R511" s="332"/>
      <c r="S511" s="332"/>
      <c r="T511" s="190">
        <f>M511/G511-1</f>
        <v>1.089324618736387E-2</v>
      </c>
    </row>
    <row r="512" spans="1:20" s="329" customFormat="1">
      <c r="A512" s="185" t="s">
        <v>189</v>
      </c>
      <c r="B512" s="161"/>
      <c r="C512" s="278">
        <v>772.96355257645598</v>
      </c>
      <c r="D512" s="245"/>
      <c r="E512" s="221">
        <f>ROUND(C512*$E$544/$C$544,0)</f>
        <v>744</v>
      </c>
      <c r="F512" s="245"/>
      <c r="G512" s="187">
        <v>6.93</v>
      </c>
      <c r="H512" s="245"/>
      <c r="I512" s="331">
        <f>ROUND(C512*$G512,0)</f>
        <v>5357</v>
      </c>
      <c r="J512" s="346"/>
      <c r="K512" s="331">
        <f>ROUND(E512*$G512,0)</f>
        <v>5156</v>
      </c>
      <c r="L512" s="245"/>
      <c r="M512" s="325">
        <f>ROUND(G512*(1+$R$495),2)</f>
        <v>7</v>
      </c>
      <c r="N512" s="245"/>
      <c r="O512" s="331">
        <f>ROUND(E512*M512,0)</f>
        <v>5208</v>
      </c>
      <c r="P512" s="285"/>
      <c r="Q512" s="330"/>
      <c r="R512" s="332"/>
      <c r="S512" s="332"/>
      <c r="T512" s="190">
        <f>M512/G512-1</f>
        <v>1.0101010101010166E-2</v>
      </c>
    </row>
    <row r="513" spans="1:20" s="329" customFormat="1">
      <c r="A513" s="185" t="s">
        <v>288</v>
      </c>
      <c r="B513" s="161"/>
      <c r="C513" s="278">
        <v>0</v>
      </c>
      <c r="D513" s="245"/>
      <c r="E513" s="278">
        <f>ROUND(C513*$E$544/$C$544,0)</f>
        <v>0</v>
      </c>
      <c r="F513" s="245"/>
      <c r="G513" s="187">
        <v>8.99</v>
      </c>
      <c r="H513" s="285"/>
      <c r="I513" s="331">
        <f>ROUND(C513*$G513,0)</f>
        <v>0</v>
      </c>
      <c r="J513" s="245"/>
      <c r="K513" s="331">
        <f>ROUND(E513*$G513,0)</f>
        <v>0</v>
      </c>
      <c r="L513" s="245"/>
      <c r="M513" s="187">
        <f>ROUND(G513*(1+$R$495),2)</f>
        <v>9.08</v>
      </c>
      <c r="N513" s="285"/>
      <c r="O513" s="331">
        <f>ROUND(E513*M513,0)</f>
        <v>0</v>
      </c>
      <c r="Q513" s="332"/>
      <c r="R513" s="332"/>
      <c r="S513" s="332"/>
      <c r="T513" s="190">
        <f>M513/G513-1</f>
        <v>1.0011123470522687E-2</v>
      </c>
    </row>
    <row r="514" spans="1:20" s="329" customFormat="1">
      <c r="A514" s="185" t="s">
        <v>191</v>
      </c>
      <c r="B514" s="161"/>
      <c r="C514" s="278">
        <v>166.520545868082</v>
      </c>
      <c r="D514" s="245"/>
      <c r="E514" s="278">
        <f>ROUND(C514*$E$544/$C$544,0)</f>
        <v>160</v>
      </c>
      <c r="F514" s="245"/>
      <c r="G514" s="187">
        <v>13.19</v>
      </c>
      <c r="H514" s="285"/>
      <c r="I514" s="331">
        <f>ROUND(C514*$G514,0)</f>
        <v>2196</v>
      </c>
      <c r="J514" s="245"/>
      <c r="K514" s="331">
        <f>ROUND(E514*$G514,0)</f>
        <v>2110</v>
      </c>
      <c r="L514" s="245"/>
      <c r="M514" s="187">
        <f>ROUND(G514*(1+$R$495),2)</f>
        <v>13.33</v>
      </c>
      <c r="N514" s="285"/>
      <c r="O514" s="331">
        <f>ROUND(E514*M514,0)</f>
        <v>2133</v>
      </c>
      <c r="Q514" s="332"/>
      <c r="R514" s="332"/>
      <c r="S514" s="332"/>
      <c r="T514" s="190">
        <f>M514/G514-1</f>
        <v>1.0614101592115288E-2</v>
      </c>
    </row>
    <row r="515" spans="1:20" s="329" customFormat="1">
      <c r="A515" s="185" t="s">
        <v>320</v>
      </c>
      <c r="B515" s="161"/>
      <c r="C515" s="278">
        <v>16.3333333333333</v>
      </c>
      <c r="D515" s="245"/>
      <c r="E515" s="278">
        <f>ROUND(C515*$E$544/$C$544,0)</f>
        <v>16</v>
      </c>
      <c r="F515" s="245"/>
      <c r="G515" s="187">
        <v>28.08</v>
      </c>
      <c r="H515" s="285"/>
      <c r="I515" s="331">
        <f>ROUND(C515*$G515,0)</f>
        <v>459</v>
      </c>
      <c r="J515" s="245"/>
      <c r="K515" s="331">
        <f>ROUND(E515*$G515,0)</f>
        <v>449</v>
      </c>
      <c r="L515" s="245"/>
      <c r="M515" s="187">
        <f>ROUND(G515*(1+$R$495),2)</f>
        <v>28.38</v>
      </c>
      <c r="N515" s="285"/>
      <c r="O515" s="331">
        <f>ROUND(E515*M515,0)</f>
        <v>454</v>
      </c>
      <c r="Q515" s="332"/>
      <c r="R515" s="332"/>
      <c r="S515" s="332"/>
      <c r="T515" s="190">
        <f>M515/G515-1</f>
        <v>1.0683760683760646E-2</v>
      </c>
    </row>
    <row r="516" spans="1:20" s="329" customFormat="1">
      <c r="A516" s="295" t="s">
        <v>321</v>
      </c>
      <c r="B516" s="161"/>
      <c r="C516" s="278"/>
      <c r="D516" s="245"/>
      <c r="E516" s="278"/>
      <c r="F516" s="245"/>
      <c r="G516" s="187"/>
      <c r="H516" s="285"/>
      <c r="I516" s="331"/>
      <c r="J516" s="245"/>
      <c r="K516" s="331"/>
      <c r="L516" s="245"/>
      <c r="M516" s="187"/>
      <c r="N516" s="285"/>
      <c r="O516" s="331"/>
      <c r="Q516" s="332"/>
      <c r="R516" s="332"/>
      <c r="S516" s="332"/>
    </row>
    <row r="517" spans="1:20" s="329" customFormat="1">
      <c r="A517" s="185" t="s">
        <v>304</v>
      </c>
      <c r="B517" s="161"/>
      <c r="C517" s="278">
        <v>39838.176133402798</v>
      </c>
      <c r="D517" s="245"/>
      <c r="E517" s="278">
        <f t="shared" ref="E517:E531" si="70">ROUND(C517*$E$544/$C$544,0)</f>
        <v>38351</v>
      </c>
      <c r="F517" s="245"/>
      <c r="G517" s="187">
        <v>4.04</v>
      </c>
      <c r="H517" s="285"/>
      <c r="I517" s="331">
        <f t="shared" ref="I517:I531" si="71">ROUND(C517*$G517,0)</f>
        <v>160946</v>
      </c>
      <c r="J517" s="245"/>
      <c r="K517" s="331">
        <f t="shared" ref="K517:K531" si="72">ROUND(E517*$G517,0)</f>
        <v>154938</v>
      </c>
      <c r="L517" s="245"/>
      <c r="M517" s="187">
        <f t="shared" ref="M517:M531" si="73">ROUND(G517*(1+$R$495),2)</f>
        <v>4.08</v>
      </c>
      <c r="N517" s="285"/>
      <c r="O517" s="331">
        <f t="shared" ref="O517:O531" si="74">ROUND(E517*M517,0)</f>
        <v>156472</v>
      </c>
      <c r="Q517" s="332"/>
      <c r="R517" s="332"/>
      <c r="S517" s="332"/>
      <c r="T517" s="190">
        <f t="shared" ref="T517:T531" si="75">M517/G517-1</f>
        <v>9.9009900990099098E-3</v>
      </c>
    </row>
    <row r="518" spans="1:20" s="329" customFormat="1">
      <c r="A518" s="185" t="s">
        <v>305</v>
      </c>
      <c r="B518" s="161"/>
      <c r="C518" s="278">
        <v>16226.7402639554</v>
      </c>
      <c r="D518" s="245"/>
      <c r="E518" s="278">
        <f t="shared" si="70"/>
        <v>15621</v>
      </c>
      <c r="F518" s="245"/>
      <c r="G518" s="187">
        <v>5.31</v>
      </c>
      <c r="H518" s="285"/>
      <c r="I518" s="331">
        <f t="shared" si="71"/>
        <v>86164</v>
      </c>
      <c r="J518" s="245"/>
      <c r="K518" s="331">
        <f t="shared" si="72"/>
        <v>82948</v>
      </c>
      <c r="L518" s="245"/>
      <c r="M518" s="187">
        <f t="shared" si="73"/>
        <v>5.37</v>
      </c>
      <c r="N518" s="285"/>
      <c r="O518" s="331">
        <f t="shared" si="74"/>
        <v>83885</v>
      </c>
      <c r="Q518" s="332"/>
      <c r="R518" s="332"/>
      <c r="S518" s="332"/>
      <c r="T518" s="190">
        <f t="shared" si="75"/>
        <v>1.1299435028248705E-2</v>
      </c>
    </row>
    <row r="519" spans="1:20" s="329" customFormat="1">
      <c r="A519" s="185" t="s">
        <v>322</v>
      </c>
      <c r="B519" s="161"/>
      <c r="C519" s="278">
        <v>12.000219637702401</v>
      </c>
      <c r="D519" s="245"/>
      <c r="E519" s="278">
        <f t="shared" si="70"/>
        <v>12</v>
      </c>
      <c r="F519" s="245"/>
      <c r="G519" s="187">
        <v>4.51</v>
      </c>
      <c r="H519" s="285"/>
      <c r="I519" s="331">
        <f t="shared" si="71"/>
        <v>54</v>
      </c>
      <c r="J519" s="245"/>
      <c r="K519" s="331">
        <f t="shared" si="72"/>
        <v>54</v>
      </c>
      <c r="L519" s="245"/>
      <c r="M519" s="187">
        <f t="shared" si="73"/>
        <v>4.5599999999999996</v>
      </c>
      <c r="N519" s="285"/>
      <c r="O519" s="331">
        <f t="shared" si="74"/>
        <v>55</v>
      </c>
      <c r="Q519" s="332"/>
      <c r="R519" s="332"/>
      <c r="S519" s="332"/>
      <c r="T519" s="190">
        <f t="shared" si="75"/>
        <v>1.1086474501108556E-2</v>
      </c>
    </row>
    <row r="520" spans="1:20" s="329" customFormat="1">
      <c r="A520" s="185" t="s">
        <v>323</v>
      </c>
      <c r="B520" s="161"/>
      <c r="C520" s="278">
        <v>9937.9680091920709</v>
      </c>
      <c r="D520" s="245"/>
      <c r="E520" s="278">
        <f t="shared" si="70"/>
        <v>9567</v>
      </c>
      <c r="F520" s="245"/>
      <c r="G520" s="187">
        <v>6.89</v>
      </c>
      <c r="H520" s="285"/>
      <c r="I520" s="331">
        <f t="shared" si="71"/>
        <v>68473</v>
      </c>
      <c r="J520" s="245"/>
      <c r="K520" s="331">
        <f t="shared" si="72"/>
        <v>65917</v>
      </c>
      <c r="L520" s="245"/>
      <c r="M520" s="187">
        <f t="shared" si="73"/>
        <v>6.96</v>
      </c>
      <c r="N520" s="285"/>
      <c r="O520" s="331">
        <f t="shared" si="74"/>
        <v>66586</v>
      </c>
      <c r="Q520" s="332"/>
      <c r="R520" s="332"/>
      <c r="S520" s="332"/>
      <c r="T520" s="190">
        <f t="shared" si="75"/>
        <v>1.0159651669085612E-2</v>
      </c>
    </row>
    <row r="521" spans="1:20" s="329" customFormat="1">
      <c r="A521" s="185" t="s">
        <v>306</v>
      </c>
      <c r="B521" s="161"/>
      <c r="C521" s="278">
        <v>7297.4311075293599</v>
      </c>
      <c r="D521" s="245"/>
      <c r="E521" s="278">
        <f t="shared" si="70"/>
        <v>7025</v>
      </c>
      <c r="F521" s="245"/>
      <c r="G521" s="187">
        <v>6.45</v>
      </c>
      <c r="H521" s="285"/>
      <c r="I521" s="331">
        <f t="shared" si="71"/>
        <v>47068</v>
      </c>
      <c r="J521" s="245"/>
      <c r="K521" s="331">
        <f t="shared" si="72"/>
        <v>45311</v>
      </c>
      <c r="L521" s="245"/>
      <c r="M521" s="187">
        <f t="shared" si="73"/>
        <v>6.52</v>
      </c>
      <c r="N521" s="285"/>
      <c r="O521" s="331">
        <f t="shared" si="74"/>
        <v>45803</v>
      </c>
      <c r="Q521" s="332"/>
      <c r="R521" s="332"/>
      <c r="S521" s="332"/>
      <c r="T521" s="190">
        <f t="shared" si="75"/>
        <v>1.0852713178294504E-2</v>
      </c>
    </row>
    <row r="522" spans="1:20" s="329" customFormat="1">
      <c r="A522" s="185" t="s">
        <v>324</v>
      </c>
      <c r="B522" s="161"/>
      <c r="C522" s="278">
        <v>0</v>
      </c>
      <c r="D522" s="245"/>
      <c r="E522" s="278">
        <f t="shared" si="70"/>
        <v>0</v>
      </c>
      <c r="F522" s="245"/>
      <c r="G522" s="187">
        <v>5.48</v>
      </c>
      <c r="H522" s="285"/>
      <c r="I522" s="331">
        <f t="shared" si="71"/>
        <v>0</v>
      </c>
      <c r="J522" s="245"/>
      <c r="K522" s="331">
        <f t="shared" si="72"/>
        <v>0</v>
      </c>
      <c r="L522" s="245"/>
      <c r="M522" s="187">
        <f t="shared" si="73"/>
        <v>5.54</v>
      </c>
      <c r="N522" s="285"/>
      <c r="O522" s="331">
        <f t="shared" si="74"/>
        <v>0</v>
      </c>
      <c r="Q522" s="332"/>
      <c r="R522" s="332"/>
      <c r="S522" s="332"/>
      <c r="T522" s="190">
        <f t="shared" si="75"/>
        <v>1.0948905109488871E-2</v>
      </c>
    </row>
    <row r="523" spans="1:20" s="329" customFormat="1">
      <c r="A523" s="185" t="s">
        <v>325</v>
      </c>
      <c r="B523" s="161"/>
      <c r="C523" s="278">
        <v>1622.2109461689399</v>
      </c>
      <c r="D523" s="245"/>
      <c r="E523" s="278">
        <f t="shared" si="70"/>
        <v>1562</v>
      </c>
      <c r="F523" s="245"/>
      <c r="G523" s="187">
        <v>8.18</v>
      </c>
      <c r="H523" s="285"/>
      <c r="I523" s="331">
        <f t="shared" si="71"/>
        <v>13270</v>
      </c>
      <c r="J523" s="245"/>
      <c r="K523" s="331">
        <f t="shared" si="72"/>
        <v>12777</v>
      </c>
      <c r="L523" s="245"/>
      <c r="M523" s="187">
        <f t="shared" si="73"/>
        <v>8.27</v>
      </c>
      <c r="N523" s="285"/>
      <c r="O523" s="331">
        <f t="shared" si="74"/>
        <v>12918</v>
      </c>
      <c r="Q523" s="332"/>
      <c r="R523" s="332"/>
      <c r="S523" s="332"/>
      <c r="T523" s="190">
        <f t="shared" si="75"/>
        <v>1.1002444987775029E-2</v>
      </c>
    </row>
    <row r="524" spans="1:20" s="329" customFormat="1">
      <c r="A524" s="185" t="s">
        <v>326</v>
      </c>
      <c r="B524" s="161"/>
      <c r="C524" s="278">
        <v>13.4660390529376</v>
      </c>
      <c r="D524" s="245"/>
      <c r="E524" s="278">
        <f t="shared" si="70"/>
        <v>13</v>
      </c>
      <c r="F524" s="245"/>
      <c r="G524" s="187">
        <v>8.17</v>
      </c>
      <c r="H524" s="285"/>
      <c r="I524" s="331">
        <f t="shared" si="71"/>
        <v>110</v>
      </c>
      <c r="J524" s="245"/>
      <c r="K524" s="331">
        <f t="shared" si="72"/>
        <v>106</v>
      </c>
      <c r="L524" s="245"/>
      <c r="M524" s="187">
        <f t="shared" si="73"/>
        <v>8.26</v>
      </c>
      <c r="N524" s="285"/>
      <c r="O524" s="331">
        <f t="shared" si="74"/>
        <v>107</v>
      </c>
      <c r="Q524" s="332"/>
      <c r="R524" s="332"/>
      <c r="S524" s="332"/>
      <c r="T524" s="190">
        <f t="shared" si="75"/>
        <v>1.1015911872704898E-2</v>
      </c>
    </row>
    <row r="525" spans="1:20" s="329" customFormat="1">
      <c r="A525" s="185" t="s">
        <v>307</v>
      </c>
      <c r="B525" s="161"/>
      <c r="C525" s="278">
        <v>6887.5549799883802</v>
      </c>
      <c r="D525" s="245"/>
      <c r="E525" s="278">
        <f t="shared" si="70"/>
        <v>6630</v>
      </c>
      <c r="F525" s="245"/>
      <c r="G525" s="187">
        <v>9.49</v>
      </c>
      <c r="H525" s="285"/>
      <c r="I525" s="331">
        <f t="shared" si="71"/>
        <v>65363</v>
      </c>
      <c r="J525" s="245"/>
      <c r="K525" s="331">
        <f t="shared" si="72"/>
        <v>62919</v>
      </c>
      <c r="L525" s="245"/>
      <c r="M525" s="187">
        <f t="shared" si="73"/>
        <v>9.59</v>
      </c>
      <c r="N525" s="285"/>
      <c r="O525" s="331">
        <f t="shared" si="74"/>
        <v>63582</v>
      </c>
      <c r="Q525" s="332"/>
      <c r="R525" s="332"/>
      <c r="S525" s="332"/>
      <c r="T525" s="190">
        <f t="shared" si="75"/>
        <v>1.0537407797681642E-2</v>
      </c>
    </row>
    <row r="526" spans="1:20" s="329" customFormat="1">
      <c r="A526" s="185" t="s">
        <v>327</v>
      </c>
      <c r="B526" s="161"/>
      <c r="C526" s="278">
        <v>0</v>
      </c>
      <c r="D526" s="245"/>
      <c r="E526" s="278">
        <f t="shared" si="70"/>
        <v>0</v>
      </c>
      <c r="F526" s="245"/>
      <c r="G526" s="187">
        <v>8.07</v>
      </c>
      <c r="H526" s="285"/>
      <c r="I526" s="331">
        <f t="shared" si="71"/>
        <v>0</v>
      </c>
      <c r="J526" s="245"/>
      <c r="K526" s="331">
        <f t="shared" si="72"/>
        <v>0</v>
      </c>
      <c r="L526" s="245"/>
      <c r="M526" s="187">
        <f t="shared" si="73"/>
        <v>8.16</v>
      </c>
      <c r="N526" s="285"/>
      <c r="O526" s="331">
        <f t="shared" si="74"/>
        <v>0</v>
      </c>
      <c r="Q526" s="332"/>
      <c r="R526" s="332"/>
      <c r="S526" s="332"/>
      <c r="T526" s="190">
        <f t="shared" si="75"/>
        <v>1.1152416356877248E-2</v>
      </c>
    </row>
    <row r="527" spans="1:20" s="329" customFormat="1">
      <c r="A527" s="185" t="s">
        <v>328</v>
      </c>
      <c r="B527" s="161"/>
      <c r="C527" s="278">
        <v>164.431745123616</v>
      </c>
      <c r="D527" s="245"/>
      <c r="E527" s="278">
        <f t="shared" si="70"/>
        <v>158</v>
      </c>
      <c r="F527" s="245"/>
      <c r="G527" s="187">
        <v>11.81</v>
      </c>
      <c r="H527" s="285"/>
      <c r="I527" s="331">
        <f t="shared" si="71"/>
        <v>1942</v>
      </c>
      <c r="J527" s="245"/>
      <c r="K527" s="331">
        <f t="shared" si="72"/>
        <v>1866</v>
      </c>
      <c r="L527" s="245"/>
      <c r="M527" s="187">
        <f t="shared" si="73"/>
        <v>11.93</v>
      </c>
      <c r="N527" s="285"/>
      <c r="O527" s="331">
        <f t="shared" si="74"/>
        <v>1885</v>
      </c>
      <c r="Q527" s="332"/>
      <c r="R527" s="332"/>
      <c r="S527" s="332"/>
      <c r="T527" s="190">
        <f t="shared" si="75"/>
        <v>1.01608806096527E-2</v>
      </c>
    </row>
    <row r="528" spans="1:20" s="329" customFormat="1">
      <c r="A528" s="185" t="s">
        <v>308</v>
      </c>
      <c r="B528" s="161"/>
      <c r="C528" s="278">
        <v>10605.1996026384</v>
      </c>
      <c r="D528" s="245"/>
      <c r="E528" s="278">
        <f t="shared" si="70"/>
        <v>10209</v>
      </c>
      <c r="F528" s="245"/>
      <c r="G528" s="187">
        <v>13.85</v>
      </c>
      <c r="H528" s="285"/>
      <c r="I528" s="331">
        <f t="shared" si="71"/>
        <v>146882</v>
      </c>
      <c r="J528" s="245"/>
      <c r="K528" s="331">
        <f t="shared" si="72"/>
        <v>141395</v>
      </c>
      <c r="L528" s="245"/>
      <c r="M528" s="187">
        <f t="shared" si="73"/>
        <v>14</v>
      </c>
      <c r="N528" s="285"/>
      <c r="O528" s="331">
        <f t="shared" si="74"/>
        <v>142926</v>
      </c>
      <c r="Q528" s="332"/>
      <c r="R528" s="332"/>
      <c r="S528" s="332"/>
      <c r="T528" s="190">
        <f t="shared" si="75"/>
        <v>1.0830324909747224E-2</v>
      </c>
    </row>
    <row r="529" spans="1:20" s="329" customFormat="1">
      <c r="A529" s="220" t="s">
        <v>329</v>
      </c>
      <c r="B529" s="245"/>
      <c r="C529" s="278">
        <v>0</v>
      </c>
      <c r="D529" s="245"/>
      <c r="E529" s="278">
        <f t="shared" si="70"/>
        <v>0</v>
      </c>
      <c r="F529" s="245"/>
      <c r="G529" s="285">
        <v>11.77</v>
      </c>
      <c r="H529" s="285"/>
      <c r="I529" s="331">
        <f t="shared" si="71"/>
        <v>0</v>
      </c>
      <c r="J529" s="245"/>
      <c r="K529" s="331">
        <f t="shared" si="72"/>
        <v>0</v>
      </c>
      <c r="L529" s="245"/>
      <c r="M529" s="285">
        <f t="shared" si="73"/>
        <v>11.89</v>
      </c>
      <c r="N529" s="285"/>
      <c r="O529" s="330">
        <f t="shared" si="74"/>
        <v>0</v>
      </c>
      <c r="Q529" s="332"/>
      <c r="R529" s="332"/>
      <c r="S529" s="332"/>
      <c r="T529" s="190">
        <f t="shared" si="75"/>
        <v>1.0195412064571086E-2</v>
      </c>
    </row>
    <row r="530" spans="1:20" s="329" customFormat="1">
      <c r="A530" s="185" t="s">
        <v>330</v>
      </c>
      <c r="B530" s="161"/>
      <c r="C530" s="278">
        <v>284.31428571428597</v>
      </c>
      <c r="D530" s="245"/>
      <c r="E530" s="278">
        <f t="shared" si="70"/>
        <v>274</v>
      </c>
      <c r="F530" s="245"/>
      <c r="G530" s="187">
        <v>15.4</v>
      </c>
      <c r="H530" s="285"/>
      <c r="I530" s="331">
        <f t="shared" si="71"/>
        <v>4378</v>
      </c>
      <c r="J530" s="245"/>
      <c r="K530" s="331">
        <f t="shared" si="72"/>
        <v>4220</v>
      </c>
      <c r="L530" s="245"/>
      <c r="M530" s="187">
        <f t="shared" si="73"/>
        <v>15.56</v>
      </c>
      <c r="N530" s="285"/>
      <c r="O530" s="331">
        <f t="shared" si="74"/>
        <v>4263</v>
      </c>
      <c r="Q530" s="332"/>
      <c r="R530" s="332"/>
      <c r="S530" s="332"/>
      <c r="T530" s="190">
        <f t="shared" si="75"/>
        <v>1.0389610389610393E-2</v>
      </c>
    </row>
    <row r="531" spans="1:20" s="329" customFormat="1">
      <c r="A531" s="185" t="s">
        <v>273</v>
      </c>
      <c r="B531" s="161"/>
      <c r="C531" s="278">
        <v>0</v>
      </c>
      <c r="D531" s="245"/>
      <c r="E531" s="221">
        <f t="shared" si="70"/>
        <v>0</v>
      </c>
      <c r="F531" s="245"/>
      <c r="G531" s="285">
        <v>26.1</v>
      </c>
      <c r="H531" s="285"/>
      <c r="I531" s="331">
        <f t="shared" si="71"/>
        <v>0</v>
      </c>
      <c r="J531" s="245"/>
      <c r="K531" s="331">
        <f t="shared" si="72"/>
        <v>0</v>
      </c>
      <c r="L531" s="245"/>
      <c r="M531" s="285">
        <f t="shared" si="73"/>
        <v>26.38</v>
      </c>
      <c r="N531" s="285"/>
      <c r="O531" s="330">
        <f t="shared" si="74"/>
        <v>0</v>
      </c>
      <c r="Q531" s="332"/>
      <c r="R531" s="332"/>
      <c r="S531" s="332"/>
      <c r="T531" s="190">
        <f t="shared" si="75"/>
        <v>1.0727969348658828E-2</v>
      </c>
    </row>
    <row r="532" spans="1:20" s="329" customFormat="1">
      <c r="A532" s="295" t="s">
        <v>274</v>
      </c>
      <c r="B532" s="161"/>
      <c r="C532" s="278"/>
      <c r="D532" s="245"/>
      <c r="E532" s="278"/>
      <c r="F532" s="245"/>
      <c r="G532" s="187"/>
      <c r="H532" s="285"/>
      <c r="I532" s="161"/>
      <c r="J532" s="245"/>
      <c r="K532" s="161"/>
      <c r="L532" s="245"/>
      <c r="M532" s="187"/>
      <c r="N532" s="285"/>
      <c r="O532" s="161"/>
      <c r="Q532" s="332"/>
      <c r="R532" s="332"/>
      <c r="S532" s="332"/>
    </row>
    <row r="533" spans="1:20" s="329" customFormat="1">
      <c r="A533" s="185" t="s">
        <v>331</v>
      </c>
      <c r="B533" s="161"/>
      <c r="C533" s="278">
        <v>421.96039603960401</v>
      </c>
      <c r="D533" s="245"/>
      <c r="E533" s="278">
        <f t="shared" ref="E533:E540" si="76">ROUND(C533*$E$544/$C$544,0)</f>
        <v>406</v>
      </c>
      <c r="F533" s="245"/>
      <c r="G533" s="187">
        <v>9.09</v>
      </c>
      <c r="H533" s="285"/>
      <c r="I533" s="331">
        <f t="shared" ref="I533:I540" si="77">ROUND(C533*$G533,0)</f>
        <v>3836</v>
      </c>
      <c r="J533" s="245"/>
      <c r="K533" s="331">
        <f t="shared" ref="K533:K540" si="78">ROUND(E533*$G533,0)</f>
        <v>3691</v>
      </c>
      <c r="L533" s="245"/>
      <c r="M533" s="187">
        <f t="shared" ref="M533:M540" si="79">ROUND(G533*(1+$R$495),2)</f>
        <v>9.19</v>
      </c>
      <c r="N533" s="285"/>
      <c r="O533" s="331">
        <f t="shared" ref="O533:O540" si="80">ROUND(E533*M533,0)</f>
        <v>3731</v>
      </c>
      <c r="Q533" s="332"/>
      <c r="R533" s="332"/>
      <c r="S533" s="332"/>
      <c r="T533" s="190">
        <f t="shared" ref="T533:T540" si="81">M533/G533-1</f>
        <v>1.1001100110010986E-2</v>
      </c>
    </row>
    <row r="534" spans="1:20" s="329" customFormat="1">
      <c r="A534" s="185" t="s">
        <v>310</v>
      </c>
      <c r="B534" s="161"/>
      <c r="C534" s="278">
        <v>899.36723434183</v>
      </c>
      <c r="D534" s="245"/>
      <c r="E534" s="278">
        <f t="shared" si="76"/>
        <v>866</v>
      </c>
      <c r="F534" s="245"/>
      <c r="G534" s="187">
        <v>13.43</v>
      </c>
      <c r="H534" s="285"/>
      <c r="I534" s="331">
        <f t="shared" si="77"/>
        <v>12079</v>
      </c>
      <c r="J534" s="245"/>
      <c r="K534" s="331">
        <f t="shared" si="78"/>
        <v>11630</v>
      </c>
      <c r="L534" s="245"/>
      <c r="M534" s="187">
        <f t="shared" si="79"/>
        <v>13.57</v>
      </c>
      <c r="N534" s="285"/>
      <c r="O534" s="331">
        <f t="shared" si="80"/>
        <v>11752</v>
      </c>
      <c r="Q534" s="332"/>
      <c r="R534" s="332"/>
      <c r="S534" s="332"/>
      <c r="T534" s="190">
        <f t="shared" si="81"/>
        <v>1.0424422933730471E-2</v>
      </c>
    </row>
    <row r="535" spans="1:20" s="329" customFormat="1">
      <c r="A535" s="185" t="s">
        <v>332</v>
      </c>
      <c r="B535" s="161"/>
      <c r="C535" s="278">
        <v>0</v>
      </c>
      <c r="D535" s="245"/>
      <c r="E535" s="278">
        <f t="shared" si="76"/>
        <v>0</v>
      </c>
      <c r="F535" s="245"/>
      <c r="G535" s="187">
        <v>11.42</v>
      </c>
      <c r="H535" s="285"/>
      <c r="I535" s="331">
        <f t="shared" si="77"/>
        <v>0</v>
      </c>
      <c r="J535" s="245"/>
      <c r="K535" s="331">
        <f t="shared" si="78"/>
        <v>0</v>
      </c>
      <c r="L535" s="245"/>
      <c r="M535" s="187">
        <f t="shared" si="79"/>
        <v>11.54</v>
      </c>
      <c r="N535" s="285"/>
      <c r="O535" s="331">
        <f t="shared" si="80"/>
        <v>0</v>
      </c>
      <c r="Q535" s="332"/>
      <c r="R535" s="332"/>
      <c r="S535" s="332"/>
      <c r="T535" s="190">
        <f t="shared" si="81"/>
        <v>1.0507880910682887E-2</v>
      </c>
    </row>
    <row r="536" spans="1:20" s="329" customFormat="1">
      <c r="A536" s="185" t="s">
        <v>333</v>
      </c>
      <c r="B536" s="161"/>
      <c r="C536" s="278">
        <v>2785.1370778430201</v>
      </c>
      <c r="D536" s="245"/>
      <c r="E536" s="278">
        <f t="shared" si="76"/>
        <v>2681</v>
      </c>
      <c r="F536" s="245"/>
      <c r="G536" s="187">
        <v>10.97</v>
      </c>
      <c r="H536" s="285"/>
      <c r="I536" s="331">
        <f t="shared" si="77"/>
        <v>30553</v>
      </c>
      <c r="J536" s="245"/>
      <c r="K536" s="331">
        <f t="shared" si="78"/>
        <v>29411</v>
      </c>
      <c r="L536" s="245"/>
      <c r="M536" s="187">
        <f t="shared" si="79"/>
        <v>11.09</v>
      </c>
      <c r="N536" s="285"/>
      <c r="O536" s="331">
        <f t="shared" si="80"/>
        <v>29732</v>
      </c>
      <c r="Q536" s="332"/>
      <c r="R536" s="332"/>
      <c r="S536" s="332"/>
      <c r="T536" s="190">
        <f t="shared" si="81"/>
        <v>1.0938924339106482E-2</v>
      </c>
    </row>
    <row r="537" spans="1:20" s="329" customFormat="1">
      <c r="A537" s="185" t="s">
        <v>311</v>
      </c>
      <c r="B537" s="161"/>
      <c r="C537" s="278">
        <v>486.40825350036801</v>
      </c>
      <c r="D537" s="245"/>
      <c r="E537" s="278">
        <f t="shared" si="76"/>
        <v>468</v>
      </c>
      <c r="F537" s="245"/>
      <c r="G537" s="187">
        <v>13.57</v>
      </c>
      <c r="H537" s="285"/>
      <c r="I537" s="331">
        <f t="shared" si="77"/>
        <v>6601</v>
      </c>
      <c r="J537" s="245"/>
      <c r="K537" s="331">
        <f t="shared" si="78"/>
        <v>6351</v>
      </c>
      <c r="L537" s="245"/>
      <c r="M537" s="187">
        <f t="shared" si="79"/>
        <v>13.71</v>
      </c>
      <c r="N537" s="285"/>
      <c r="O537" s="331">
        <f t="shared" si="80"/>
        <v>6416</v>
      </c>
      <c r="Q537" s="332"/>
      <c r="R537" s="332"/>
      <c r="S537" s="332"/>
      <c r="T537" s="190">
        <f t="shared" si="81"/>
        <v>1.0316875460574915E-2</v>
      </c>
    </row>
    <row r="538" spans="1:20" s="329" customFormat="1">
      <c r="A538" s="185" t="s">
        <v>334</v>
      </c>
      <c r="B538" s="161"/>
      <c r="C538" s="278">
        <v>5044.0212109928698</v>
      </c>
      <c r="D538" s="245"/>
      <c r="E538" s="278">
        <f t="shared" si="76"/>
        <v>4856</v>
      </c>
      <c r="F538" s="245"/>
      <c r="G538" s="187">
        <v>13.98</v>
      </c>
      <c r="H538" s="285"/>
      <c r="I538" s="331">
        <f t="shared" si="77"/>
        <v>70515</v>
      </c>
      <c r="J538" s="245"/>
      <c r="K538" s="331">
        <f t="shared" si="78"/>
        <v>67887</v>
      </c>
      <c r="L538" s="245"/>
      <c r="M538" s="187">
        <f t="shared" si="79"/>
        <v>14.13</v>
      </c>
      <c r="N538" s="285"/>
      <c r="O538" s="331">
        <f t="shared" si="80"/>
        <v>68615</v>
      </c>
      <c r="Q538" s="332"/>
      <c r="R538" s="332"/>
      <c r="S538" s="332"/>
      <c r="T538" s="190">
        <f t="shared" si="81"/>
        <v>1.0729613733905685E-2</v>
      </c>
    </row>
    <row r="539" spans="1:20" s="329" customFormat="1">
      <c r="A539" s="185" t="s">
        <v>312</v>
      </c>
      <c r="B539" s="161"/>
      <c r="C539" s="278">
        <v>500.49861399861402</v>
      </c>
      <c r="D539" s="245"/>
      <c r="E539" s="278">
        <f t="shared" si="76"/>
        <v>482</v>
      </c>
      <c r="F539" s="245"/>
      <c r="G539" s="187">
        <v>14.43</v>
      </c>
      <c r="H539" s="285"/>
      <c r="I539" s="331">
        <f t="shared" si="77"/>
        <v>7222</v>
      </c>
      <c r="J539" s="245"/>
      <c r="K539" s="331">
        <f t="shared" si="78"/>
        <v>6955</v>
      </c>
      <c r="L539" s="245"/>
      <c r="M539" s="187">
        <f t="shared" si="79"/>
        <v>14.58</v>
      </c>
      <c r="N539" s="285"/>
      <c r="O539" s="331">
        <f t="shared" si="80"/>
        <v>7028</v>
      </c>
      <c r="Q539" s="332"/>
      <c r="R539" s="332"/>
      <c r="S539" s="332"/>
      <c r="T539" s="190">
        <f t="shared" si="81"/>
        <v>1.039501039501034E-2</v>
      </c>
    </row>
    <row r="540" spans="1:20" s="329" customFormat="1">
      <c r="A540" s="185" t="s">
        <v>335</v>
      </c>
      <c r="B540" s="161"/>
      <c r="C540" s="278">
        <v>461.946222791293</v>
      </c>
      <c r="D540" s="245"/>
      <c r="E540" s="221">
        <f t="shared" si="76"/>
        <v>445</v>
      </c>
      <c r="F540" s="245"/>
      <c r="G540" s="285">
        <v>15.62</v>
      </c>
      <c r="H540" s="285"/>
      <c r="I540" s="331">
        <f t="shared" si="77"/>
        <v>7216</v>
      </c>
      <c r="J540" s="245"/>
      <c r="K540" s="331">
        <f t="shared" si="78"/>
        <v>6951</v>
      </c>
      <c r="L540" s="245"/>
      <c r="M540" s="285">
        <f t="shared" si="79"/>
        <v>15.79</v>
      </c>
      <c r="N540" s="285"/>
      <c r="O540" s="330">
        <f t="shared" si="80"/>
        <v>7027</v>
      </c>
      <c r="Q540" s="332"/>
      <c r="R540" s="332"/>
      <c r="S540" s="332"/>
      <c r="T540" s="190">
        <f t="shared" si="81"/>
        <v>1.0883482714468595E-2</v>
      </c>
    </row>
    <row r="541" spans="1:20" s="329" customFormat="1">
      <c r="A541" s="295" t="s">
        <v>336</v>
      </c>
      <c r="B541" s="161"/>
      <c r="C541" s="278"/>
      <c r="D541" s="245"/>
      <c r="E541" s="278"/>
      <c r="F541" s="245"/>
      <c r="G541" s="187"/>
      <c r="H541" s="285"/>
      <c r="I541" s="331"/>
      <c r="J541" s="245"/>
      <c r="K541" s="331"/>
      <c r="L541" s="245"/>
      <c r="M541" s="187"/>
      <c r="N541" s="285"/>
      <c r="O541" s="331"/>
      <c r="Q541" s="332"/>
      <c r="R541" s="332"/>
      <c r="S541" s="332"/>
    </row>
    <row r="542" spans="1:20" s="329" customFormat="1">
      <c r="A542" s="185" t="s">
        <v>337</v>
      </c>
      <c r="B542" s="161"/>
      <c r="C542" s="278">
        <v>12</v>
      </c>
      <c r="D542" s="245"/>
      <c r="E542" s="278">
        <f>ROUND(C542*$E$544/$C$544,0)</f>
        <v>12</v>
      </c>
      <c r="F542" s="245"/>
      <c r="G542" s="187">
        <v>3.71</v>
      </c>
      <c r="H542" s="285"/>
      <c r="I542" s="331">
        <f>ROUND(C542*$G542,0)</f>
        <v>45</v>
      </c>
      <c r="J542" s="245"/>
      <c r="K542" s="331">
        <f>ROUND(E542*$G542,0)</f>
        <v>45</v>
      </c>
      <c r="L542" s="245"/>
      <c r="M542" s="187">
        <f>ROUND(G542*(1+$R$495),2)</f>
        <v>3.75</v>
      </c>
      <c r="N542" s="285"/>
      <c r="O542" s="331">
        <f>ROUND(E542*M542,0)</f>
        <v>45</v>
      </c>
      <c r="Q542" s="332"/>
      <c r="R542" s="332"/>
      <c r="S542" s="332"/>
      <c r="T542" s="190">
        <f>M542/G542-1</f>
        <v>1.0781671159029615E-2</v>
      </c>
    </row>
    <row r="543" spans="1:20" s="329" customFormat="1">
      <c r="A543" s="185" t="s">
        <v>338</v>
      </c>
      <c r="B543" s="161"/>
      <c r="C543" s="278">
        <v>84.000064540098506</v>
      </c>
      <c r="D543" s="245"/>
      <c r="E543" s="278">
        <f>ROUND(C543*$E$544/$C$544,0)</f>
        <v>81</v>
      </c>
      <c r="F543" s="245"/>
      <c r="G543" s="187">
        <v>13.77</v>
      </c>
      <c r="H543" s="285"/>
      <c r="I543" s="331">
        <f>ROUND(C543*$G543,0)</f>
        <v>1157</v>
      </c>
      <c r="J543" s="245"/>
      <c r="K543" s="331">
        <f>ROUND(E543*$G543,0)</f>
        <v>1115</v>
      </c>
      <c r="L543" s="245"/>
      <c r="M543" s="187">
        <f>ROUND(G543*(1+$R$495),2)</f>
        <v>13.92</v>
      </c>
      <c r="N543" s="285"/>
      <c r="O543" s="331">
        <f>ROUND(E543*M543,0)</f>
        <v>1128</v>
      </c>
      <c r="Q543" s="332"/>
      <c r="R543" s="332"/>
      <c r="S543" s="332"/>
      <c r="T543" s="190">
        <f>M543/G543-1</f>
        <v>1.089324618736387E-2</v>
      </c>
    </row>
    <row r="544" spans="1:20" s="329" customFormat="1">
      <c r="A544" s="295" t="s">
        <v>314</v>
      </c>
      <c r="B544" s="161"/>
      <c r="C544" s="191">
        <v>5984316.1071743211</v>
      </c>
      <c r="D544" s="245"/>
      <c r="E544" s="221">
        <f>ROUND(C544*$E$574/$C$574,0)</f>
        <v>5760859</v>
      </c>
      <c r="F544" s="245"/>
      <c r="G544" s="187"/>
      <c r="H544" s="346"/>
      <c r="I544" s="330">
        <f>SUM(I507:I543)</f>
        <v>743500</v>
      </c>
      <c r="J544" s="245"/>
      <c r="K544" s="330">
        <f>SUM(K507:K543)</f>
        <v>715766</v>
      </c>
      <c r="L544" s="245"/>
      <c r="M544" s="345"/>
      <c r="N544" s="285"/>
      <c r="O544" s="330">
        <f>SUM(O507:O543)</f>
        <v>723331</v>
      </c>
      <c r="Q544" s="332"/>
      <c r="R544" s="332"/>
      <c r="S544" s="332"/>
    </row>
    <row r="545" spans="1:20" s="329" customFormat="1">
      <c r="A545" s="295" t="s">
        <v>216</v>
      </c>
      <c r="B545" s="161"/>
      <c r="C545" s="191">
        <v>64342</v>
      </c>
      <c r="D545" s="245"/>
      <c r="E545" s="221"/>
      <c r="F545" s="245"/>
      <c r="G545" s="187"/>
      <c r="H545" s="346"/>
      <c r="I545" s="330">
        <v>5589</v>
      </c>
      <c r="J545" s="245"/>
      <c r="K545" s="330"/>
      <c r="L545" s="245"/>
      <c r="M545" s="345"/>
      <c r="N545" s="285"/>
      <c r="O545" s="330"/>
      <c r="Q545" s="332"/>
      <c r="R545" s="332"/>
      <c r="S545" s="332"/>
    </row>
    <row r="546" spans="1:20" s="329" customFormat="1">
      <c r="A546" s="295" t="s">
        <v>300</v>
      </c>
      <c r="B546" s="161"/>
      <c r="C546" s="191">
        <f>SUM(C544:C545)</f>
        <v>6048658.1071743211</v>
      </c>
      <c r="D546" s="245"/>
      <c r="E546" s="221"/>
      <c r="F546" s="245"/>
      <c r="G546" s="187"/>
      <c r="H546" s="346"/>
      <c r="I546" s="330">
        <f>SUM(I544:I545)</f>
        <v>749089</v>
      </c>
      <c r="J546" s="245"/>
      <c r="K546" s="330">
        <f>SUM(K544:K545)</f>
        <v>715766</v>
      </c>
      <c r="L546" s="245"/>
      <c r="M546" s="345"/>
      <c r="N546" s="285"/>
      <c r="O546" s="330">
        <f>SUM(O544:O545)</f>
        <v>723331</v>
      </c>
      <c r="Q546" s="332"/>
      <c r="R546" s="332"/>
      <c r="S546" s="332"/>
    </row>
    <row r="547" spans="1:20" s="329" customFormat="1">
      <c r="A547" s="347" t="s">
        <v>339</v>
      </c>
      <c r="B547" s="161"/>
      <c r="C547" s="278"/>
      <c r="D547" s="245"/>
      <c r="E547" s="278"/>
      <c r="F547" s="245"/>
      <c r="G547" s="187"/>
      <c r="H547" s="285"/>
      <c r="I547" s="161"/>
      <c r="J547" s="245"/>
      <c r="K547" s="161"/>
      <c r="L547" s="245"/>
      <c r="M547" s="187"/>
      <c r="N547" s="285"/>
      <c r="O547" s="161"/>
      <c r="Q547" s="332"/>
      <c r="R547" s="332"/>
      <c r="S547" s="332"/>
    </row>
    <row r="548" spans="1:20" s="329" customFormat="1">
      <c r="A548" s="295" t="s">
        <v>316</v>
      </c>
      <c r="B548" s="161"/>
      <c r="C548" s="278"/>
      <c r="D548" s="245"/>
      <c r="E548" s="278"/>
      <c r="F548" s="245"/>
      <c r="G548" s="187"/>
      <c r="H548" s="285"/>
      <c r="I548" s="331"/>
      <c r="J548" s="245"/>
      <c r="K548" s="331"/>
      <c r="L548" s="245"/>
      <c r="M548" s="187"/>
      <c r="N548" s="285"/>
      <c r="O548" s="331"/>
      <c r="Q548" s="332"/>
      <c r="R548" s="332"/>
      <c r="S548" s="332"/>
    </row>
    <row r="549" spans="1:20" s="329" customFormat="1">
      <c r="A549" s="185" t="s">
        <v>294</v>
      </c>
      <c r="B549" s="161"/>
      <c r="C549" s="278">
        <v>64.133266818700093</v>
      </c>
      <c r="D549" s="245"/>
      <c r="E549" s="278">
        <f>ROUND(C549*$E$570/$C$570,0)</f>
        <v>62</v>
      </c>
      <c r="F549" s="245"/>
      <c r="G549" s="187">
        <v>17.54</v>
      </c>
      <c r="H549" s="285"/>
      <c r="I549" s="331">
        <f>ROUND(C549*$G549,0)</f>
        <v>1125</v>
      </c>
      <c r="J549" s="245"/>
      <c r="K549" s="331">
        <f>ROUND(E549*$G549,0)</f>
        <v>1087</v>
      </c>
      <c r="L549" s="245"/>
      <c r="M549" s="187">
        <f>ROUND(G549*(1+$R$495),2)</f>
        <v>17.73</v>
      </c>
      <c r="N549" s="285"/>
      <c r="O549" s="331">
        <f>ROUND(E549*M549,0)</f>
        <v>1099</v>
      </c>
      <c r="Q549" s="332"/>
      <c r="R549" s="332"/>
      <c r="S549" s="332"/>
      <c r="T549" s="190">
        <f>M549/G549-1</f>
        <v>1.0832383124287359E-2</v>
      </c>
    </row>
    <row r="550" spans="1:20" s="329" customFormat="1">
      <c r="A550" s="185" t="s">
        <v>288</v>
      </c>
      <c r="B550" s="161"/>
      <c r="C550" s="278">
        <v>12</v>
      </c>
      <c r="D550" s="245"/>
      <c r="E550" s="278">
        <f>ROUND(C550*$E$570/$C$570,0)</f>
        <v>12</v>
      </c>
      <c r="F550" s="245"/>
      <c r="G550" s="187">
        <v>23.16</v>
      </c>
      <c r="H550" s="285"/>
      <c r="I550" s="331">
        <f>ROUND(C550*$G550,0)</f>
        <v>278</v>
      </c>
      <c r="J550" s="245"/>
      <c r="K550" s="331">
        <f>ROUND(E550*$G550,0)</f>
        <v>278</v>
      </c>
      <c r="L550" s="245"/>
      <c r="M550" s="187">
        <f>ROUND(G550*(1+$R$495),2)</f>
        <v>23.4</v>
      </c>
      <c r="N550" s="285"/>
      <c r="O550" s="331">
        <f>ROUND(E550*M550,0)</f>
        <v>281</v>
      </c>
      <c r="Q550" s="332"/>
      <c r="R550" s="332"/>
      <c r="S550" s="332"/>
      <c r="T550" s="190">
        <f>M550/G550-1</f>
        <v>1.0362694300518172E-2</v>
      </c>
    </row>
    <row r="551" spans="1:20" s="329" customFormat="1">
      <c r="A551" s="295" t="s">
        <v>319</v>
      </c>
      <c r="B551" s="161"/>
      <c r="C551" s="278"/>
      <c r="D551" s="245"/>
      <c r="E551" s="278"/>
      <c r="F551" s="245"/>
      <c r="G551" s="161"/>
      <c r="H551" s="245"/>
      <c r="I551" s="161"/>
      <c r="J551" s="245"/>
      <c r="K551" s="161"/>
      <c r="L551" s="245"/>
      <c r="M551" s="161"/>
      <c r="N551" s="245"/>
      <c r="O551" s="161"/>
      <c r="Q551" s="332"/>
      <c r="R551" s="332"/>
      <c r="S551" s="332"/>
    </row>
    <row r="552" spans="1:20" s="329" customFormat="1">
      <c r="A552" s="185" t="s">
        <v>189</v>
      </c>
      <c r="B552" s="161"/>
      <c r="C552" s="278">
        <v>69.667560809274804</v>
      </c>
      <c r="D552" s="245"/>
      <c r="E552" s="278">
        <f>ROUND(C552*$E$570/$C$570,0)</f>
        <v>67</v>
      </c>
      <c r="F552" s="245"/>
      <c r="G552" s="187">
        <v>7.95</v>
      </c>
      <c r="H552" s="285"/>
      <c r="I552" s="331">
        <f>ROUND(C552*$G552,0)</f>
        <v>554</v>
      </c>
      <c r="J552" s="245"/>
      <c r="K552" s="331">
        <f>ROUND(E552*$G552,0)</f>
        <v>533</v>
      </c>
      <c r="L552" s="245"/>
      <c r="M552" s="187">
        <f>ROUND(G552*(1+$R$495),2)</f>
        <v>8.0299999999999994</v>
      </c>
      <c r="N552" s="285"/>
      <c r="O552" s="331">
        <f>ROUND(E552*M552,0)</f>
        <v>538</v>
      </c>
      <c r="Q552" s="332"/>
      <c r="R552" s="332"/>
      <c r="S552" s="332"/>
      <c r="T552" s="190">
        <f>M552/G552-1</f>
        <v>1.0062893081761004E-2</v>
      </c>
    </row>
    <row r="553" spans="1:20" s="329" customFormat="1">
      <c r="A553" s="185" t="s">
        <v>191</v>
      </c>
      <c r="B553" s="161"/>
      <c r="C553" s="278">
        <v>20.999956832969598</v>
      </c>
      <c r="D553" s="245"/>
      <c r="E553" s="278">
        <f>ROUND(C553*$E$570/$C$570,0)</f>
        <v>20</v>
      </c>
      <c r="F553" s="245"/>
      <c r="G553" s="187">
        <v>15.14</v>
      </c>
      <c r="H553" s="285"/>
      <c r="I553" s="331">
        <f>ROUND(C553*$G553,0)</f>
        <v>318</v>
      </c>
      <c r="J553" s="245"/>
      <c r="K553" s="331">
        <f>ROUND(E553*$G553,0)</f>
        <v>303</v>
      </c>
      <c r="L553" s="245"/>
      <c r="M553" s="187">
        <f>ROUND(G553*(1+$R$495),2)</f>
        <v>15.3</v>
      </c>
      <c r="N553" s="285"/>
      <c r="O553" s="331">
        <f>ROUND(E553*M553,0)</f>
        <v>306</v>
      </c>
      <c r="Q553" s="332"/>
      <c r="R553" s="332"/>
      <c r="S553" s="332"/>
      <c r="T553" s="190">
        <f>M553/G553-1</f>
        <v>1.0568031704095038E-2</v>
      </c>
    </row>
    <row r="554" spans="1:20" s="329" customFormat="1">
      <c r="A554" s="185" t="s">
        <v>320</v>
      </c>
      <c r="B554" s="161"/>
      <c r="C554" s="221">
        <v>96</v>
      </c>
      <c r="D554" s="245"/>
      <c r="E554" s="278">
        <f>ROUND(C554*$E$570/$C$570,0)</f>
        <v>92</v>
      </c>
      <c r="F554" s="245"/>
      <c r="G554" s="285">
        <v>32.14</v>
      </c>
      <c r="H554" s="285"/>
      <c r="I554" s="331">
        <f>ROUND(C554*$G554,0)</f>
        <v>3085</v>
      </c>
      <c r="J554" s="245"/>
      <c r="K554" s="331">
        <f>ROUND(E554*$G554,0)</f>
        <v>2957</v>
      </c>
      <c r="L554" s="245"/>
      <c r="M554" s="285">
        <f>ROUND(G554*(1+$R$495),2)</f>
        <v>32.479999999999997</v>
      </c>
      <c r="N554" s="285"/>
      <c r="O554" s="330">
        <f>ROUND(E554*M554,0)</f>
        <v>2988</v>
      </c>
      <c r="Q554" s="332"/>
      <c r="R554" s="332"/>
      <c r="S554" s="332"/>
      <c r="T554" s="190">
        <f>M554/G554-1</f>
        <v>1.0578718108276153E-2</v>
      </c>
    </row>
    <row r="555" spans="1:20" s="329" customFormat="1" ht="14.25" customHeight="1">
      <c r="A555" s="295" t="s">
        <v>258</v>
      </c>
      <c r="B555" s="161"/>
      <c r="C555" s="278"/>
      <c r="D555" s="245"/>
      <c r="E555" s="278"/>
      <c r="F555" s="245"/>
      <c r="G555" s="213"/>
      <c r="H555" s="325"/>
      <c r="I555" s="331"/>
      <c r="J555" s="245"/>
      <c r="K555" s="331"/>
      <c r="L555" s="245"/>
      <c r="M555" s="213"/>
      <c r="N555" s="325"/>
      <c r="O555" s="331"/>
      <c r="Q555" s="332"/>
      <c r="R555" s="332"/>
      <c r="S555" s="332"/>
    </row>
    <row r="556" spans="1:20" s="329" customFormat="1">
      <c r="A556" s="185" t="s">
        <v>304</v>
      </c>
      <c r="B556" s="161"/>
      <c r="C556" s="278">
        <v>19022.0115687297</v>
      </c>
      <c r="D556" s="245"/>
      <c r="E556" s="278">
        <f t="shared" ref="E556:E564" si="82">ROUND(C556*$E$570/$C$570,0)</f>
        <v>18312</v>
      </c>
      <c r="F556" s="245"/>
      <c r="G556" s="187">
        <v>4.63</v>
      </c>
      <c r="H556" s="285"/>
      <c r="I556" s="331">
        <f t="shared" ref="I556:I564" si="83">ROUND(C556*$G556,0)</f>
        <v>88072</v>
      </c>
      <c r="J556" s="245"/>
      <c r="K556" s="331">
        <f t="shared" ref="K556:K564" si="84">ROUND(E556*$G556,0)</f>
        <v>84785</v>
      </c>
      <c r="L556" s="245"/>
      <c r="M556" s="187">
        <f t="shared" ref="M556:M564" si="85">ROUND(G556*(1+$R$495),2)</f>
        <v>4.68</v>
      </c>
      <c r="N556" s="285"/>
      <c r="O556" s="331">
        <f t="shared" ref="O556:O564" si="86">ROUND(E556*M556,0)</f>
        <v>85700</v>
      </c>
      <c r="Q556" s="332"/>
      <c r="R556" s="332"/>
      <c r="S556" s="332"/>
      <c r="T556" s="190">
        <f t="shared" ref="T556:T564" si="87">M556/G556-1</f>
        <v>1.0799136069114423E-2</v>
      </c>
    </row>
    <row r="557" spans="1:20" s="329" customFormat="1">
      <c r="A557" s="185" t="s">
        <v>305</v>
      </c>
      <c r="B557" s="161"/>
      <c r="C557" s="278">
        <v>21846.946479558301</v>
      </c>
      <c r="D557" s="245"/>
      <c r="E557" s="278">
        <f t="shared" si="82"/>
        <v>21031</v>
      </c>
      <c r="F557" s="245"/>
      <c r="G557" s="187">
        <v>6.1</v>
      </c>
      <c r="H557" s="285"/>
      <c r="I557" s="331">
        <f t="shared" si="83"/>
        <v>133266</v>
      </c>
      <c r="J557" s="245"/>
      <c r="K557" s="331">
        <f t="shared" si="84"/>
        <v>128289</v>
      </c>
      <c r="L557" s="245"/>
      <c r="M557" s="187">
        <f t="shared" si="85"/>
        <v>6.16</v>
      </c>
      <c r="N557" s="285"/>
      <c r="O557" s="331">
        <f t="shared" si="86"/>
        <v>129551</v>
      </c>
      <c r="Q557" s="332"/>
      <c r="R557" s="332"/>
      <c r="S557" s="332"/>
      <c r="T557" s="190">
        <f t="shared" si="87"/>
        <v>9.8360655737705915E-3</v>
      </c>
    </row>
    <row r="558" spans="1:20" s="329" customFormat="1">
      <c r="A558" s="185" t="s">
        <v>340</v>
      </c>
      <c r="B558" s="161"/>
      <c r="C558" s="278">
        <v>0</v>
      </c>
      <c r="D558" s="245"/>
      <c r="E558" s="278">
        <f t="shared" si="82"/>
        <v>0</v>
      </c>
      <c r="F558" s="245"/>
      <c r="G558" s="187">
        <v>5.49</v>
      </c>
      <c r="H558" s="285"/>
      <c r="I558" s="331">
        <f t="shared" si="83"/>
        <v>0</v>
      </c>
      <c r="J558" s="245"/>
      <c r="K558" s="331">
        <f t="shared" si="84"/>
        <v>0</v>
      </c>
      <c r="L558" s="245"/>
      <c r="M558" s="187">
        <f t="shared" si="85"/>
        <v>5.55</v>
      </c>
      <c r="N558" s="285"/>
      <c r="O558" s="331">
        <f t="shared" si="86"/>
        <v>0</v>
      </c>
      <c r="Q558" s="332"/>
      <c r="R558" s="332"/>
      <c r="S558" s="332"/>
      <c r="T558" s="190">
        <f t="shared" si="87"/>
        <v>1.0928961748633892E-2</v>
      </c>
    </row>
    <row r="559" spans="1:20" s="329" customFormat="1">
      <c r="A559" s="185" t="s">
        <v>306</v>
      </c>
      <c r="B559" s="161"/>
      <c r="C559" s="278">
        <v>5604.8885894802397</v>
      </c>
      <c r="D559" s="245"/>
      <c r="E559" s="278">
        <f t="shared" si="82"/>
        <v>5396</v>
      </c>
      <c r="F559" s="245"/>
      <c r="G559" s="187">
        <v>7.39</v>
      </c>
      <c r="H559" s="285"/>
      <c r="I559" s="331">
        <f t="shared" si="83"/>
        <v>41420</v>
      </c>
      <c r="J559" s="245"/>
      <c r="K559" s="331">
        <f t="shared" si="84"/>
        <v>39876</v>
      </c>
      <c r="L559" s="245"/>
      <c r="M559" s="187">
        <f t="shared" si="85"/>
        <v>7.47</v>
      </c>
      <c r="N559" s="285"/>
      <c r="O559" s="331">
        <f t="shared" si="86"/>
        <v>40308</v>
      </c>
      <c r="Q559" s="332"/>
      <c r="R559" s="332"/>
      <c r="S559" s="332"/>
      <c r="T559" s="190">
        <f t="shared" si="87"/>
        <v>1.0825439783491264E-2</v>
      </c>
    </row>
    <row r="560" spans="1:20" s="329" customFormat="1">
      <c r="A560" s="185" t="s">
        <v>341</v>
      </c>
      <c r="B560" s="161"/>
      <c r="C560" s="278">
        <v>0</v>
      </c>
      <c r="D560" s="245"/>
      <c r="E560" s="278">
        <f t="shared" si="82"/>
        <v>0</v>
      </c>
      <c r="F560" s="245"/>
      <c r="G560" s="187">
        <v>6.65</v>
      </c>
      <c r="H560" s="285"/>
      <c r="I560" s="331">
        <f t="shared" si="83"/>
        <v>0</v>
      </c>
      <c r="J560" s="245"/>
      <c r="K560" s="331">
        <f t="shared" si="84"/>
        <v>0</v>
      </c>
      <c r="L560" s="245"/>
      <c r="M560" s="187">
        <f t="shared" si="85"/>
        <v>6.72</v>
      </c>
      <c r="N560" s="285"/>
      <c r="O560" s="331">
        <f t="shared" si="86"/>
        <v>0</v>
      </c>
      <c r="Q560" s="332"/>
      <c r="R560" s="332"/>
      <c r="S560" s="332"/>
      <c r="T560" s="190">
        <f t="shared" si="87"/>
        <v>1.0526315789473495E-2</v>
      </c>
    </row>
    <row r="561" spans="1:20" s="329" customFormat="1">
      <c r="A561" s="185" t="s">
        <v>199</v>
      </c>
      <c r="B561" s="161"/>
      <c r="C561" s="278">
        <v>8.1670235546038494</v>
      </c>
      <c r="D561" s="245"/>
      <c r="E561" s="278">
        <f t="shared" si="82"/>
        <v>8</v>
      </c>
      <c r="F561" s="245"/>
      <c r="G561" s="187">
        <v>9.34</v>
      </c>
      <c r="H561" s="285"/>
      <c r="I561" s="331">
        <f t="shared" si="83"/>
        <v>76</v>
      </c>
      <c r="J561" s="245"/>
      <c r="K561" s="331">
        <f t="shared" si="84"/>
        <v>75</v>
      </c>
      <c r="L561" s="245"/>
      <c r="M561" s="187">
        <f t="shared" si="85"/>
        <v>9.44</v>
      </c>
      <c r="N561" s="285"/>
      <c r="O561" s="331">
        <f t="shared" si="86"/>
        <v>76</v>
      </c>
      <c r="Q561" s="332"/>
      <c r="R561" s="332"/>
      <c r="S561" s="332"/>
      <c r="T561" s="190">
        <f t="shared" si="87"/>
        <v>1.070663811563155E-2</v>
      </c>
    </row>
    <row r="562" spans="1:20" s="329" customFormat="1">
      <c r="A562" s="185" t="s">
        <v>307</v>
      </c>
      <c r="B562" s="161"/>
      <c r="C562" s="278">
        <v>4117.4329735926603</v>
      </c>
      <c r="D562" s="245"/>
      <c r="E562" s="278">
        <f t="shared" si="82"/>
        <v>3964</v>
      </c>
      <c r="F562" s="245"/>
      <c r="G562" s="187">
        <v>10.88</v>
      </c>
      <c r="H562" s="285"/>
      <c r="I562" s="331">
        <f t="shared" si="83"/>
        <v>44798</v>
      </c>
      <c r="J562" s="245"/>
      <c r="K562" s="331">
        <f t="shared" si="84"/>
        <v>43128</v>
      </c>
      <c r="L562" s="245"/>
      <c r="M562" s="187">
        <f t="shared" si="85"/>
        <v>10.99</v>
      </c>
      <c r="N562" s="285"/>
      <c r="O562" s="331">
        <f t="shared" si="86"/>
        <v>43564</v>
      </c>
      <c r="Q562" s="332"/>
      <c r="R562" s="332"/>
      <c r="S562" s="332"/>
      <c r="T562" s="190">
        <f t="shared" si="87"/>
        <v>1.0110294117646967E-2</v>
      </c>
    </row>
    <row r="563" spans="1:20" s="329" customFormat="1">
      <c r="A563" s="185" t="s">
        <v>308</v>
      </c>
      <c r="B563" s="161"/>
      <c r="C563" s="278">
        <v>3588.1518069993399</v>
      </c>
      <c r="D563" s="245"/>
      <c r="E563" s="278">
        <f t="shared" si="82"/>
        <v>3454</v>
      </c>
      <c r="F563" s="245"/>
      <c r="G563" s="187">
        <v>15.85</v>
      </c>
      <c r="H563" s="285"/>
      <c r="I563" s="331">
        <f t="shared" si="83"/>
        <v>56872</v>
      </c>
      <c r="J563" s="245"/>
      <c r="K563" s="331">
        <f t="shared" si="84"/>
        <v>54746</v>
      </c>
      <c r="L563" s="245"/>
      <c r="M563" s="187">
        <f t="shared" si="85"/>
        <v>16.02</v>
      </c>
      <c r="N563" s="285"/>
      <c r="O563" s="331">
        <f t="shared" si="86"/>
        <v>55333</v>
      </c>
      <c r="Q563" s="332"/>
      <c r="R563" s="332"/>
      <c r="S563" s="332"/>
      <c r="T563" s="190">
        <f t="shared" si="87"/>
        <v>1.0725552050473208E-2</v>
      </c>
    </row>
    <row r="564" spans="1:20" s="329" customFormat="1">
      <c r="A564" s="185" t="s">
        <v>342</v>
      </c>
      <c r="B564" s="161"/>
      <c r="C564" s="278">
        <v>0</v>
      </c>
      <c r="D564" s="245"/>
      <c r="E564" s="278">
        <f t="shared" si="82"/>
        <v>0</v>
      </c>
      <c r="F564" s="245"/>
      <c r="G564" s="285">
        <v>14.27</v>
      </c>
      <c r="H564" s="325"/>
      <c r="I564" s="331">
        <f t="shared" si="83"/>
        <v>0</v>
      </c>
      <c r="J564" s="245"/>
      <c r="K564" s="331">
        <f t="shared" si="84"/>
        <v>0</v>
      </c>
      <c r="L564" s="245"/>
      <c r="M564" s="285">
        <f t="shared" si="85"/>
        <v>14.42</v>
      </c>
      <c r="N564" s="325"/>
      <c r="O564" s="330">
        <f t="shared" si="86"/>
        <v>0</v>
      </c>
      <c r="Q564" s="332"/>
      <c r="R564" s="332"/>
      <c r="S564" s="332"/>
      <c r="T564" s="190">
        <f t="shared" si="87"/>
        <v>1.0511562718990897E-2</v>
      </c>
    </row>
    <row r="565" spans="1:20" s="329" customFormat="1">
      <c r="A565" s="295" t="s">
        <v>274</v>
      </c>
      <c r="B565" s="161"/>
      <c r="C565" s="278"/>
      <c r="D565" s="245"/>
      <c r="E565" s="278"/>
      <c r="F565" s="245"/>
      <c r="G565" s="161"/>
      <c r="H565" s="245"/>
      <c r="I565" s="161"/>
      <c r="J565" s="245"/>
      <c r="K565" s="161"/>
      <c r="L565" s="245"/>
      <c r="M565" s="161"/>
      <c r="N565" s="245"/>
      <c r="O565" s="161"/>
      <c r="Q565" s="332"/>
      <c r="R565" s="332"/>
      <c r="S565" s="332"/>
    </row>
    <row r="566" spans="1:20" s="329" customFormat="1">
      <c r="A566" s="185" t="s">
        <v>310</v>
      </c>
      <c r="B566" s="161"/>
      <c r="C566" s="278">
        <v>1298.33345417341</v>
      </c>
      <c r="D566" s="245"/>
      <c r="E566" s="278">
        <f>ROUND(C566*$E$570/$C$570,0)</f>
        <v>1250</v>
      </c>
      <c r="F566" s="245"/>
      <c r="G566" s="187">
        <v>15.42</v>
      </c>
      <c r="H566" s="285"/>
      <c r="I566" s="331">
        <f>ROUND(C566*$G566,0)</f>
        <v>20020</v>
      </c>
      <c r="J566" s="245"/>
      <c r="K566" s="331">
        <f>ROUND(E566*$G566,0)</f>
        <v>19275</v>
      </c>
      <c r="L566" s="245"/>
      <c r="M566" s="187">
        <f>ROUND(G566*(1+$R$495),2)</f>
        <v>15.58</v>
      </c>
      <c r="N566" s="285"/>
      <c r="O566" s="331">
        <f>ROUND(E566*M566,0)</f>
        <v>19475</v>
      </c>
      <c r="Q566" s="332"/>
      <c r="R566" s="332"/>
      <c r="S566" s="332"/>
      <c r="T566" s="190">
        <f>M566/G566-1</f>
        <v>1.037613488975353E-2</v>
      </c>
    </row>
    <row r="567" spans="1:20" s="329" customFormat="1">
      <c r="A567" s="185" t="s">
        <v>311</v>
      </c>
      <c r="B567" s="161"/>
      <c r="C567" s="278">
        <v>459.07822894071802</v>
      </c>
      <c r="D567" s="245"/>
      <c r="E567" s="278">
        <f>ROUND(C567*$E$570/$C$570,0)</f>
        <v>442</v>
      </c>
      <c r="F567" s="245"/>
      <c r="G567" s="187">
        <v>15.57</v>
      </c>
      <c r="H567" s="285"/>
      <c r="I567" s="331">
        <f>ROUND(C567*$G567,0)</f>
        <v>7148</v>
      </c>
      <c r="J567" s="245"/>
      <c r="K567" s="331">
        <f>ROUND(E567*$G567,0)</f>
        <v>6882</v>
      </c>
      <c r="L567" s="245"/>
      <c r="M567" s="187">
        <f>ROUND(G567*(1+$R$495),2)</f>
        <v>15.73</v>
      </c>
      <c r="N567" s="285"/>
      <c r="O567" s="331">
        <f>ROUND(E567*M567,0)</f>
        <v>6953</v>
      </c>
      <c r="Q567" s="332"/>
      <c r="R567" s="332"/>
      <c r="S567" s="332"/>
      <c r="T567" s="190">
        <f>M567/G567-1</f>
        <v>1.0276172125883054E-2</v>
      </c>
    </row>
    <row r="568" spans="1:20" s="329" customFormat="1">
      <c r="A568" s="185" t="s">
        <v>312</v>
      </c>
      <c r="B568" s="161"/>
      <c r="C568" s="278">
        <v>1347.74259818731</v>
      </c>
      <c r="D568" s="245"/>
      <c r="E568" s="278">
        <f>ROUND(C568*$E$570/$C$570,0)</f>
        <v>1297</v>
      </c>
      <c r="F568" s="245"/>
      <c r="G568" s="187">
        <v>16.55</v>
      </c>
      <c r="H568" s="285"/>
      <c r="I568" s="331">
        <f>ROUND(C568*$G568,0)</f>
        <v>22305</v>
      </c>
      <c r="J568" s="245"/>
      <c r="K568" s="331">
        <f>ROUND(E568*$G568,0)</f>
        <v>21465</v>
      </c>
      <c r="L568" s="245"/>
      <c r="M568" s="187">
        <f>ROUND(G568*(1+$R$495),2)</f>
        <v>16.72</v>
      </c>
      <c r="N568" s="285"/>
      <c r="O568" s="331">
        <f>ROUND(E568*M568,0)</f>
        <v>21686</v>
      </c>
      <c r="Q568" s="332"/>
      <c r="R568" s="332"/>
      <c r="S568" s="332"/>
      <c r="T568" s="190">
        <f>M568/G568-1</f>
        <v>1.0271903323262777E-2</v>
      </c>
    </row>
    <row r="569" spans="1:20" s="329" customFormat="1">
      <c r="A569" s="185" t="s">
        <v>343</v>
      </c>
      <c r="B569" s="161"/>
      <c r="C569" s="334">
        <v>96</v>
      </c>
      <c r="D569" s="245"/>
      <c r="E569" s="278">
        <f>ROUND(C569*$E$570/$C$570,0)</f>
        <v>92</v>
      </c>
      <c r="F569" s="245"/>
      <c r="G569" s="348">
        <v>32.700000000000003</v>
      </c>
      <c r="H569" s="285"/>
      <c r="I569" s="349">
        <f>ROUND(C569*$G569,0)</f>
        <v>3139</v>
      </c>
      <c r="J569" s="245"/>
      <c r="K569" s="349">
        <f>ROUND(E569*$G569,0)</f>
        <v>3008</v>
      </c>
      <c r="L569" s="245"/>
      <c r="M569" s="348">
        <f>ROUND(G569*(1+$R$495),2)</f>
        <v>33.049999999999997</v>
      </c>
      <c r="N569" s="285"/>
      <c r="O569" s="335">
        <f>ROUND(E569*M569,0)</f>
        <v>3041</v>
      </c>
      <c r="Q569" s="332"/>
      <c r="R569" s="332"/>
      <c r="S569" s="332"/>
      <c r="T569" s="190">
        <f>M569/G569-1</f>
        <v>1.0703363914372988E-2</v>
      </c>
    </row>
    <row r="570" spans="1:20" s="329" customFormat="1">
      <c r="A570" s="295" t="s">
        <v>314</v>
      </c>
      <c r="B570" s="161"/>
      <c r="C570" s="191">
        <v>3056644.5301880618</v>
      </c>
      <c r="D570" s="245"/>
      <c r="E570" s="221">
        <f>ROUND(C570*$E$574/$C$574,0)</f>
        <v>2942508</v>
      </c>
      <c r="F570" s="245"/>
      <c r="G570" s="285"/>
      <c r="H570" s="346"/>
      <c r="I570" s="330">
        <f>SUM(I549:I569)</f>
        <v>422476</v>
      </c>
      <c r="J570" s="245"/>
      <c r="K570" s="330">
        <f>SUM(K549:K569)</f>
        <v>406687</v>
      </c>
      <c r="L570" s="245"/>
      <c r="M570" s="345"/>
      <c r="N570" s="285"/>
      <c r="O570" s="330">
        <f>SUM(O549:O569)</f>
        <v>410899</v>
      </c>
      <c r="Q570" s="332"/>
      <c r="R570" s="332"/>
      <c r="S570" s="332"/>
    </row>
    <row r="571" spans="1:20" s="329" customFormat="1">
      <c r="A571" s="295" t="s">
        <v>216</v>
      </c>
      <c r="B571" s="161"/>
      <c r="C571" s="191">
        <v>32864</v>
      </c>
      <c r="D571" s="245"/>
      <c r="E571" s="221"/>
      <c r="F571" s="245"/>
      <c r="G571" s="285"/>
      <c r="H571" s="346"/>
      <c r="I571" s="330">
        <v>3176</v>
      </c>
      <c r="J571" s="245"/>
      <c r="K571" s="330"/>
      <c r="L571" s="245"/>
      <c r="M571" s="345"/>
      <c r="N571" s="285"/>
      <c r="O571" s="330"/>
      <c r="Q571" s="332"/>
      <c r="R571" s="332"/>
      <c r="S571" s="332"/>
    </row>
    <row r="572" spans="1:20" s="329" customFormat="1">
      <c r="A572" s="295" t="s">
        <v>300</v>
      </c>
      <c r="B572" s="161"/>
      <c r="C572" s="191">
        <f>SUM(C570:C571)</f>
        <v>3089508.5301880618</v>
      </c>
      <c r="D572" s="245"/>
      <c r="E572" s="221"/>
      <c r="F572" s="245"/>
      <c r="G572" s="285"/>
      <c r="H572" s="346"/>
      <c r="I572" s="330">
        <f>SUM(I570:I571)</f>
        <v>425652</v>
      </c>
      <c r="J572" s="245"/>
      <c r="K572" s="330">
        <f>SUM(K570:K571)</f>
        <v>406687</v>
      </c>
      <c r="L572" s="245"/>
      <c r="M572" s="345"/>
      <c r="N572" s="285"/>
      <c r="O572" s="330">
        <f>SUM(O570:O571)</f>
        <v>410899</v>
      </c>
      <c r="Q572" s="332"/>
      <c r="R572" s="332"/>
      <c r="S572" s="332"/>
    </row>
    <row r="573" spans="1:20" s="329" customFormat="1">
      <c r="A573" s="185"/>
      <c r="B573" s="161"/>
      <c r="C573" s="334"/>
      <c r="D573" s="245"/>
      <c r="E573" s="334"/>
      <c r="F573" s="245"/>
      <c r="G573" s="285"/>
      <c r="H573" s="285"/>
      <c r="I573" s="330"/>
      <c r="J573" s="245"/>
      <c r="K573" s="330"/>
      <c r="L573" s="245"/>
      <c r="M573" s="285"/>
      <c r="N573" s="285"/>
      <c r="O573" s="335"/>
      <c r="Q573" s="332"/>
      <c r="R573" s="332"/>
      <c r="S573" s="332"/>
    </row>
    <row r="574" spans="1:20" s="329" customFormat="1">
      <c r="A574" s="185" t="s">
        <v>344</v>
      </c>
      <c r="B574" s="161"/>
      <c r="C574" s="338">
        <f>C502+C544+C570</f>
        <v>51334345.41439949</v>
      </c>
      <c r="D574" s="245"/>
      <c r="E574" s="338">
        <v>49417500</v>
      </c>
      <c r="F574" s="245"/>
      <c r="G574" s="323"/>
      <c r="H574" s="245"/>
      <c r="I574" s="335">
        <f>I502+I544+I570</f>
        <v>3919690</v>
      </c>
      <c r="J574" s="245"/>
      <c r="K574" s="335">
        <f>K502+K544+K570</f>
        <v>3773340</v>
      </c>
      <c r="L574" s="245"/>
      <c r="M574" s="323"/>
      <c r="N574" s="245"/>
      <c r="O574" s="335">
        <f>O502+O544+O570</f>
        <v>3813444</v>
      </c>
      <c r="P574" s="337"/>
      <c r="Q574" s="332"/>
      <c r="R574" s="332"/>
      <c r="S574" s="332"/>
    </row>
    <row r="575" spans="1:20" s="329" customFormat="1">
      <c r="A575" s="185" t="s">
        <v>11</v>
      </c>
      <c r="B575" s="161"/>
      <c r="C575" s="300">
        <v>836.83333333333303</v>
      </c>
      <c r="D575" s="245"/>
      <c r="E575" s="278">
        <v>838.16666666666663</v>
      </c>
      <c r="F575" s="245"/>
      <c r="G575" s="161"/>
      <c r="H575" s="245"/>
      <c r="I575" s="161"/>
      <c r="J575" s="245"/>
      <c r="K575" s="161"/>
      <c r="L575" s="245"/>
      <c r="M575" s="161"/>
      <c r="N575" s="245"/>
      <c r="O575" s="161"/>
      <c r="P575" s="337"/>
      <c r="Q575" s="332"/>
      <c r="R575" s="332"/>
      <c r="S575" s="332"/>
    </row>
    <row r="576" spans="1:20" s="329" customFormat="1">
      <c r="A576" s="185" t="s">
        <v>216</v>
      </c>
      <c r="B576" s="161"/>
      <c r="C576" s="338">
        <f>C503+C545+C571</f>
        <v>551932</v>
      </c>
      <c r="D576" s="245"/>
      <c r="E576" s="338"/>
      <c r="F576" s="245"/>
      <c r="G576" s="323"/>
      <c r="H576" s="245"/>
      <c r="I576" s="335">
        <f>I503+I545+I571</f>
        <v>29476</v>
      </c>
      <c r="J576" s="245"/>
      <c r="K576" s="335">
        <v>0</v>
      </c>
      <c r="L576" s="245"/>
      <c r="M576" s="323"/>
      <c r="N576" s="245"/>
      <c r="O576" s="335">
        <v>0</v>
      </c>
      <c r="Q576" s="332"/>
      <c r="R576" s="332"/>
      <c r="S576" s="332"/>
    </row>
    <row r="577" spans="1:20" s="329" customFormat="1" ht="16.5" thickBot="1">
      <c r="A577" s="185" t="s">
        <v>300</v>
      </c>
      <c r="B577" s="161"/>
      <c r="C577" s="336">
        <f>C576+C574</f>
        <v>51886277.41439949</v>
      </c>
      <c r="D577" s="245"/>
      <c r="E577" s="336">
        <v>49417500</v>
      </c>
      <c r="F577" s="245"/>
      <c r="G577" s="339"/>
      <c r="H577" s="340"/>
      <c r="I577" s="339">
        <f>I576+I574</f>
        <v>3949166</v>
      </c>
      <c r="J577" s="245"/>
      <c r="K577" s="339">
        <f>K576+K574</f>
        <v>3773340</v>
      </c>
      <c r="L577" s="245"/>
      <c r="M577" s="339"/>
      <c r="N577" s="340"/>
      <c r="O577" s="339">
        <f>O576+O574</f>
        <v>3813444</v>
      </c>
      <c r="Q577" s="341">
        <f>O577/K577-1</f>
        <v>1.0628249773410259E-2</v>
      </c>
      <c r="R577" s="332"/>
      <c r="S577" s="332"/>
    </row>
    <row r="578" spans="1:20" s="329" customFormat="1" ht="16.5" thickTop="1">
      <c r="A578" s="185" t="s">
        <v>135</v>
      </c>
      <c r="B578" s="161"/>
      <c r="C578" s="278"/>
      <c r="D578" s="245"/>
      <c r="E578" s="278"/>
      <c r="F578" s="245"/>
      <c r="G578" s="238"/>
      <c r="H578" s="239"/>
      <c r="I578" s="228">
        <f>MPA!K359</f>
        <v>39867.012899999994</v>
      </c>
      <c r="J578" s="164"/>
      <c r="K578" s="228">
        <f>I578</f>
        <v>39867.012899999994</v>
      </c>
      <c r="L578" s="164"/>
      <c r="M578" s="180"/>
      <c r="N578" s="239"/>
      <c r="O578" s="228">
        <v>0</v>
      </c>
      <c r="P578" s="350"/>
      <c r="Q578" s="332">
        <f>O577/E577*100</f>
        <v>7.7167885870390043</v>
      </c>
      <c r="R578" s="332"/>
      <c r="S578" s="332"/>
    </row>
    <row r="579" spans="1:20" s="329" customFormat="1">
      <c r="A579" s="185" t="s">
        <v>136</v>
      </c>
      <c r="B579" s="161"/>
      <c r="C579" s="278"/>
      <c r="D579" s="245"/>
      <c r="E579" s="278"/>
      <c r="F579" s="245"/>
      <c r="G579" s="238">
        <f>M579</f>
        <v>3.6999999999999998E-2</v>
      </c>
      <c r="H579" s="342"/>
      <c r="I579" s="335">
        <f>ROUND(SUM(I574,I578)*$G579,0)</f>
        <v>146504</v>
      </c>
      <c r="J579" s="245"/>
      <c r="K579" s="335">
        <f>ROUND(SUM(K574,K578)*$G579,0)</f>
        <v>141089</v>
      </c>
      <c r="L579" s="245"/>
      <c r="M579" s="277">
        <v>3.6999999999999998E-2</v>
      </c>
      <c r="N579" s="342"/>
      <c r="O579" s="335">
        <f>ROUND(SUM(O574,O578)*M579,0)</f>
        <v>141097</v>
      </c>
      <c r="Q579" s="332"/>
      <c r="R579" s="332"/>
      <c r="S579" s="332"/>
    </row>
    <row r="580" spans="1:20" s="329" customFormat="1">
      <c r="A580" s="185"/>
      <c r="B580" s="161"/>
      <c r="C580" s="351"/>
      <c r="D580" s="245"/>
      <c r="E580" s="351"/>
      <c r="F580" s="245"/>
      <c r="G580" s="245"/>
      <c r="H580" s="245"/>
      <c r="I580" s="330"/>
      <c r="J580" s="245"/>
      <c r="K580" s="330"/>
      <c r="L580" s="245"/>
      <c r="M580" s="245"/>
      <c r="N580" s="245"/>
      <c r="O580" s="330"/>
      <c r="Q580" s="332"/>
      <c r="R580" s="332"/>
      <c r="S580" s="332"/>
    </row>
    <row r="581" spans="1:20" s="329" customFormat="1">
      <c r="A581" s="347" t="s">
        <v>345</v>
      </c>
      <c r="B581" s="161"/>
      <c r="C581" s="278"/>
      <c r="D581" s="245"/>
      <c r="E581" s="278"/>
      <c r="F581" s="245"/>
      <c r="G581" s="161"/>
      <c r="H581" s="245"/>
      <c r="I581" s="161"/>
      <c r="J581" s="245"/>
      <c r="K581" s="161"/>
      <c r="L581" s="245"/>
      <c r="M581" s="161"/>
      <c r="N581" s="245"/>
      <c r="O581" s="161"/>
      <c r="P581" s="331"/>
      <c r="Q581" s="332"/>
      <c r="R581" s="332"/>
      <c r="S581" s="332"/>
    </row>
    <row r="582" spans="1:20" s="329" customFormat="1">
      <c r="A582" s="185" t="s">
        <v>346</v>
      </c>
      <c r="B582" s="161"/>
      <c r="C582" s="278">
        <v>19028.899208341507</v>
      </c>
      <c r="D582" s="245"/>
      <c r="E582" s="278">
        <f>ROUND(C582*E586/C586,0)</f>
        <v>22065</v>
      </c>
      <c r="F582" s="245"/>
      <c r="G582" s="187">
        <v>10.76</v>
      </c>
      <c r="H582" s="285"/>
      <c r="I582" s="331">
        <f>ROUND(C582*$G582,0)</f>
        <v>204751</v>
      </c>
      <c r="J582" s="245"/>
      <c r="K582" s="331">
        <f>ROUND(E582*$G582,0)</f>
        <v>237419</v>
      </c>
      <c r="L582" s="245"/>
      <c r="M582" s="187">
        <f>MROUND(G582*(1+$R$586),0.5)</f>
        <v>11</v>
      </c>
      <c r="N582" s="285"/>
      <c r="O582" s="331">
        <f>ROUND(E582*M582,0)</f>
        <v>242715</v>
      </c>
      <c r="P582" s="331"/>
      <c r="Q582" s="198" t="s">
        <v>111</v>
      </c>
      <c r="R582" s="199">
        <f>O588</f>
        <v>1218137</v>
      </c>
      <c r="S582" s="332"/>
      <c r="T582" s="190">
        <f>M582/G582-1</f>
        <v>2.2304832713754719E-2</v>
      </c>
    </row>
    <row r="583" spans="1:20" s="329" customFormat="1">
      <c r="A583" s="185" t="s">
        <v>347</v>
      </c>
      <c r="B583" s="161"/>
      <c r="C583" s="278">
        <v>387.40185750949968</v>
      </c>
      <c r="D583" s="245"/>
      <c r="E583" s="278">
        <f>ROUND(C583*E585/C585,0)</f>
        <v>450</v>
      </c>
      <c r="F583" s="245"/>
      <c r="G583" s="187">
        <v>71.400000000000006</v>
      </c>
      <c r="H583" s="285"/>
      <c r="I583" s="331">
        <f>ROUND(C583*$G583,0)</f>
        <v>27660</v>
      </c>
      <c r="J583" s="245"/>
      <c r="K583" s="331">
        <f>ROUND(E583*$G583,0)</f>
        <v>32130</v>
      </c>
      <c r="L583" s="245"/>
      <c r="M583" s="187">
        <f>MROUND(G583*(1+$R$586),0.5)</f>
        <v>72.5</v>
      </c>
      <c r="N583" s="285"/>
      <c r="O583" s="331">
        <f>ROUND(E583*M583,0)</f>
        <v>32625</v>
      </c>
      <c r="P583" s="331"/>
      <c r="Q583" s="202" t="s">
        <v>113</v>
      </c>
      <c r="R583" s="203">
        <f>(RateSpread!O45)*1000</f>
        <v>1218132.72</v>
      </c>
      <c r="S583" s="332"/>
      <c r="T583" s="190">
        <f>M583/G583-1</f>
        <v>1.540616246498594E-2</v>
      </c>
    </row>
    <row r="584" spans="1:20" s="329" customFormat="1">
      <c r="A584" s="185" t="s">
        <v>348</v>
      </c>
      <c r="B584" s="161"/>
      <c r="C584" s="352">
        <v>0</v>
      </c>
      <c r="D584" s="245"/>
      <c r="E584" s="278">
        <f>ROUND(C584*E585/C585,0)</f>
        <v>0</v>
      </c>
      <c r="F584" s="245"/>
      <c r="G584" s="187">
        <v>125.2</v>
      </c>
      <c r="H584" s="285"/>
      <c r="I584" s="331">
        <f>ROUND(C584*$G584,0)</f>
        <v>0</v>
      </c>
      <c r="J584" s="245"/>
      <c r="K584" s="331">
        <f>ROUND(E584*$G584,0)</f>
        <v>0</v>
      </c>
      <c r="L584" s="245"/>
      <c r="M584" s="187">
        <f>M582*5+M583</f>
        <v>127.5</v>
      </c>
      <c r="N584" s="285"/>
      <c r="O584" s="331">
        <f>ROUND(E584*M584,0)</f>
        <v>0</v>
      </c>
      <c r="Q584" s="207" t="s">
        <v>115</v>
      </c>
      <c r="R584" s="208">
        <f>R583-R582</f>
        <v>-4.2800000000279397</v>
      </c>
      <c r="S584" s="332"/>
      <c r="T584" s="190">
        <f>M584/G584-1</f>
        <v>1.8370607028753927E-2</v>
      </c>
    </row>
    <row r="585" spans="1:20" s="329" customFormat="1">
      <c r="A585" s="185" t="s">
        <v>349</v>
      </c>
      <c r="B585" s="161"/>
      <c r="C585" s="278">
        <v>4882.1147943908736</v>
      </c>
      <c r="D585" s="245"/>
      <c r="E585" s="278">
        <v>5667</v>
      </c>
      <c r="F585" s="245"/>
      <c r="G585" s="187">
        <v>6.11</v>
      </c>
      <c r="H585" s="285"/>
      <c r="I585" s="331">
        <f>ROUND(C585*$G585,0)</f>
        <v>29830</v>
      </c>
      <c r="J585" s="245"/>
      <c r="K585" s="331">
        <f>ROUND(E585*$G585,0)</f>
        <v>34625</v>
      </c>
      <c r="L585" s="245"/>
      <c r="M585" s="187">
        <f>MROUND(G585*(1+$R$586),0.2)</f>
        <v>6.2</v>
      </c>
      <c r="N585" s="285"/>
      <c r="O585" s="331">
        <f>ROUND(E585*M585,0)</f>
        <v>35135</v>
      </c>
      <c r="Q585" s="210" t="s">
        <v>117</v>
      </c>
      <c r="R585" s="280">
        <f>R582/(K588)-1</f>
        <v>1.5030426656467588E-2</v>
      </c>
      <c r="S585" s="332"/>
      <c r="T585" s="190">
        <f>M585/G585-1</f>
        <v>1.4729950900163713E-2</v>
      </c>
    </row>
    <row r="586" spans="1:20" s="329" customFormat="1">
      <c r="A586" s="185" t="s">
        <v>350</v>
      </c>
      <c r="B586" s="161"/>
      <c r="C586" s="278">
        <v>14648260</v>
      </c>
      <c r="D586" s="245"/>
      <c r="E586" s="278">
        <v>16985647</v>
      </c>
      <c r="F586" s="245"/>
      <c r="G586" s="317">
        <v>5.2746000000000004</v>
      </c>
      <c r="H586" s="346" t="s">
        <v>108</v>
      </c>
      <c r="I586" s="331">
        <f>ROUND(C586*$G586/100,0)</f>
        <v>772637</v>
      </c>
      <c r="J586" s="245"/>
      <c r="K586" s="331">
        <f>ROUND(E586*$G586/100,0)</f>
        <v>895925</v>
      </c>
      <c r="L586" s="245"/>
      <c r="M586" s="308">
        <f>ROUND((R583-SUM(O582:O585))/E586*100,4)</f>
        <v>5.3437000000000001</v>
      </c>
      <c r="N586" s="346" t="s">
        <v>108</v>
      </c>
      <c r="O586" s="331">
        <f>ROUND(E586*M586/100,0)</f>
        <v>907662</v>
      </c>
      <c r="Q586" s="230" t="s">
        <v>119</v>
      </c>
      <c r="R586" s="284">
        <f>R583/(K588)-1</f>
        <v>1.5026860284026444E-2</v>
      </c>
      <c r="S586" s="332"/>
      <c r="T586" s="190">
        <f>M586/G586-1</f>
        <v>1.3100519470670813E-2</v>
      </c>
    </row>
    <row r="587" spans="1:20" s="329" customFormat="1">
      <c r="A587" s="185" t="s">
        <v>351</v>
      </c>
      <c r="B587" s="161"/>
      <c r="C587" s="334">
        <v>50653</v>
      </c>
      <c r="D587" s="245"/>
      <c r="E587" s="334">
        <v>0</v>
      </c>
      <c r="F587" s="245"/>
      <c r="G587" s="161"/>
      <c r="H587" s="245"/>
      <c r="I587" s="335">
        <v>5168</v>
      </c>
      <c r="J587" s="245"/>
      <c r="K587" s="335">
        <v>0</v>
      </c>
      <c r="L587" s="245"/>
      <c r="M587" s="161"/>
      <c r="N587" s="245"/>
      <c r="O587" s="335">
        <v>0</v>
      </c>
      <c r="Q587" s="301" t="s">
        <v>138</v>
      </c>
      <c r="R587" s="302">
        <f>(O588+O589)/(K588+K589)-1</f>
        <v>3.5135744487213572E-6</v>
      </c>
      <c r="S587" s="332"/>
    </row>
    <row r="588" spans="1:20" s="329" customFormat="1" ht="16.5" thickBot="1">
      <c r="A588" s="161" t="s">
        <v>300</v>
      </c>
      <c r="B588" s="161"/>
      <c r="C588" s="353">
        <f>C586+C587</f>
        <v>14698913</v>
      </c>
      <c r="D588" s="245"/>
      <c r="E588" s="353">
        <f>E586+E587</f>
        <v>16985647</v>
      </c>
      <c r="F588" s="245"/>
      <c r="G588" s="254"/>
      <c r="H588" s="245"/>
      <c r="I588" s="354">
        <f>SUM(I582:I587)</f>
        <v>1040046</v>
      </c>
      <c r="J588" s="245"/>
      <c r="K588" s="354">
        <f>SUM(K582:K587)</f>
        <v>1200099</v>
      </c>
      <c r="L588" s="245"/>
      <c r="M588" s="254"/>
      <c r="N588" s="245"/>
      <c r="O588" s="354">
        <f>SUM(O582:O587)</f>
        <v>1218137</v>
      </c>
      <c r="Q588" s="341"/>
      <c r="R588" s="332"/>
      <c r="S588" s="332"/>
    </row>
    <row r="589" spans="1:20" s="329" customFormat="1" ht="16.5" thickTop="1">
      <c r="A589" s="185" t="s">
        <v>135</v>
      </c>
      <c r="B589" s="161"/>
      <c r="C589" s="278"/>
      <c r="D589" s="245"/>
      <c r="E589" s="278"/>
      <c r="F589" s="245"/>
      <c r="G589" s="238"/>
      <c r="H589" s="239"/>
      <c r="I589" s="228">
        <f>MPA!K368</f>
        <v>18033.72</v>
      </c>
      <c r="J589" s="164"/>
      <c r="K589" s="228">
        <f>I589</f>
        <v>18033.72</v>
      </c>
      <c r="L589" s="164"/>
      <c r="M589" s="180"/>
      <c r="N589" s="239"/>
      <c r="O589" s="228">
        <v>0</v>
      </c>
      <c r="Q589" s="332"/>
      <c r="R589" s="332"/>
      <c r="S589" s="332"/>
    </row>
    <row r="590" spans="1:20" s="329" customFormat="1">
      <c r="A590" s="185" t="s">
        <v>136</v>
      </c>
      <c r="B590" s="161"/>
      <c r="C590" s="278"/>
      <c r="D590" s="245"/>
      <c r="E590" s="278"/>
      <c r="F590" s="245"/>
      <c r="G590" s="238">
        <f>M590</f>
        <v>4.9500000000000002E-2</v>
      </c>
      <c r="H590" s="342"/>
      <c r="I590" s="335">
        <f>ROUND(SUM(I586,I589)*$G590,0)</f>
        <v>39138</v>
      </c>
      <c r="J590" s="245"/>
      <c r="K590" s="335">
        <f>ROUND(SUM(K586,K589)*$G590,0)</f>
        <v>45241</v>
      </c>
      <c r="L590" s="245"/>
      <c r="M590" s="277">
        <v>4.9500000000000002E-2</v>
      </c>
      <c r="N590" s="342"/>
      <c r="O590" s="335">
        <f>ROUND(SUM(O586,O589)*M590,0)</f>
        <v>44929</v>
      </c>
      <c r="Q590" s="332"/>
      <c r="R590" s="332"/>
      <c r="S590" s="332"/>
    </row>
    <row r="591" spans="1:20" s="329" customFormat="1">
      <c r="A591" s="161"/>
      <c r="B591" s="161"/>
      <c r="C591" s="278"/>
      <c r="D591" s="245"/>
      <c r="E591" s="278"/>
      <c r="F591" s="245"/>
      <c r="G591" s="161"/>
      <c r="H591" s="245"/>
      <c r="I591" s="161"/>
      <c r="J591" s="245"/>
      <c r="K591" s="161"/>
      <c r="L591" s="245"/>
      <c r="M591" s="161"/>
      <c r="N591" s="245"/>
      <c r="O591" s="161"/>
      <c r="Q591" s="332"/>
      <c r="R591" s="332"/>
      <c r="S591" s="332"/>
    </row>
    <row r="592" spans="1:20" s="329" customFormat="1">
      <c r="A592" s="347" t="s">
        <v>352</v>
      </c>
      <c r="B592" s="161"/>
      <c r="C592" s="278"/>
      <c r="D592" s="245"/>
      <c r="E592" s="278"/>
      <c r="F592" s="245"/>
      <c r="G592" s="245"/>
      <c r="H592" s="245"/>
      <c r="I592" s="330"/>
      <c r="J592" s="245"/>
      <c r="K592" s="330"/>
      <c r="L592" s="245"/>
      <c r="M592" s="245"/>
      <c r="N592" s="245"/>
      <c r="O592" s="330"/>
      <c r="Q592" s="198" t="s">
        <v>111</v>
      </c>
      <c r="R592" s="199">
        <f>O596</f>
        <v>597265</v>
      </c>
      <c r="S592" s="332"/>
    </row>
    <row r="593" spans="1:22" s="329" customFormat="1">
      <c r="A593" s="185" t="s">
        <v>353</v>
      </c>
      <c r="B593" s="161"/>
      <c r="C593" s="278">
        <v>26990.770685424308</v>
      </c>
      <c r="D593" s="245"/>
      <c r="E593" s="278">
        <v>26932</v>
      </c>
      <c r="F593" s="245"/>
      <c r="G593" s="187">
        <v>4.5</v>
      </c>
      <c r="H593" s="285"/>
      <c r="I593" s="331">
        <f>ROUND(C593*$G593,0)</f>
        <v>121458</v>
      </c>
      <c r="J593" s="245"/>
      <c r="K593" s="331">
        <f>ROUND(E593*$G593,0)</f>
        <v>121194</v>
      </c>
      <c r="L593" s="245"/>
      <c r="M593" s="187">
        <f>MROUND(G593*(1+$R$596),0.5)</f>
        <v>5.5</v>
      </c>
      <c r="N593" s="285"/>
      <c r="O593" s="331">
        <f>ROUND(E593*M593,0)</f>
        <v>148126</v>
      </c>
      <c r="Q593" s="202" t="s">
        <v>113</v>
      </c>
      <c r="R593" s="203">
        <f>(RateSpread!O46)*1000</f>
        <v>597262.95860000001</v>
      </c>
      <c r="S593" s="332"/>
      <c r="T593" s="190">
        <f>M593/G593-1</f>
        <v>0.22222222222222232</v>
      </c>
    </row>
    <row r="594" spans="1:22" s="329" customFormat="1">
      <c r="A594" s="185" t="s">
        <v>350</v>
      </c>
      <c r="B594" s="161"/>
      <c r="C594" s="278">
        <v>5586196.4239111878</v>
      </c>
      <c r="D594" s="245"/>
      <c r="E594" s="278">
        <v>5513548</v>
      </c>
      <c r="F594" s="245"/>
      <c r="G594" s="318">
        <v>6.9957000000000003</v>
      </c>
      <c r="H594" s="346" t="s">
        <v>108</v>
      </c>
      <c r="I594" s="331">
        <f>ROUND(C594*$G594/100,0)</f>
        <v>390794</v>
      </c>
      <c r="J594" s="245"/>
      <c r="K594" s="331">
        <f>ROUND(E594*$G594/100,0)</f>
        <v>385711</v>
      </c>
      <c r="L594" s="245"/>
      <c r="M594" s="308">
        <f>ROUND((R593-O593)/E594*100,4)</f>
        <v>8.1461000000000006</v>
      </c>
      <c r="N594" s="346" t="s">
        <v>108</v>
      </c>
      <c r="O594" s="331">
        <f>ROUND(E594*M594/100,0)</f>
        <v>449139</v>
      </c>
      <c r="Q594" s="207" t="s">
        <v>115</v>
      </c>
      <c r="R594" s="208">
        <f>R593-R592</f>
        <v>-2.041399999987334</v>
      </c>
      <c r="S594" s="332"/>
      <c r="T594" s="190">
        <f>M594/G594-1</f>
        <v>0.16444387266463689</v>
      </c>
    </row>
    <row r="595" spans="1:22" s="329" customFormat="1">
      <c r="A595" s="185" t="s">
        <v>351</v>
      </c>
      <c r="B595" s="161"/>
      <c r="C595" s="355">
        <v>48662</v>
      </c>
      <c r="D595" s="245"/>
      <c r="E595" s="334">
        <v>0</v>
      </c>
      <c r="F595" s="245"/>
      <c r="G595" s="161"/>
      <c r="H595" s="245"/>
      <c r="I595" s="335">
        <v>3406</v>
      </c>
      <c r="J595" s="245"/>
      <c r="K595" s="335">
        <v>0</v>
      </c>
      <c r="L595" s="245"/>
      <c r="M595" s="161"/>
      <c r="N595" s="245"/>
      <c r="O595" s="335">
        <v>0</v>
      </c>
      <c r="P595" s="331"/>
      <c r="Q595" s="210" t="s">
        <v>117</v>
      </c>
      <c r="R595" s="280">
        <f>R592/K596-1</f>
        <v>0.1782582535189039</v>
      </c>
      <c r="S595" s="332"/>
    </row>
    <row r="596" spans="1:22" s="329" customFormat="1" ht="16.5" thickBot="1">
      <c r="A596" s="161" t="s">
        <v>300</v>
      </c>
      <c r="B596" s="161"/>
      <c r="C596" s="353">
        <f>C594+C595</f>
        <v>5634858.4239111878</v>
      </c>
      <c r="D596" s="245"/>
      <c r="E596" s="353">
        <f>E594+E595</f>
        <v>5513548</v>
      </c>
      <c r="F596" s="245"/>
      <c r="G596" s="254"/>
      <c r="H596" s="245"/>
      <c r="I596" s="354">
        <f>SUM(I593:I595)</f>
        <v>515658</v>
      </c>
      <c r="J596" s="245"/>
      <c r="K596" s="354">
        <f>SUM(K593:K595)</f>
        <v>506905</v>
      </c>
      <c r="L596" s="245"/>
      <c r="M596" s="254"/>
      <c r="N596" s="245"/>
      <c r="O596" s="354">
        <f>SUM(O593:O595)</f>
        <v>597265</v>
      </c>
      <c r="Q596" s="230" t="s">
        <v>119</v>
      </c>
      <c r="R596" s="284">
        <f>R593/K596-1</f>
        <v>0.17825422633432297</v>
      </c>
    </row>
    <row r="597" spans="1:22" s="329" customFormat="1" ht="16.5" thickTop="1">
      <c r="A597" s="185" t="s">
        <v>135</v>
      </c>
      <c r="B597" s="161"/>
      <c r="C597" s="278"/>
      <c r="D597" s="245"/>
      <c r="E597" s="278"/>
      <c r="F597" s="245"/>
      <c r="G597" s="238"/>
      <c r="H597" s="239"/>
      <c r="I597" s="228">
        <f>MPA!K374</f>
        <v>14374.958600000002</v>
      </c>
      <c r="J597" s="164"/>
      <c r="K597" s="228">
        <f>I597</f>
        <v>14374.958600000002</v>
      </c>
      <c r="L597" s="164"/>
      <c r="M597" s="180"/>
      <c r="N597" s="239"/>
      <c r="O597" s="228">
        <v>0</v>
      </c>
      <c r="P597" s="331"/>
      <c r="Q597" s="301" t="s">
        <v>138</v>
      </c>
      <c r="R597" s="302">
        <f>(O596+O597)/(K596+K597)-1</f>
        <v>0.14576628191130303</v>
      </c>
    </row>
    <row r="598" spans="1:22" s="329" customFormat="1">
      <c r="A598" s="185" t="s">
        <v>136</v>
      </c>
      <c r="B598" s="161"/>
      <c r="C598" s="278"/>
      <c r="D598" s="245"/>
      <c r="E598" s="278"/>
      <c r="F598" s="245"/>
      <c r="G598" s="238">
        <f>M598</f>
        <v>4.8399999999999999E-2</v>
      </c>
      <c r="H598" s="342"/>
      <c r="I598" s="335">
        <f>ROUND(SUM(I594,I597)*$G598,0)</f>
        <v>19610</v>
      </c>
      <c r="J598" s="245"/>
      <c r="K598" s="335">
        <f>ROUND(SUM(K594,K597)*$G598,0)</f>
        <v>19364</v>
      </c>
      <c r="L598" s="245"/>
      <c r="M598" s="277">
        <v>4.8399999999999999E-2</v>
      </c>
      <c r="N598" s="342"/>
      <c r="O598" s="335">
        <f>ROUND(SUM(O594,O597)*M598,0)</f>
        <v>21738</v>
      </c>
      <c r="Q598" s="245"/>
      <c r="R598" s="204"/>
    </row>
    <row r="599" spans="1:22" s="329" customFormat="1">
      <c r="A599" s="185"/>
      <c r="B599" s="161"/>
      <c r="C599" s="278"/>
      <c r="D599" s="245"/>
      <c r="E599" s="278"/>
      <c r="F599" s="245"/>
      <c r="G599" s="238"/>
      <c r="H599" s="342"/>
      <c r="I599" s="330"/>
      <c r="J599" s="245"/>
      <c r="K599" s="330"/>
      <c r="L599" s="245"/>
      <c r="M599" s="238"/>
      <c r="N599" s="342"/>
      <c r="O599" s="330"/>
    </row>
    <row r="600" spans="1:22" s="329" customFormat="1">
      <c r="A600" s="181" t="s">
        <v>354</v>
      </c>
      <c r="B600" s="162"/>
      <c r="C600" s="163"/>
      <c r="D600" s="164"/>
      <c r="E600" s="163"/>
      <c r="F600" s="164"/>
      <c r="G600" s="161"/>
      <c r="H600" s="164"/>
      <c r="I600" s="162"/>
      <c r="J600" s="164"/>
      <c r="K600" s="162"/>
      <c r="L600" s="164"/>
      <c r="M600" s="162"/>
      <c r="N600" s="164"/>
      <c r="O600" s="162"/>
      <c r="Q600" s="162"/>
      <c r="R600" s="157"/>
      <c r="S600" s="157"/>
    </row>
    <row r="601" spans="1:22" s="329" customFormat="1">
      <c r="A601" s="356" t="s">
        <v>355</v>
      </c>
      <c r="B601" s="162"/>
      <c r="C601" s="186"/>
      <c r="D601" s="164"/>
      <c r="E601" s="186"/>
      <c r="F601" s="164"/>
      <c r="G601" s="161"/>
      <c r="H601" s="164"/>
      <c r="I601" s="162"/>
      <c r="J601" s="164"/>
      <c r="K601" s="162"/>
      <c r="L601" s="164"/>
      <c r="M601" s="162"/>
      <c r="N601" s="164"/>
      <c r="O601" s="162"/>
      <c r="P601" s="337"/>
      <c r="Q601" s="242"/>
      <c r="R601" s="275"/>
      <c r="S601" s="157"/>
      <c r="T601" s="157"/>
      <c r="U601" s="157"/>
    </row>
    <row r="602" spans="1:22" s="329" customFormat="1">
      <c r="A602" s="185" t="s">
        <v>104</v>
      </c>
      <c r="B602" s="162"/>
      <c r="C602" s="186">
        <v>36.000030554855599</v>
      </c>
      <c r="D602" s="164"/>
      <c r="E602" s="261">
        <v>36</v>
      </c>
      <c r="F602" s="164"/>
      <c r="G602" s="187">
        <v>97</v>
      </c>
      <c r="H602" s="188"/>
      <c r="I602" s="172">
        <f>ROUND($G602*C602,0)</f>
        <v>3492</v>
      </c>
      <c r="J602" s="164"/>
      <c r="K602" s="172">
        <f>ROUND($G602*E602,0)</f>
        <v>3492</v>
      </c>
      <c r="L602" s="164"/>
      <c r="M602" s="187">
        <f>ROUND(G602*(1+$R$613),0)</f>
        <v>119</v>
      </c>
      <c r="N602" s="188"/>
      <c r="O602" s="172">
        <f>ROUND(M602*$E602,0)</f>
        <v>4284</v>
      </c>
      <c r="Q602" s="162"/>
      <c r="R602" s="275"/>
      <c r="S602" s="257"/>
      <c r="T602" s="190">
        <f>M602/G602-1</f>
        <v>0.22680412371134029</v>
      </c>
      <c r="U602" s="157"/>
    </row>
    <row r="603" spans="1:22">
      <c r="A603" s="185" t="s">
        <v>356</v>
      </c>
      <c r="C603" s="186">
        <v>11083.99993392362</v>
      </c>
      <c r="E603" s="261">
        <f>ROUND(C603*$E$607/$C$607,0)</f>
        <v>10404</v>
      </c>
      <c r="G603" s="187">
        <v>3.29</v>
      </c>
      <c r="H603" s="188"/>
      <c r="I603" s="172">
        <f>ROUND($G603*C603,0)</f>
        <v>36466</v>
      </c>
      <c r="K603" s="172">
        <f>ROUND($G603*E603,0)</f>
        <v>34229</v>
      </c>
      <c r="M603" s="187">
        <f>ROUND(G603*(1+$R$616),2)</f>
        <v>4.24</v>
      </c>
      <c r="N603" s="188"/>
      <c r="O603" s="172">
        <f>ROUND(M603*$E603,0)</f>
        <v>44113</v>
      </c>
      <c r="P603" s="172"/>
      <c r="R603" s="275"/>
      <c r="S603" s="257"/>
      <c r="T603" s="190">
        <f>M603/G603-1</f>
        <v>0.28875379939209722</v>
      </c>
      <c r="V603" s="260"/>
    </row>
    <row r="604" spans="1:22">
      <c r="A604" s="185" t="s">
        <v>357</v>
      </c>
      <c r="C604" s="186">
        <v>419913</v>
      </c>
      <c r="E604" s="261">
        <f>ROUND(C604*($E$607-$E$606)/($C$607-$C$606),0)</f>
        <v>394142</v>
      </c>
      <c r="G604" s="357">
        <v>5.2439999999999998</v>
      </c>
      <c r="H604" s="193" t="s">
        <v>108</v>
      </c>
      <c r="I604" s="172">
        <f>ROUND($G604*C604/100,0)</f>
        <v>22020</v>
      </c>
      <c r="K604" s="172">
        <f>ROUND($G604*E604/100,0)</f>
        <v>20669</v>
      </c>
      <c r="M604" s="357">
        <f>ROUND(G604*(1+$R$616/$R$617),4)</f>
        <v>5.9974999999999996</v>
      </c>
      <c r="N604" s="193" t="s">
        <v>108</v>
      </c>
      <c r="O604" s="172">
        <f>ROUND(M604*$E604/100,0)</f>
        <v>23639</v>
      </c>
      <c r="R604" s="275"/>
      <c r="S604" s="257"/>
      <c r="T604" s="190">
        <f>M604/G604-1</f>
        <v>0.14368802440884809</v>
      </c>
      <c r="U604" s="172"/>
    </row>
    <row r="605" spans="1:22">
      <c r="A605" s="185" t="s">
        <v>245</v>
      </c>
      <c r="C605" s="186">
        <v>0</v>
      </c>
      <c r="E605" s="261">
        <f>E607-E604</f>
        <v>0</v>
      </c>
      <c r="G605" s="357">
        <v>4.4032</v>
      </c>
      <c r="H605" s="193" t="s">
        <v>108</v>
      </c>
      <c r="I605" s="172">
        <f>ROUND($G605*C605/100,0)</f>
        <v>0</v>
      </c>
      <c r="K605" s="172">
        <f>ROUND($G605*E605/100,0)</f>
        <v>0</v>
      </c>
      <c r="M605" s="357">
        <f>ROUND(G605*(1+$R$616/$R$617),4)</f>
        <v>5.0358000000000001</v>
      </c>
      <c r="N605" s="193" t="s">
        <v>108</v>
      </c>
      <c r="O605" s="172">
        <f>ROUND(M605*$E605/100,0)</f>
        <v>0</v>
      </c>
      <c r="P605" s="172"/>
      <c r="S605" s="257"/>
      <c r="T605" s="190">
        <f>M605/G605-1</f>
        <v>0.14366824127906974</v>
      </c>
      <c r="U605" s="172"/>
    </row>
    <row r="606" spans="1:22">
      <c r="A606" s="185" t="s">
        <v>132</v>
      </c>
      <c r="C606" s="227">
        <v>0</v>
      </c>
      <c r="E606" s="227">
        <v>0</v>
      </c>
      <c r="G606" s="357"/>
      <c r="H606" s="358"/>
      <c r="I606" s="228">
        <v>0</v>
      </c>
      <c r="K606" s="228"/>
      <c r="M606" s="357"/>
      <c r="N606" s="358"/>
      <c r="O606" s="228">
        <v>0</v>
      </c>
      <c r="P606" s="172"/>
      <c r="S606"/>
      <c r="T606" s="257"/>
      <c r="U606" s="172"/>
      <c r="V606" s="260"/>
    </row>
    <row r="607" spans="1:22">
      <c r="A607" s="185" t="s">
        <v>358</v>
      </c>
      <c r="C607" s="260">
        <f>C605+C604+C606</f>
        <v>419913</v>
      </c>
      <c r="E607" s="260">
        <f>ROUND(E615*C607/(C615-C613),0)</f>
        <v>394142</v>
      </c>
      <c r="G607" s="269"/>
      <c r="H607" s="267"/>
      <c r="I607" s="172">
        <f>SUM(I602:I606)</f>
        <v>61978</v>
      </c>
      <c r="K607" s="172">
        <f>SUM(K602:K606)</f>
        <v>58390</v>
      </c>
      <c r="M607" s="269"/>
      <c r="N607" s="267"/>
      <c r="O607" s="172">
        <f>SUM(O602:O606)</f>
        <v>72036</v>
      </c>
      <c r="P607" s="172"/>
      <c r="S607" s="224"/>
      <c r="T607" s="257"/>
      <c r="U607" s="172"/>
      <c r="V607" s="260"/>
    </row>
    <row r="608" spans="1:22">
      <c r="A608" s="356" t="s">
        <v>359</v>
      </c>
      <c r="C608" s="186"/>
      <c r="E608" s="261"/>
      <c r="G608" s="269"/>
      <c r="H608" s="267"/>
      <c r="M608" s="269"/>
      <c r="N608" s="267"/>
      <c r="P608" s="172"/>
      <c r="Q608" s="242"/>
      <c r="R608" s="275"/>
      <c r="T608"/>
      <c r="U608"/>
      <c r="V608" s="260"/>
    </row>
    <row r="609" spans="1:22">
      <c r="A609" s="185" t="s">
        <v>104</v>
      </c>
      <c r="C609" s="186">
        <v>24.000103806867102</v>
      </c>
      <c r="E609" s="261">
        <v>24</v>
      </c>
      <c r="G609" s="187">
        <v>97</v>
      </c>
      <c r="H609" s="188"/>
      <c r="I609" s="172">
        <f>ROUND($G609*C609,0)</f>
        <v>2328</v>
      </c>
      <c r="K609" s="172">
        <f>ROUND($G609*E609,0)</f>
        <v>2328</v>
      </c>
      <c r="M609" s="187">
        <f>M602</f>
        <v>119</v>
      </c>
      <c r="N609" s="188"/>
      <c r="O609" s="172">
        <f>ROUND(M609*$E609,0)</f>
        <v>2856</v>
      </c>
      <c r="P609" s="218"/>
      <c r="Q609" s="198" t="s">
        <v>111</v>
      </c>
      <c r="R609" s="199">
        <f>O615</f>
        <v>327853</v>
      </c>
      <c r="T609" s="190">
        <f>M609/G609-1</f>
        <v>0.22680412371134029</v>
      </c>
      <c r="U609" s="172"/>
      <c r="V609" s="260"/>
    </row>
    <row r="610" spans="1:22">
      <c r="A610" s="185" t="s">
        <v>356</v>
      </c>
      <c r="C610" s="186">
        <v>36063.0041284525</v>
      </c>
      <c r="E610" s="261">
        <f>ROUND(C610*$E$614/$C$614,0)</f>
        <v>33711</v>
      </c>
      <c r="G610" s="187">
        <v>3.29</v>
      </c>
      <c r="H610" s="188"/>
      <c r="I610" s="172">
        <f>ROUND($G610*C610,0)</f>
        <v>118647</v>
      </c>
      <c r="K610" s="172">
        <f>ROUND($G610*E610,0)</f>
        <v>110909</v>
      </c>
      <c r="M610" s="187">
        <f>M603</f>
        <v>4.24</v>
      </c>
      <c r="N610" s="188"/>
      <c r="O610" s="172">
        <f>ROUND(M610*$E610,0)</f>
        <v>142935</v>
      </c>
      <c r="P610" s="172"/>
      <c r="Q610" s="202" t="s">
        <v>113</v>
      </c>
      <c r="R610" s="203">
        <f>RateSpread!O31*1000</f>
        <v>327852.65000000002</v>
      </c>
      <c r="T610" s="190">
        <f>M610/G610-1</f>
        <v>0.28875379939209722</v>
      </c>
    </row>
    <row r="611" spans="1:22">
      <c r="A611" s="185" t="s">
        <v>357</v>
      </c>
      <c r="C611" s="186">
        <v>2044523</v>
      </c>
      <c r="E611" s="261">
        <f>ROUND(C611*($E$614-$E$613)/($C$614-$C$613),0)</f>
        <v>1919046</v>
      </c>
      <c r="G611" s="357">
        <v>4.1257000000000001</v>
      </c>
      <c r="H611" s="193" t="s">
        <v>108</v>
      </c>
      <c r="I611" s="172">
        <f>ROUND($G611*C611/100,0)</f>
        <v>84351</v>
      </c>
      <c r="K611" s="172">
        <f>ROUND($G611*E611/100,0)</f>
        <v>79174</v>
      </c>
      <c r="M611" s="357">
        <f>ROUND(G611*(1+$R$616/$R$617),4)</f>
        <v>4.7184999999999997</v>
      </c>
      <c r="N611" s="193" t="s">
        <v>108</v>
      </c>
      <c r="O611" s="172">
        <f>ROUND(M611*$E611/100,0)</f>
        <v>90550</v>
      </c>
      <c r="P611" s="330"/>
      <c r="Q611" s="207" t="s">
        <v>115</v>
      </c>
      <c r="R611" s="208">
        <f>R610-R609</f>
        <v>-0.34999999997671694</v>
      </c>
      <c r="T611" s="190">
        <f>M611/G611-1</f>
        <v>0.14368470804954292</v>
      </c>
      <c r="U611" s="172"/>
      <c r="V611"/>
    </row>
    <row r="612" spans="1:22">
      <c r="A612" s="185" t="s">
        <v>245</v>
      </c>
      <c r="C612" s="186">
        <v>501600</v>
      </c>
      <c r="E612" s="261">
        <f>E614-E611</f>
        <v>470816</v>
      </c>
      <c r="G612" s="357">
        <v>3.6547000000000001</v>
      </c>
      <c r="H612" s="193" t="s">
        <v>108</v>
      </c>
      <c r="I612" s="172">
        <f>ROUND($G612*C612/100,0)</f>
        <v>18332</v>
      </c>
      <c r="K612" s="172">
        <f>ROUND($G612*E612/100,0)</f>
        <v>17207</v>
      </c>
      <c r="M612" s="357">
        <f>ROUND((R610-SUM(O607,O609:O611))/E612*100,4)</f>
        <v>4.1365999999999996</v>
      </c>
      <c r="N612" s="193" t="s">
        <v>108</v>
      </c>
      <c r="O612" s="172">
        <f>ROUND(M612*$E612/100,0)</f>
        <v>19476</v>
      </c>
      <c r="P612" s="218"/>
      <c r="Q612" s="210" t="s">
        <v>117</v>
      </c>
      <c r="R612" s="280">
        <f>R609/K615-1</f>
        <v>0.22329557326646965</v>
      </c>
      <c r="T612" s="190">
        <f>M612/G612-1</f>
        <v>0.1318576080116014</v>
      </c>
      <c r="V612"/>
    </row>
    <row r="613" spans="1:22">
      <c r="A613" s="185" t="s">
        <v>132</v>
      </c>
      <c r="C613" s="227">
        <v>10501</v>
      </c>
      <c r="E613" s="227">
        <v>0</v>
      </c>
      <c r="G613" s="357"/>
      <c r="H613" s="359"/>
      <c r="I613" s="229">
        <v>620</v>
      </c>
      <c r="K613" s="229">
        <v>0</v>
      </c>
      <c r="M613" s="357"/>
      <c r="N613" s="359"/>
      <c r="O613" s="229">
        <v>0</v>
      </c>
      <c r="P613" s="218"/>
      <c r="Q613" s="214" t="s">
        <v>119</v>
      </c>
      <c r="R613" s="281">
        <f>R610/K615-1</f>
        <v>0.22329426733530355</v>
      </c>
      <c r="S613" s="360"/>
      <c r="V613"/>
    </row>
    <row r="614" spans="1:22">
      <c r="A614" s="185" t="s">
        <v>358</v>
      </c>
      <c r="C614" s="260">
        <f>C612+C611+C613</f>
        <v>2556624</v>
      </c>
      <c r="E614" s="260">
        <f>E615-E607</f>
        <v>2389862</v>
      </c>
      <c r="G614" s="269"/>
      <c r="H614" s="267"/>
      <c r="I614" s="172">
        <f>SUM(I609:I613)</f>
        <v>224278</v>
      </c>
      <c r="K614" s="172">
        <f>SUM(K609:K613)</f>
        <v>209618</v>
      </c>
      <c r="M614" s="269"/>
      <c r="N614" s="267"/>
      <c r="O614" s="172">
        <f>SUM(O609:O613)</f>
        <v>255817</v>
      </c>
      <c r="Q614" s="214" t="s">
        <v>168</v>
      </c>
      <c r="R614" s="281">
        <f>(R610-O602-O609)/(K615-K602-K609)-1</f>
        <v>0.22321635620241964</v>
      </c>
      <c r="S614" s="360"/>
    </row>
    <row r="615" spans="1:22" ht="16.5" thickBot="1">
      <c r="A615" s="185" t="s">
        <v>134</v>
      </c>
      <c r="C615" s="310">
        <f>C614+C607</f>
        <v>2976537</v>
      </c>
      <c r="E615" s="310">
        <v>2784004</v>
      </c>
      <c r="G615" s="254"/>
      <c r="I615" s="354">
        <f>I614+I607</f>
        <v>286256</v>
      </c>
      <c r="K615" s="354">
        <f>K614+K607</f>
        <v>268008</v>
      </c>
      <c r="M615" s="254"/>
      <c r="O615" s="354">
        <f>O614+O607</f>
        <v>327853</v>
      </c>
      <c r="Q615" s="230" t="s">
        <v>138</v>
      </c>
      <c r="R615" s="284">
        <f>(O615+O616)/(K615+K616)-1</f>
        <v>0.16576318031935244</v>
      </c>
      <c r="S615" s="361"/>
      <c r="T615" s="360"/>
      <c r="U615" s="172"/>
    </row>
    <row r="616" spans="1:22" ht="16.5" thickTop="1">
      <c r="A616" s="185" t="s">
        <v>135</v>
      </c>
      <c r="C616" s="163"/>
      <c r="E616" s="163"/>
      <c r="G616" s="238"/>
      <c r="H616" s="239"/>
      <c r="I616" s="228">
        <f>MPA!K391</f>
        <v>13226.649999999998</v>
      </c>
      <c r="K616" s="228">
        <f>I616</f>
        <v>13226.649999999998</v>
      </c>
      <c r="M616" s="180"/>
      <c r="N616" s="239"/>
      <c r="O616" s="228">
        <v>0</v>
      </c>
      <c r="P616" s="172"/>
      <c r="Q616" s="171" t="s">
        <v>360</v>
      </c>
      <c r="R616" s="190">
        <f>((R610-SUM(O602,O609))-(E603*G603+E610*G610+(E604*G604+E605*G605+E611*G611+E612*G612)/100))/(E603*G603+E610*G610+1/R617*(E604*G604+E605*G605+E611*G611+E612*G612)/100)</f>
        <v>0.28735915976845677</v>
      </c>
      <c r="S616" s="360"/>
      <c r="T616" s="360"/>
      <c r="U616" s="172"/>
    </row>
    <row r="617" spans="1:22">
      <c r="A617" s="185" t="s">
        <v>136</v>
      </c>
      <c r="C617" s="163"/>
      <c r="E617" s="163"/>
      <c r="G617" s="238">
        <f>M617</f>
        <v>3.78E-2</v>
      </c>
      <c r="H617" s="239"/>
      <c r="I617" s="228">
        <f>ROUND(SUM(I603:I605,I610:I612,I616)*$G617,0)</f>
        <v>11077</v>
      </c>
      <c r="K617" s="228">
        <f>ROUND(SUM(K603:K605,K610:K612,K616)*$G617,0)</f>
        <v>10411</v>
      </c>
      <c r="M617" s="180">
        <v>3.78E-2</v>
      </c>
      <c r="N617" s="239"/>
      <c r="O617" s="228">
        <f>ROUND(SUM(O603:O605,O610:O612,O616)*M617,0)</f>
        <v>12123</v>
      </c>
      <c r="P617" s="172"/>
      <c r="Q617" s="171" t="s">
        <v>361</v>
      </c>
      <c r="R617" s="362">
        <v>2</v>
      </c>
      <c r="S617" s="360"/>
      <c r="T617" s="361"/>
      <c r="U617" s="172"/>
      <c r="V617" s="260"/>
    </row>
    <row r="618" spans="1:22">
      <c r="C618" s="163"/>
      <c r="E618" s="163"/>
      <c r="P618" s="172"/>
      <c r="Q618" s="171"/>
      <c r="R618" s="190"/>
      <c r="S618" s="360"/>
      <c r="T618" s="360"/>
      <c r="U618" s="172"/>
      <c r="V618" s="260"/>
    </row>
    <row r="619" spans="1:22">
      <c r="A619" s="181" t="s">
        <v>362</v>
      </c>
      <c r="C619" s="163"/>
      <c r="E619" s="163"/>
      <c r="P619" s="172"/>
      <c r="S619" s="360"/>
      <c r="T619" s="360"/>
      <c r="U619" s="172"/>
      <c r="V619" s="260"/>
    </row>
    <row r="620" spans="1:22">
      <c r="A620" s="185" t="s">
        <v>104</v>
      </c>
      <c r="C620" s="163">
        <f t="shared" ref="C620:C630" si="88">C635+C650+C665</f>
        <v>893530.83313115104</v>
      </c>
      <c r="E620" s="163">
        <f t="shared" ref="E620:E630" si="89">E635+E650+E665</f>
        <v>958829</v>
      </c>
      <c r="G620" s="187">
        <v>8</v>
      </c>
      <c r="H620" s="188"/>
      <c r="I620" s="172">
        <f>ROUND($G620*C620,0)</f>
        <v>7148247</v>
      </c>
      <c r="K620" s="172">
        <f>ROUND($G620*E620,0)</f>
        <v>7670632</v>
      </c>
      <c r="M620" s="363">
        <v>10</v>
      </c>
      <c r="N620" s="188"/>
      <c r="O620" s="172">
        <f>ROUND(M620*$E620,0)</f>
        <v>9588290</v>
      </c>
      <c r="P620" s="172"/>
      <c r="Q620" s="198" t="s">
        <v>111</v>
      </c>
      <c r="R620" s="199">
        <f>O630+O97</f>
        <v>137115986</v>
      </c>
      <c r="S620" s="257"/>
      <c r="T620" s="190">
        <f t="shared" ref="T620:T628" si="90">M620/G620-1</f>
        <v>0.25</v>
      </c>
      <c r="U620" s="172"/>
      <c r="V620" s="260"/>
    </row>
    <row r="621" spans="1:22">
      <c r="A621" s="185" t="s">
        <v>152</v>
      </c>
      <c r="C621" s="163">
        <f t="shared" si="88"/>
        <v>364552.75206289091</v>
      </c>
      <c r="E621" s="163">
        <f t="shared" si="89"/>
        <v>394241</v>
      </c>
      <c r="G621" s="187">
        <v>7.25</v>
      </c>
      <c r="H621" s="188"/>
      <c r="I621" s="172">
        <f>ROUND($G621*C621,0)</f>
        <v>2643007</v>
      </c>
      <c r="K621" s="172">
        <f>ROUND($G621*E621,0)</f>
        <v>2858247</v>
      </c>
      <c r="M621" s="364">
        <f>MROUND(G621*(1+$R$625),0.05)</f>
        <v>8.4</v>
      </c>
      <c r="N621" s="188"/>
      <c r="O621" s="172">
        <f>ROUND(M621*$E621,0)</f>
        <v>3311624</v>
      </c>
      <c r="P621" s="172"/>
      <c r="Q621" s="202" t="s">
        <v>113</v>
      </c>
      <c r="R621" s="203">
        <f>RateSpread!O32*1000</f>
        <v>137114600.4729</v>
      </c>
      <c r="T621" s="190">
        <f t="shared" si="90"/>
        <v>0.15862068965517251</v>
      </c>
      <c r="U621" s="172"/>
      <c r="V621" s="260"/>
    </row>
    <row r="622" spans="1:22">
      <c r="A622" s="185" t="s">
        <v>153</v>
      </c>
      <c r="C622" s="163">
        <f t="shared" si="88"/>
        <v>349447.92984869558</v>
      </c>
      <c r="E622" s="163">
        <f t="shared" si="89"/>
        <v>377760</v>
      </c>
      <c r="G622" s="187">
        <v>7.3</v>
      </c>
      <c r="H622" s="188"/>
      <c r="I622" s="172">
        <f>ROUND($G622*C622,0)</f>
        <v>2550970</v>
      </c>
      <c r="K622" s="172">
        <f>ROUND($G622*E622,0)</f>
        <v>2757648</v>
      </c>
      <c r="M622" s="364">
        <f>MROUND(G622*(1+$R$625),0.05)</f>
        <v>8.5</v>
      </c>
      <c r="N622" s="188"/>
      <c r="O622" s="172">
        <f>ROUND(M622*$E622,0)</f>
        <v>3210960</v>
      </c>
      <c r="P622" s="172"/>
      <c r="Q622" s="207" t="s">
        <v>115</v>
      </c>
      <c r="R622" s="208">
        <f>R621-R620</f>
        <v>-1385.5270999968052</v>
      </c>
      <c r="S622" s="224"/>
      <c r="T622" s="190">
        <f t="shared" si="90"/>
        <v>0.16438356164383561</v>
      </c>
      <c r="U622" s="172"/>
      <c r="V622" s="260"/>
    </row>
    <row r="623" spans="1:22">
      <c r="A623" s="185" t="s">
        <v>154</v>
      </c>
      <c r="C623" s="163">
        <f t="shared" si="88"/>
        <v>7774.2676508344102</v>
      </c>
      <c r="E623" s="163">
        <f t="shared" si="89"/>
        <v>8257</v>
      </c>
      <c r="G623" s="187">
        <v>-0.41</v>
      </c>
      <c r="H623" s="188"/>
      <c r="I623" s="172">
        <f>ROUND($G623*C623,0)</f>
        <v>-3187</v>
      </c>
      <c r="K623" s="172">
        <f>ROUND($G623*E623,0)</f>
        <v>-3385</v>
      </c>
      <c r="M623" s="364">
        <f>ROUND(G623*(1+$R$625),2)</f>
        <v>-0.48</v>
      </c>
      <c r="N623" s="188"/>
      <c r="O623" s="172">
        <f>ROUND(M623*$E623,0)</f>
        <v>-3963</v>
      </c>
      <c r="P623" s="172"/>
      <c r="Q623" s="210" t="s">
        <v>117</v>
      </c>
      <c r="R623" s="280">
        <f>R620/(K630+K97)-1</f>
        <v>0.16763844699744723</v>
      </c>
      <c r="T623" s="190">
        <f t="shared" si="90"/>
        <v>0.1707317073170731</v>
      </c>
      <c r="U623" s="172"/>
      <c r="V623" s="260"/>
    </row>
    <row r="624" spans="1:22">
      <c r="A624" s="185" t="s">
        <v>155</v>
      </c>
      <c r="C624" s="163">
        <f t="shared" si="88"/>
        <v>276172143.47263509</v>
      </c>
      <c r="E624" s="163">
        <f t="shared" si="89"/>
        <v>299722723</v>
      </c>
      <c r="G624" s="205">
        <v>9.8214000000000006</v>
      </c>
      <c r="H624" s="193" t="s">
        <v>108</v>
      </c>
      <c r="I624" s="172">
        <f>ROUND($G624*C624/100,0)</f>
        <v>27123971</v>
      </c>
      <c r="K624" s="172">
        <f>ROUND($G624*E624/100,0)</f>
        <v>29436968</v>
      </c>
      <c r="M624" s="205">
        <f>ROUND(G624*(1+$R$625),4)</f>
        <v>11.411799999999999</v>
      </c>
      <c r="N624" s="193" t="s">
        <v>108</v>
      </c>
      <c r="O624" s="172">
        <f>ROUND(M624*$E624/100,0)</f>
        <v>34203758</v>
      </c>
      <c r="P624" s="172"/>
      <c r="Q624" s="214" t="s">
        <v>119</v>
      </c>
      <c r="R624" s="281">
        <f>R621/(K630+K97)-1</f>
        <v>0.16762664826588791</v>
      </c>
      <c r="T624" s="190">
        <f t="shared" si="90"/>
        <v>0.16193210743885778</v>
      </c>
      <c r="U624" s="172"/>
      <c r="V624" s="260"/>
    </row>
    <row r="625" spans="1:22">
      <c r="A625" s="185" t="s">
        <v>156</v>
      </c>
      <c r="C625" s="163">
        <f t="shared" si="88"/>
        <v>287321127.14760274</v>
      </c>
      <c r="E625" s="163">
        <f t="shared" si="89"/>
        <v>311778518</v>
      </c>
      <c r="G625" s="205">
        <v>5.5063000000000004</v>
      </c>
      <c r="H625" s="193" t="s">
        <v>108</v>
      </c>
      <c r="I625" s="172">
        <f>ROUND($G625*C625/100,0)</f>
        <v>15820763</v>
      </c>
      <c r="K625" s="172">
        <f>ROUND($G625*E625/100,0)</f>
        <v>17167461</v>
      </c>
      <c r="M625" s="205">
        <f>ROUND(G625*(1+$R$625),4)</f>
        <v>6.3979999999999997</v>
      </c>
      <c r="N625" s="193" t="s">
        <v>108</v>
      </c>
      <c r="O625" s="172">
        <f>ROUND(M625*$E625/100,0)</f>
        <v>19947590</v>
      </c>
      <c r="P625" s="218"/>
      <c r="Q625" s="214" t="s">
        <v>168</v>
      </c>
      <c r="R625" s="281">
        <f>(R621-O620-O628-O87-O95)/(K630-K620-K628-K87-K95)-1</f>
        <v>0.16193586213316613</v>
      </c>
      <c r="T625" s="190">
        <f t="shared" si="90"/>
        <v>0.16194177578410174</v>
      </c>
      <c r="V625" s="260"/>
    </row>
    <row r="626" spans="1:22">
      <c r="A626" s="185" t="s">
        <v>157</v>
      </c>
      <c r="C626" s="163">
        <f t="shared" si="88"/>
        <v>391588057.16448581</v>
      </c>
      <c r="E626" s="163">
        <f t="shared" si="89"/>
        <v>424955295</v>
      </c>
      <c r="G626" s="205">
        <v>9.0399999999999991</v>
      </c>
      <c r="H626" s="193" t="s">
        <v>108</v>
      </c>
      <c r="I626" s="172">
        <f>ROUND($G626*C626/100,0)</f>
        <v>35399560</v>
      </c>
      <c r="K626" s="172">
        <f>ROUND($G626*E626/100,0)</f>
        <v>38415959</v>
      </c>
      <c r="M626" s="205">
        <f>ROUND(G626*(1+$R$625),4)</f>
        <v>10.5039</v>
      </c>
      <c r="N626" s="193" t="s">
        <v>108</v>
      </c>
      <c r="O626" s="172">
        <f>ROUND(M626*$E626/100,0)</f>
        <v>44636879</v>
      </c>
      <c r="P626" s="218"/>
      <c r="Q626" s="230" t="s">
        <v>123</v>
      </c>
      <c r="R626" s="284">
        <f>M620/G620-1</f>
        <v>0.25</v>
      </c>
      <c r="S626"/>
      <c r="T626" s="190">
        <f t="shared" si="90"/>
        <v>0.16193584070796474</v>
      </c>
      <c r="U626" s="172"/>
    </row>
    <row r="627" spans="1:22">
      <c r="A627" s="185" t="s">
        <v>158</v>
      </c>
      <c r="C627" s="163">
        <f t="shared" si="88"/>
        <v>347630492.51649153</v>
      </c>
      <c r="E627" s="163">
        <f t="shared" si="89"/>
        <v>377217615.24375314</v>
      </c>
      <c r="G627" s="205">
        <v>5.0688000000000004</v>
      </c>
      <c r="H627" s="193" t="s">
        <v>108</v>
      </c>
      <c r="I627" s="172">
        <f>ROUND($G627*C627/100,0)</f>
        <v>17620694</v>
      </c>
      <c r="K627" s="172">
        <f>ROUND($G627*E627/100,0)</f>
        <v>19120406</v>
      </c>
      <c r="M627" s="205">
        <f>ROUND((R621-SUM(O620:O626,O628,O87:O93,O95))/(E94+E627)*100,4)+R627</f>
        <v>5.8887999999999998</v>
      </c>
      <c r="N627" s="193" t="s">
        <v>108</v>
      </c>
      <c r="O627" s="172">
        <f>ROUND(M627*$E627/100,0)</f>
        <v>22213591</v>
      </c>
      <c r="P627" s="218"/>
      <c r="Q627" s="365" t="s">
        <v>363</v>
      </c>
      <c r="R627" s="366">
        <v>4.0000000000000002E-4</v>
      </c>
      <c r="T627" s="190">
        <f t="shared" si="90"/>
        <v>0.16177398989898983</v>
      </c>
      <c r="U627" s="172"/>
    </row>
    <row r="628" spans="1:22">
      <c r="A628" s="185" t="s">
        <v>159</v>
      </c>
      <c r="C628" s="163">
        <f t="shared" si="88"/>
        <v>0</v>
      </c>
      <c r="E628" s="163">
        <f t="shared" si="89"/>
        <v>0</v>
      </c>
      <c r="G628" s="187">
        <v>96</v>
      </c>
      <c r="H628" s="241"/>
      <c r="I628" s="172">
        <f>ROUND($G628*C628,0)</f>
        <v>0</v>
      </c>
      <c r="K628" s="172">
        <f>ROUND($G628*E628,0)</f>
        <v>0</v>
      </c>
      <c r="M628" s="187">
        <f>M620*12</f>
        <v>120</v>
      </c>
      <c r="N628" s="241"/>
      <c r="O628" s="172">
        <f>ROUND(M628*$E628,0)</f>
        <v>0</v>
      </c>
      <c r="P628" s="218"/>
      <c r="Q628" s="365" t="s">
        <v>364</v>
      </c>
      <c r="R628" s="366">
        <v>0</v>
      </c>
      <c r="T628" s="190">
        <f t="shared" si="90"/>
        <v>0.25</v>
      </c>
      <c r="U628"/>
    </row>
    <row r="629" spans="1:22">
      <c r="A629" s="185" t="s">
        <v>132</v>
      </c>
      <c r="C629" s="282">
        <f t="shared" si="88"/>
        <v>3843110</v>
      </c>
      <c r="E629" s="282">
        <f t="shared" si="89"/>
        <v>0</v>
      </c>
      <c r="I629" s="228">
        <f>I644+I659+I674</f>
        <v>502046</v>
      </c>
      <c r="K629" s="228">
        <f>K644+K659+K674</f>
        <v>0</v>
      </c>
      <c r="M629" s="161"/>
      <c r="O629" s="228">
        <f>O644+O659+O674</f>
        <v>0</v>
      </c>
      <c r="Q629" s="210" t="s">
        <v>47</v>
      </c>
      <c r="R629" s="367">
        <f>'Exhibit RMP-(WRG-1)'!Q52</f>
        <v>232416.29773154121</v>
      </c>
    </row>
    <row r="630" spans="1:22" ht="16.5" thickBot="1">
      <c r="A630" s="185" t="s">
        <v>134</v>
      </c>
      <c r="C630" s="265">
        <f t="shared" si="88"/>
        <v>1306554930.3012152</v>
      </c>
      <c r="E630" s="265">
        <f t="shared" si="89"/>
        <v>1413674151.2437532</v>
      </c>
      <c r="G630" s="254"/>
      <c r="I630" s="255">
        <f>SUM(I620:I629)</f>
        <v>108806071</v>
      </c>
      <c r="K630" s="255">
        <f>SUM(K620:K629)</f>
        <v>117423936</v>
      </c>
      <c r="M630" s="254"/>
      <c r="O630" s="255">
        <f>SUM(O620:O629)</f>
        <v>137108729</v>
      </c>
      <c r="Q630" s="214" t="s">
        <v>113</v>
      </c>
      <c r="R630" s="368">
        <f>RateSpread!Q52</f>
        <v>232416.29633204112</v>
      </c>
    </row>
    <row r="631" spans="1:22" ht="16.5" thickTop="1">
      <c r="A631" s="185" t="s">
        <v>135</v>
      </c>
      <c r="C631" s="163"/>
      <c r="E631" s="163"/>
      <c r="G631" s="238"/>
      <c r="H631" s="239"/>
      <c r="I631" s="228">
        <f>MPA!K404</f>
        <v>4366512.4729000004</v>
      </c>
      <c r="K631" s="228">
        <f>I631</f>
        <v>4366512.4729000004</v>
      </c>
      <c r="M631" s="180"/>
      <c r="N631" s="239"/>
      <c r="O631" s="228">
        <v>0</v>
      </c>
      <c r="P631" s="172"/>
      <c r="Q631" s="230" t="s">
        <v>138</v>
      </c>
      <c r="R631" s="284">
        <f>(O630+O631+O97+O98)/(K630+K631+K97+K98)-1</f>
        <v>0.12577468934988301</v>
      </c>
    </row>
    <row r="632" spans="1:22">
      <c r="A632" s="185" t="s">
        <v>136</v>
      </c>
      <c r="C632" s="163"/>
      <c r="E632" s="163"/>
      <c r="G632" s="238">
        <f>M632</f>
        <v>3.95E-2</v>
      </c>
      <c r="H632" s="239"/>
      <c r="I632" s="228">
        <f>ROUND(SUM(I621:I627,I631)*$G632,0)</f>
        <v>4168130</v>
      </c>
      <c r="K632" s="228">
        <f>ROUND(SUM(K621:K627,K631)*$G632,0)</f>
        <v>4507733</v>
      </c>
      <c r="M632" s="277">
        <v>3.95E-2</v>
      </c>
      <c r="N632" s="239"/>
      <c r="O632" s="228">
        <f>ROUND(SUM(O621:O627,O631)*M632,0)</f>
        <v>5037057</v>
      </c>
      <c r="P632" s="172"/>
    </row>
    <row r="633" spans="1:22">
      <c r="C633" s="163"/>
      <c r="E633" s="163"/>
      <c r="P633" s="172"/>
    </row>
    <row r="634" spans="1:22">
      <c r="A634" s="181" t="s">
        <v>365</v>
      </c>
      <c r="C634" s="163"/>
      <c r="E634" s="163"/>
      <c r="P634" s="172"/>
    </row>
    <row r="635" spans="1:22">
      <c r="A635" s="185" t="s">
        <v>104</v>
      </c>
      <c r="C635" s="186">
        <v>849081.84813115129</v>
      </c>
      <c r="E635" s="261">
        <v>916400</v>
      </c>
      <c r="G635" s="213">
        <v>8</v>
      </c>
      <c r="H635" s="272"/>
      <c r="I635" s="172">
        <f>ROUND($G635*C635,0)</f>
        <v>6792655</v>
      </c>
      <c r="K635" s="172">
        <f>ROUND($G635*E635,0)</f>
        <v>7331200</v>
      </c>
      <c r="M635" s="273">
        <f t="shared" ref="M635:M643" si="91">M620</f>
        <v>10</v>
      </c>
      <c r="N635" s="272"/>
      <c r="O635" s="172">
        <f>ROUND(M635*$E635,0)</f>
        <v>9164000</v>
      </c>
      <c r="P635" s="172"/>
      <c r="Q635" s="274"/>
      <c r="T635" s="190">
        <f t="shared" ref="T635:T643" si="92">M635/G635-1</f>
        <v>0.25</v>
      </c>
    </row>
    <row r="636" spans="1:22">
      <c r="A636" s="185" t="s">
        <v>152</v>
      </c>
      <c r="C636" s="186">
        <v>342333.48953923275</v>
      </c>
      <c r="E636" s="261">
        <f>ROUND(E$645*C636/C$645,0)</f>
        <v>371021</v>
      </c>
      <c r="G636" s="213">
        <v>7.25</v>
      </c>
      <c r="H636" s="272"/>
      <c r="I636" s="172">
        <f>ROUND($G636*C636,0)</f>
        <v>2481918</v>
      </c>
      <c r="K636" s="172">
        <f>ROUND($G636*E636,0)</f>
        <v>2689902</v>
      </c>
      <c r="M636" s="273">
        <f t="shared" si="91"/>
        <v>8.4</v>
      </c>
      <c r="N636" s="272"/>
      <c r="O636" s="172">
        <f>ROUND(M636*$E636,0)</f>
        <v>3116576</v>
      </c>
      <c r="P636" s="172"/>
      <c r="Q636" s="242"/>
      <c r="T636" s="190">
        <f t="shared" si="92"/>
        <v>0.15862068965517251</v>
      </c>
    </row>
    <row r="637" spans="1:22">
      <c r="A637" s="185" t="s">
        <v>153</v>
      </c>
      <c r="C637" s="186">
        <v>324351.0165061921</v>
      </c>
      <c r="E637" s="261">
        <f>ROUND(E$645*C637/C$645,0)</f>
        <v>351532</v>
      </c>
      <c r="G637" s="213">
        <v>7.3</v>
      </c>
      <c r="H637" s="272"/>
      <c r="I637" s="172">
        <f>ROUND($G637*C637,0)</f>
        <v>2367762</v>
      </c>
      <c r="K637" s="172">
        <f>ROUND($G637*E637,0)</f>
        <v>2566184</v>
      </c>
      <c r="M637" s="273">
        <f t="shared" si="91"/>
        <v>8.5</v>
      </c>
      <c r="N637" s="272"/>
      <c r="O637" s="172">
        <f>ROUND(M637*$E637,0)</f>
        <v>2988022</v>
      </c>
      <c r="P637" s="172"/>
      <c r="Q637" s="242"/>
      <c r="T637" s="190">
        <f t="shared" si="92"/>
        <v>0.16438356164383561</v>
      </c>
    </row>
    <row r="638" spans="1:22">
      <c r="A638" s="185" t="s">
        <v>154</v>
      </c>
      <c r="C638" s="186">
        <v>3426.21501925546</v>
      </c>
      <c r="E638" s="261">
        <f>ROUND(E$645*C638/C$645,0)</f>
        <v>3713</v>
      </c>
      <c r="G638" s="213">
        <v>-0.41</v>
      </c>
      <c r="H638" s="272"/>
      <c r="I638" s="172">
        <f>ROUND($G638*C638,0)</f>
        <v>-1405</v>
      </c>
      <c r="K638" s="172">
        <f>ROUND($G638*E638,0)</f>
        <v>-1522</v>
      </c>
      <c r="M638" s="273">
        <f t="shared" si="91"/>
        <v>-0.48</v>
      </c>
      <c r="N638" s="272"/>
      <c r="O638" s="172">
        <f>ROUND(M638*$E638,0)</f>
        <v>-1782</v>
      </c>
      <c r="P638" s="172"/>
      <c r="Q638" s="242"/>
      <c r="T638" s="190">
        <f t="shared" si="92"/>
        <v>0.1707317073170731</v>
      </c>
    </row>
    <row r="639" spans="1:22">
      <c r="A639" s="185" t="s">
        <v>155</v>
      </c>
      <c r="C639" s="186">
        <v>263977829.40885901</v>
      </c>
      <c r="E639" s="261">
        <f>ROUND(E$645*C639/SUM(C$639:C$642),0)</f>
        <v>286934851</v>
      </c>
      <c r="G639" s="269">
        <v>9.8214000000000006</v>
      </c>
      <c r="H639" s="193" t="s">
        <v>108</v>
      </c>
      <c r="I639" s="172">
        <f>ROUND($G639*C639/100,0)</f>
        <v>25926319</v>
      </c>
      <c r="K639" s="172">
        <f>ROUND($G639*E639/100,0)</f>
        <v>28181019</v>
      </c>
      <c r="M639" s="270">
        <f t="shared" si="91"/>
        <v>11.411799999999999</v>
      </c>
      <c r="N639" s="193" t="s">
        <v>108</v>
      </c>
      <c r="O639" s="172">
        <f>ROUND(M639*$E639/100,0)</f>
        <v>32744431</v>
      </c>
      <c r="P639" s="172"/>
      <c r="R639" s="275"/>
      <c r="S639"/>
      <c r="T639" s="190">
        <f t="shared" si="92"/>
        <v>0.16193210743885778</v>
      </c>
    </row>
    <row r="640" spans="1:22">
      <c r="A640" s="185" t="s">
        <v>156</v>
      </c>
      <c r="C640" s="186">
        <v>273461565.14760274</v>
      </c>
      <c r="E640" s="261">
        <f>ROUND(E$645*C640/SUM(C$639:C$642),0)</f>
        <v>297243347</v>
      </c>
      <c r="G640" s="269">
        <v>5.5063000000000004</v>
      </c>
      <c r="H640" s="193" t="s">
        <v>108</v>
      </c>
      <c r="I640" s="172">
        <f>ROUND($G640*C640/100,0)</f>
        <v>15057614</v>
      </c>
      <c r="K640" s="172">
        <f>ROUND($G640*E640/100,0)</f>
        <v>16367110</v>
      </c>
      <c r="M640" s="270">
        <f t="shared" si="91"/>
        <v>6.3979999999999997</v>
      </c>
      <c r="N640" s="193" t="s">
        <v>108</v>
      </c>
      <c r="O640" s="172">
        <f>ROUND(M640*$E640/100,0)</f>
        <v>19017629</v>
      </c>
      <c r="P640" s="218"/>
      <c r="Q640" s="242"/>
      <c r="R640" s="275"/>
      <c r="T640" s="190">
        <f t="shared" si="92"/>
        <v>0.16194177578410174</v>
      </c>
    </row>
    <row r="641" spans="1:22">
      <c r="A641" s="185" t="s">
        <v>157</v>
      </c>
      <c r="C641" s="186">
        <v>373642062.16448581</v>
      </c>
      <c r="E641" s="261">
        <f>ROUND(E$645*C641/SUM(C$639:C$642),0)</f>
        <v>406136113</v>
      </c>
      <c r="G641" s="269">
        <v>9.0399999999999991</v>
      </c>
      <c r="H641" s="193" t="s">
        <v>108</v>
      </c>
      <c r="I641" s="172">
        <f>ROUND($G641*C641/100,0)</f>
        <v>33777242</v>
      </c>
      <c r="K641" s="172">
        <f>ROUND($G641*E641/100,0)</f>
        <v>36714705</v>
      </c>
      <c r="M641" s="270">
        <f t="shared" si="91"/>
        <v>10.5039</v>
      </c>
      <c r="N641" s="193" t="s">
        <v>108</v>
      </c>
      <c r="O641" s="172">
        <f>ROUND(M641*$E641/100,0)</f>
        <v>42660131</v>
      </c>
      <c r="P641" s="218"/>
      <c r="R641" s="275"/>
      <c r="T641" s="190">
        <f t="shared" si="92"/>
        <v>0.16193584070796474</v>
      </c>
      <c r="U641"/>
    </row>
    <row r="642" spans="1:22">
      <c r="A642" s="185" t="s">
        <v>158</v>
      </c>
      <c r="C642" s="186">
        <v>330756967.51649153</v>
      </c>
      <c r="E642" s="261">
        <f>E645-SUM(E639:E641)</f>
        <v>359521485</v>
      </c>
      <c r="G642" s="269">
        <v>5.0688000000000004</v>
      </c>
      <c r="H642" s="193" t="s">
        <v>108</v>
      </c>
      <c r="I642" s="172">
        <f>ROUND($G642*C642/100,0)</f>
        <v>16765409</v>
      </c>
      <c r="K642" s="172">
        <f>ROUND($G642*E642/100,0)</f>
        <v>18223425</v>
      </c>
      <c r="M642" s="270">
        <f t="shared" si="91"/>
        <v>5.8887999999999998</v>
      </c>
      <c r="N642" s="193" t="s">
        <v>108</v>
      </c>
      <c r="O642" s="172">
        <f>ROUND(M642*$E642/100,0)</f>
        <v>21171501</v>
      </c>
      <c r="P642" s="218"/>
      <c r="R642" s="275"/>
      <c r="T642" s="190">
        <f t="shared" si="92"/>
        <v>0.16177398989898983</v>
      </c>
    </row>
    <row r="643" spans="1:22">
      <c r="A643" s="185" t="s">
        <v>159</v>
      </c>
      <c r="C643" s="186">
        <v>0</v>
      </c>
      <c r="E643" s="261">
        <f>ROUND(C643*E635/C635,0)</f>
        <v>0</v>
      </c>
      <c r="G643" s="213">
        <v>96</v>
      </c>
      <c r="H643" s="272"/>
      <c r="I643" s="172">
        <f>ROUND($G643*C643,0)</f>
        <v>0</v>
      </c>
      <c r="K643" s="172">
        <f>ROUND($G643*E643,0)</f>
        <v>0</v>
      </c>
      <c r="M643" s="273">
        <f t="shared" si="91"/>
        <v>120</v>
      </c>
      <c r="N643" s="272"/>
      <c r="O643" s="172">
        <f>ROUND(M643*$E643,0)</f>
        <v>0</v>
      </c>
      <c r="P643" s="218"/>
      <c r="T643" s="190">
        <f t="shared" si="92"/>
        <v>0.25</v>
      </c>
      <c r="V643"/>
    </row>
    <row r="644" spans="1:22">
      <c r="A644" s="185" t="s">
        <v>132</v>
      </c>
      <c r="C644" s="227">
        <v>3627759</v>
      </c>
      <c r="E644" s="227">
        <v>0</v>
      </c>
      <c r="I644" s="229">
        <v>490891</v>
      </c>
      <c r="K644" s="229">
        <v>0</v>
      </c>
      <c r="O644" s="228">
        <v>0</v>
      </c>
    </row>
    <row r="645" spans="1:22" ht="16.5" thickBot="1">
      <c r="A645" s="185" t="s">
        <v>134</v>
      </c>
      <c r="C645" s="265">
        <f>SUM(C639:C642,C644)</f>
        <v>1245466183.2374392</v>
      </c>
      <c r="E645" s="265">
        <v>1349835796</v>
      </c>
      <c r="G645" s="254"/>
      <c r="I645" s="255">
        <f>SUM(I635:I644)</f>
        <v>103658405</v>
      </c>
      <c r="K645" s="255">
        <f>SUM(K635:K644)</f>
        <v>112072023</v>
      </c>
      <c r="M645" s="256"/>
      <c r="O645" s="255">
        <f>SUM(O635:O644)</f>
        <v>130860508</v>
      </c>
      <c r="Q645" s="171" t="s">
        <v>117</v>
      </c>
      <c r="R645" s="248">
        <f>O645/K645-1</f>
        <v>0.16764652316484008</v>
      </c>
    </row>
    <row r="646" spans="1:22" ht="16.5" thickTop="1">
      <c r="A646" s="185" t="s">
        <v>135</v>
      </c>
      <c r="C646" s="163"/>
      <c r="E646" s="276"/>
      <c r="G646" s="238"/>
      <c r="H646" s="239"/>
      <c r="I646" s="228">
        <f>ROUND($I$631*I645/$I$630,0)</f>
        <v>4159931</v>
      </c>
      <c r="K646" s="228">
        <f>I646</f>
        <v>4159931</v>
      </c>
      <c r="M646" s="180"/>
      <c r="N646" s="239"/>
      <c r="O646" s="228">
        <v>0</v>
      </c>
      <c r="P646" s="172"/>
      <c r="Q646" s="161" t="s">
        <v>138</v>
      </c>
      <c r="R646" s="264">
        <f>(O645+O646)/(K645+K646)-1</f>
        <v>0.12585656092471775</v>
      </c>
    </row>
    <row r="647" spans="1:22">
      <c r="A647" s="185" t="s">
        <v>136</v>
      </c>
      <c r="C647" s="163"/>
      <c r="E647" s="276"/>
      <c r="G647" s="238">
        <f>M647</f>
        <v>3.95E-2</v>
      </c>
      <c r="H647" s="258"/>
      <c r="I647" s="228">
        <f>ROUND(SUM(I636:I642,I646)*$G647,0)</f>
        <v>3971124</v>
      </c>
      <c r="K647" s="228">
        <f>ROUND(SUM(K636:K642,K646)*$G647,0)</f>
        <v>4301580</v>
      </c>
      <c r="M647" s="259">
        <f>M632</f>
        <v>3.95E-2</v>
      </c>
      <c r="N647" s="258"/>
      <c r="O647" s="228">
        <f>ROUND(SUM(O636:O642,O646)*M647,0)</f>
        <v>4807012</v>
      </c>
      <c r="P647" s="172"/>
      <c r="R647"/>
    </row>
    <row r="648" spans="1:22">
      <c r="C648" s="163"/>
      <c r="E648" s="163"/>
      <c r="P648" s="172"/>
    </row>
    <row r="649" spans="1:22">
      <c r="A649" s="181" t="s">
        <v>366</v>
      </c>
      <c r="C649" s="163"/>
      <c r="E649" s="163"/>
      <c r="P649" s="172"/>
    </row>
    <row r="650" spans="1:22">
      <c r="A650" s="185" t="s">
        <v>104</v>
      </c>
      <c r="C650" s="186">
        <v>44412.984583333171</v>
      </c>
      <c r="E650" s="261">
        <v>42393</v>
      </c>
      <c r="G650" s="213">
        <v>8</v>
      </c>
      <c r="H650" s="272"/>
      <c r="I650" s="172">
        <f>ROUND($G650*C650,0)</f>
        <v>355304</v>
      </c>
      <c r="K650" s="172">
        <f>ROUND($G650*E650,0)</f>
        <v>339144</v>
      </c>
      <c r="M650" s="273">
        <f t="shared" ref="M650:M658" si="93">M620</f>
        <v>10</v>
      </c>
      <c r="N650" s="272"/>
      <c r="O650" s="172">
        <f>ROUND(M650*$E650,0)</f>
        <v>423930</v>
      </c>
      <c r="P650" s="172"/>
      <c r="T650" s="190">
        <f t="shared" ref="T650:T658" si="94">M650/G650-1</f>
        <v>0.25</v>
      </c>
    </row>
    <row r="651" spans="1:22">
      <c r="A651" s="185" t="s">
        <v>152</v>
      </c>
      <c r="C651" s="186">
        <v>22219.262523658155</v>
      </c>
      <c r="E651" s="261">
        <f>ROUND(C651*$E$660/$C$660,0)</f>
        <v>23220</v>
      </c>
      <c r="G651" s="213">
        <v>7.25</v>
      </c>
      <c r="H651" s="272"/>
      <c r="I651" s="172">
        <f>ROUND($G651*C651,0)</f>
        <v>161090</v>
      </c>
      <c r="K651" s="172">
        <f>ROUND($G651*E651,0)</f>
        <v>168345</v>
      </c>
      <c r="M651" s="273">
        <f t="shared" si="93"/>
        <v>8.4</v>
      </c>
      <c r="N651" s="272"/>
      <c r="O651" s="172">
        <f>ROUND(M651*$E651,0)</f>
        <v>195048</v>
      </c>
      <c r="P651" s="172"/>
      <c r="T651" s="190">
        <f t="shared" si="94"/>
        <v>0.15862068965517251</v>
      </c>
    </row>
    <row r="652" spans="1:22">
      <c r="A652" s="185" t="s">
        <v>153</v>
      </c>
      <c r="C652" s="186">
        <v>25096.9133425035</v>
      </c>
      <c r="E652" s="261">
        <f>ROUND(C652*$E$660/$C$660,0)</f>
        <v>26228</v>
      </c>
      <c r="G652" s="213">
        <v>7.3</v>
      </c>
      <c r="H652" s="272"/>
      <c r="I652" s="172">
        <f>ROUND($G652*C652,0)</f>
        <v>183207</v>
      </c>
      <c r="K652" s="172">
        <f>ROUND($G652*E652,0)</f>
        <v>191464</v>
      </c>
      <c r="M652" s="273">
        <f t="shared" si="93"/>
        <v>8.5</v>
      </c>
      <c r="N652" s="272"/>
      <c r="O652" s="172">
        <f>ROUND(M652*$E652,0)</f>
        <v>222938</v>
      </c>
      <c r="P652" s="172"/>
      <c r="T652" s="190">
        <f t="shared" si="94"/>
        <v>0.16438356164383561</v>
      </c>
    </row>
    <row r="653" spans="1:22">
      <c r="A653" s="185" t="s">
        <v>154</v>
      </c>
      <c r="C653" s="186">
        <v>4348.0526315789502</v>
      </c>
      <c r="E653" s="261">
        <f>ROUND(C653*$E$660/$C$660,0)</f>
        <v>4544</v>
      </c>
      <c r="G653" s="213">
        <v>-0.41</v>
      </c>
      <c r="H653" s="272"/>
      <c r="I653" s="172">
        <f>ROUND($G653*C653,0)</f>
        <v>-1783</v>
      </c>
      <c r="K653" s="172">
        <f>ROUND($G653*E653,0)</f>
        <v>-1863</v>
      </c>
      <c r="M653" s="273">
        <f t="shared" si="93"/>
        <v>-0.48</v>
      </c>
      <c r="N653" s="272"/>
      <c r="O653" s="172">
        <f>ROUND(M653*$E653,0)</f>
        <v>-2181</v>
      </c>
      <c r="P653" s="172"/>
      <c r="T653" s="190">
        <f t="shared" si="94"/>
        <v>0.1707317073170731</v>
      </c>
    </row>
    <row r="654" spans="1:22">
      <c r="A654" s="185" t="s">
        <v>155</v>
      </c>
      <c r="C654" s="186">
        <v>12184944.063776063</v>
      </c>
      <c r="E654" s="261">
        <f>ROUND(C654*($E$660-$E$659)/($C$660-$C$659),0)</f>
        <v>12779044</v>
      </c>
      <c r="G654" s="293">
        <v>9.8214000000000006</v>
      </c>
      <c r="H654" s="193" t="s">
        <v>108</v>
      </c>
      <c r="I654" s="172">
        <f>ROUND($G654*C654/100,0)</f>
        <v>1196732</v>
      </c>
      <c r="K654" s="172">
        <f>ROUND($G654*E654/100,0)</f>
        <v>1255081</v>
      </c>
      <c r="M654" s="294">
        <f t="shared" si="93"/>
        <v>11.411799999999999</v>
      </c>
      <c r="N654" s="193" t="s">
        <v>108</v>
      </c>
      <c r="O654" s="172">
        <f>ROUND(M654*$E654/100,0)</f>
        <v>1458319</v>
      </c>
      <c r="P654" s="172"/>
      <c r="S654"/>
      <c r="T654" s="190">
        <f t="shared" si="94"/>
        <v>0.16193210743885778</v>
      </c>
    </row>
    <row r="655" spans="1:22">
      <c r="A655" s="185" t="s">
        <v>156</v>
      </c>
      <c r="C655" s="186">
        <v>13858241</v>
      </c>
      <c r="E655" s="261">
        <f>ROUND(C655*($E$660-$E$659)/($C$660-$C$659),0)</f>
        <v>14533926</v>
      </c>
      <c r="G655" s="293">
        <v>5.5063000000000004</v>
      </c>
      <c r="H655" s="193" t="s">
        <v>108</v>
      </c>
      <c r="I655" s="172">
        <f>ROUND($G655*C655/100,0)</f>
        <v>763076</v>
      </c>
      <c r="K655" s="172">
        <f>ROUND($G655*E655/100,0)</f>
        <v>800282</v>
      </c>
      <c r="M655" s="294">
        <f t="shared" si="93"/>
        <v>6.3979999999999997</v>
      </c>
      <c r="N655" s="193" t="s">
        <v>108</v>
      </c>
      <c r="O655" s="172">
        <f>ROUND(M655*$E655/100,0)</f>
        <v>929881</v>
      </c>
      <c r="P655" s="218"/>
      <c r="T655" s="190">
        <f t="shared" si="94"/>
        <v>0.16194177578410174</v>
      </c>
    </row>
    <row r="656" spans="1:22">
      <c r="A656" s="185" t="s">
        <v>157</v>
      </c>
      <c r="C656" s="186">
        <v>17929087</v>
      </c>
      <c r="E656" s="261">
        <f>ROUND(C656*($E$660-$E$659)/($C$660-$C$659),0)</f>
        <v>18803253</v>
      </c>
      <c r="G656" s="293">
        <v>9.0399999999999991</v>
      </c>
      <c r="H656" s="193" t="s">
        <v>108</v>
      </c>
      <c r="I656" s="172">
        <f>ROUND($G656*C656/100,0)</f>
        <v>1620789</v>
      </c>
      <c r="K656" s="172">
        <f>ROUND($G656*E656/100,0)</f>
        <v>1699814</v>
      </c>
      <c r="M656" s="294">
        <f t="shared" si="93"/>
        <v>10.5039</v>
      </c>
      <c r="N656" s="193" t="s">
        <v>108</v>
      </c>
      <c r="O656" s="172">
        <f>ROUND(M656*$E656/100,0)</f>
        <v>1975075</v>
      </c>
      <c r="P656" s="218"/>
      <c r="T656" s="190">
        <f t="shared" si="94"/>
        <v>0.16193584070796474</v>
      </c>
      <c r="U656"/>
    </row>
    <row r="657" spans="1:22">
      <c r="A657" s="185" t="s">
        <v>158</v>
      </c>
      <c r="C657" s="186">
        <v>16872636</v>
      </c>
      <c r="E657" s="261">
        <f>E660-E654-E655-E656</f>
        <v>17695293</v>
      </c>
      <c r="G657" s="293">
        <v>5.0688000000000004</v>
      </c>
      <c r="H657" s="193" t="s">
        <v>108</v>
      </c>
      <c r="I657" s="172">
        <f>ROUND($G657*C657/100,0)</f>
        <v>855240</v>
      </c>
      <c r="K657" s="172">
        <f>ROUND($G657*E657/100,0)</f>
        <v>896939</v>
      </c>
      <c r="M657" s="294">
        <f t="shared" si="93"/>
        <v>5.8887999999999998</v>
      </c>
      <c r="N657" s="193" t="s">
        <v>108</v>
      </c>
      <c r="O657" s="172">
        <f>ROUND(M657*$E657/100,0)</f>
        <v>1042040</v>
      </c>
      <c r="P657" s="218"/>
      <c r="T657" s="190">
        <f t="shared" si="94"/>
        <v>0.16177398989898983</v>
      </c>
    </row>
    <row r="658" spans="1:22">
      <c r="A658" s="185" t="s">
        <v>159</v>
      </c>
      <c r="C658" s="186">
        <v>0</v>
      </c>
      <c r="E658" s="261">
        <f>ROUND(C658*E650/C650,0)</f>
        <v>0</v>
      </c>
      <c r="G658" s="213">
        <v>96</v>
      </c>
      <c r="H658" s="272"/>
      <c r="I658" s="172">
        <f>ROUND($G658*C658,0)</f>
        <v>0</v>
      </c>
      <c r="K658" s="172">
        <f>ROUND($G658*E658,0)</f>
        <v>0</v>
      </c>
      <c r="M658" s="273">
        <f t="shared" si="93"/>
        <v>120</v>
      </c>
      <c r="N658" s="272"/>
      <c r="O658" s="172">
        <f>ROUND(M658*$E658,0)</f>
        <v>0</v>
      </c>
      <c r="P658" s="218"/>
      <c r="T658" s="190">
        <f t="shared" si="94"/>
        <v>0.25</v>
      </c>
      <c r="V658"/>
    </row>
    <row r="659" spans="1:22">
      <c r="A659" s="185" t="s">
        <v>132</v>
      </c>
      <c r="C659" s="227">
        <v>215415</v>
      </c>
      <c r="E659" s="282">
        <v>0</v>
      </c>
      <c r="I659" s="229">
        <v>11146</v>
      </c>
      <c r="K659" s="229">
        <v>0</v>
      </c>
      <c r="O659" s="228">
        <v>0</v>
      </c>
    </row>
    <row r="660" spans="1:22" ht="16.5" thickBot="1">
      <c r="A660" s="185" t="s">
        <v>134</v>
      </c>
      <c r="C660" s="265">
        <f>SUM(C654:C657,C659)</f>
        <v>61060323.063776061</v>
      </c>
      <c r="E660" s="265">
        <v>63811516</v>
      </c>
      <c r="G660" s="254"/>
      <c r="I660" s="255">
        <f>SUM(I650:I659)</f>
        <v>5144801</v>
      </c>
      <c r="K660" s="255">
        <f>SUM(K650:K659)</f>
        <v>5349206</v>
      </c>
      <c r="M660" s="256"/>
      <c r="O660" s="255">
        <f>SUM(O650:O659)</f>
        <v>6245050</v>
      </c>
      <c r="Q660" s="171" t="s">
        <v>117</v>
      </c>
      <c r="R660" s="248">
        <f>O660/K660-1</f>
        <v>0.16747233140768936</v>
      </c>
    </row>
    <row r="661" spans="1:22" ht="16.5" thickTop="1">
      <c r="A661" s="185" t="s">
        <v>135</v>
      </c>
      <c r="C661" s="163"/>
      <c r="E661" s="163"/>
      <c r="G661" s="238"/>
      <c r="H661" s="239"/>
      <c r="I661" s="228">
        <f>ROUND($I$631*I660/$I$630,0)</f>
        <v>206467</v>
      </c>
      <c r="K661" s="228">
        <f>I661</f>
        <v>206467</v>
      </c>
      <c r="M661" s="180"/>
      <c r="N661" s="239"/>
      <c r="O661" s="228">
        <v>0</v>
      </c>
      <c r="P661" s="172"/>
      <c r="Q661" s="161" t="s">
        <v>138</v>
      </c>
      <c r="R661" s="264">
        <f>(O660+O661)/(K660+K661)-1</f>
        <v>0.12408523683809314</v>
      </c>
    </row>
    <row r="662" spans="1:22">
      <c r="A662" s="185" t="s">
        <v>136</v>
      </c>
      <c r="C662" s="163"/>
      <c r="E662" s="163"/>
      <c r="G662" s="238">
        <f>M662</f>
        <v>3.95E-2</v>
      </c>
      <c r="H662" s="258"/>
      <c r="I662" s="228">
        <f>ROUND(SUM(I651:I657,I661)*$G662,0)</f>
        <v>196900</v>
      </c>
      <c r="K662" s="228">
        <f>ROUND(SUM(K651:K657,K661)*$G662,0)</f>
        <v>206053</v>
      </c>
      <c r="M662" s="259">
        <f>M632</f>
        <v>3.95E-2</v>
      </c>
      <c r="N662" s="258"/>
      <c r="O662" s="228">
        <f>ROUND(SUM(O651:O657,O661)*M662,0)</f>
        <v>229934</v>
      </c>
      <c r="P662" s="172"/>
      <c r="R662"/>
    </row>
    <row r="663" spans="1:22">
      <c r="C663" s="163"/>
      <c r="E663" s="163"/>
      <c r="P663" s="172"/>
    </row>
    <row r="664" spans="1:22">
      <c r="A664" s="181" t="s">
        <v>367</v>
      </c>
      <c r="C664" s="163"/>
      <c r="E664" s="163"/>
      <c r="P664" s="172"/>
    </row>
    <row r="665" spans="1:22">
      <c r="A665" s="185" t="s">
        <v>104</v>
      </c>
      <c r="C665" s="186">
        <v>36.000416666666702</v>
      </c>
      <c r="E665" s="261">
        <v>36</v>
      </c>
      <c r="G665" s="213">
        <v>8</v>
      </c>
      <c r="H665" s="272"/>
      <c r="I665" s="172">
        <f>ROUND($G665*C665,0)</f>
        <v>288</v>
      </c>
      <c r="K665" s="172">
        <f>ROUND($G665*E665,0)</f>
        <v>288</v>
      </c>
      <c r="M665" s="273">
        <f t="shared" ref="M665:M673" si="95">M620</f>
        <v>10</v>
      </c>
      <c r="N665" s="272"/>
      <c r="O665" s="172">
        <f>ROUND(M665*$E665,0)</f>
        <v>360</v>
      </c>
      <c r="P665" s="172"/>
      <c r="T665" s="190">
        <f t="shared" ref="T665:T673" si="96">M665/G665-1</f>
        <v>0.25</v>
      </c>
    </row>
    <row r="666" spans="1:22">
      <c r="A666" s="185" t="s">
        <v>152</v>
      </c>
      <c r="C666" s="186">
        <v>0</v>
      </c>
      <c r="E666" s="261">
        <f>ROUND(C666*$E$675/$C$675,0)</f>
        <v>0</v>
      </c>
      <c r="G666" s="213">
        <v>7.25</v>
      </c>
      <c r="H666" s="272"/>
      <c r="I666" s="172">
        <f>ROUND($G666*C666,0)</f>
        <v>0</v>
      </c>
      <c r="K666" s="172">
        <f>ROUND($G666*E666,0)</f>
        <v>0</v>
      </c>
      <c r="M666" s="273">
        <f t="shared" si="95"/>
        <v>8.4</v>
      </c>
      <c r="N666" s="272"/>
      <c r="O666" s="172">
        <f>ROUND(M666*$E666,0)</f>
        <v>0</v>
      </c>
      <c r="P666" s="172"/>
      <c r="T666" s="190">
        <f t="shared" si="96"/>
        <v>0.15862068965517251</v>
      </c>
    </row>
    <row r="667" spans="1:22">
      <c r="A667" s="185" t="s">
        <v>153</v>
      </c>
      <c r="C667" s="186">
        <v>0</v>
      </c>
      <c r="E667" s="261">
        <f>ROUND(C667*$E$675/$C$675,0)</f>
        <v>0</v>
      </c>
      <c r="G667" s="213">
        <v>7.3</v>
      </c>
      <c r="H667" s="272"/>
      <c r="I667" s="172">
        <f>ROUND($G667*C667,0)</f>
        <v>0</v>
      </c>
      <c r="K667" s="172">
        <f>ROUND($G667*E667,0)</f>
        <v>0</v>
      </c>
      <c r="M667" s="273">
        <f t="shared" si="95"/>
        <v>8.5</v>
      </c>
      <c r="N667" s="272"/>
      <c r="O667" s="172">
        <f>ROUND(M667*$E667,0)</f>
        <v>0</v>
      </c>
      <c r="P667" s="172"/>
      <c r="T667" s="190">
        <f t="shared" si="96"/>
        <v>0.16438356164383561</v>
      </c>
    </row>
    <row r="668" spans="1:22">
      <c r="A668" s="185" t="s">
        <v>154</v>
      </c>
      <c r="C668" s="186">
        <v>0</v>
      </c>
      <c r="E668" s="261">
        <f>ROUND(C668*$E$675/$C$675,0)</f>
        <v>0</v>
      </c>
      <c r="G668" s="213">
        <v>-0.41</v>
      </c>
      <c r="H668" s="272"/>
      <c r="I668" s="172">
        <f>ROUND($G668*C668,0)</f>
        <v>0</v>
      </c>
      <c r="K668" s="172">
        <f>ROUND($G668*E668,0)</f>
        <v>0</v>
      </c>
      <c r="M668" s="273">
        <f t="shared" si="95"/>
        <v>-0.48</v>
      </c>
      <c r="N668" s="272"/>
      <c r="O668" s="172">
        <f>ROUND(M668*$E668,0)</f>
        <v>0</v>
      </c>
      <c r="P668" s="172"/>
      <c r="T668" s="190">
        <f t="shared" si="96"/>
        <v>0.1707317073170731</v>
      </c>
    </row>
    <row r="669" spans="1:22">
      <c r="A669" s="185" t="s">
        <v>155</v>
      </c>
      <c r="C669" s="186">
        <v>9370</v>
      </c>
      <c r="E669" s="261">
        <f>ROUND(C669*($E$675-$E$674)/($C$675-$C$674),0)</f>
        <v>8828</v>
      </c>
      <c r="G669" s="269">
        <v>9.8214000000000006</v>
      </c>
      <c r="H669" s="193" t="s">
        <v>108</v>
      </c>
      <c r="I669" s="172">
        <f>ROUND($G669*C669/100,0)</f>
        <v>920</v>
      </c>
      <c r="K669" s="172">
        <f>ROUND($G669*E669/100,0)</f>
        <v>867</v>
      </c>
      <c r="M669" s="270">
        <f t="shared" si="95"/>
        <v>11.411799999999999</v>
      </c>
      <c r="N669" s="193" t="s">
        <v>108</v>
      </c>
      <c r="O669" s="172">
        <f>ROUND(M669*$E669/100,0)</f>
        <v>1007</v>
      </c>
      <c r="P669" s="172"/>
      <c r="S669"/>
      <c r="T669" s="190">
        <f t="shared" si="96"/>
        <v>0.16193210743885778</v>
      </c>
    </row>
    <row r="670" spans="1:22">
      <c r="A670" s="185" t="s">
        <v>156</v>
      </c>
      <c r="C670" s="186">
        <v>1321</v>
      </c>
      <c r="E670" s="261">
        <f>ROUND(C670*($E$675-$E$674)/($C$675-$C$674),0)</f>
        <v>1245</v>
      </c>
      <c r="G670" s="269">
        <v>5.5063000000000004</v>
      </c>
      <c r="H670" s="193" t="s">
        <v>108</v>
      </c>
      <c r="I670" s="172">
        <f>ROUND($G670*C670/100,0)</f>
        <v>73</v>
      </c>
      <c r="K670" s="172">
        <f>ROUND($G670*E670/100,0)</f>
        <v>69</v>
      </c>
      <c r="M670" s="270">
        <f t="shared" si="95"/>
        <v>6.3979999999999997</v>
      </c>
      <c r="N670" s="193" t="s">
        <v>108</v>
      </c>
      <c r="O670" s="172">
        <f>ROUND(M670*$E670/100,0)</f>
        <v>80</v>
      </c>
      <c r="P670" s="218"/>
      <c r="T670" s="190">
        <f t="shared" si="96"/>
        <v>0.16194177578410174</v>
      </c>
    </row>
    <row r="671" spans="1:22">
      <c r="A671" s="185" t="s">
        <v>157</v>
      </c>
      <c r="C671" s="186">
        <v>16908</v>
      </c>
      <c r="E671" s="261">
        <f>ROUND(C671*($E$675-$E$674)/($C$675-$C$674),0)</f>
        <v>15929</v>
      </c>
      <c r="G671" s="269">
        <v>9.0399999999999991</v>
      </c>
      <c r="H671" s="193" t="s">
        <v>108</v>
      </c>
      <c r="I671" s="172">
        <f>ROUND($G671*C671/100,0)</f>
        <v>1528</v>
      </c>
      <c r="K671" s="172">
        <f>ROUND($G671*E671/100,0)</f>
        <v>1440</v>
      </c>
      <c r="M671" s="270">
        <f t="shared" si="95"/>
        <v>10.5039</v>
      </c>
      <c r="N671" s="193" t="s">
        <v>108</v>
      </c>
      <c r="O671" s="172">
        <f>ROUND(M671*$E671/100,0)</f>
        <v>1673</v>
      </c>
      <c r="P671" s="218"/>
      <c r="T671" s="190">
        <f t="shared" si="96"/>
        <v>0.16193584070796474</v>
      </c>
      <c r="U671"/>
    </row>
    <row r="672" spans="1:22">
      <c r="A672" s="185" t="s">
        <v>158</v>
      </c>
      <c r="C672" s="186">
        <v>889</v>
      </c>
      <c r="E672" s="261">
        <f>E675-E669-E670-E671</f>
        <v>837.24375311856784</v>
      </c>
      <c r="G672" s="269">
        <v>5.0688000000000004</v>
      </c>
      <c r="H672" s="193" t="s">
        <v>108</v>
      </c>
      <c r="I672" s="172">
        <f>ROUND($G672*C672/100,0)</f>
        <v>45</v>
      </c>
      <c r="K672" s="172">
        <f>ROUND($G672*E672/100,0)</f>
        <v>42</v>
      </c>
      <c r="M672" s="270">
        <f t="shared" si="95"/>
        <v>5.8887999999999998</v>
      </c>
      <c r="N672" s="193" t="s">
        <v>108</v>
      </c>
      <c r="O672" s="172">
        <f>ROUND(M672*$E672/100,0)</f>
        <v>49</v>
      </c>
      <c r="P672" s="218"/>
      <c r="T672" s="190">
        <f t="shared" si="96"/>
        <v>0.16177398989898983</v>
      </c>
    </row>
    <row r="673" spans="1:22">
      <c r="A673" s="185" t="s">
        <v>159</v>
      </c>
      <c r="C673" s="186">
        <v>0</v>
      </c>
      <c r="E673" s="261">
        <f>ROUND(C673*E665/C665,0)</f>
        <v>0</v>
      </c>
      <c r="G673" s="213">
        <v>96</v>
      </c>
      <c r="H673" s="272"/>
      <c r="I673" s="172">
        <f>ROUND($G673*C673,0)</f>
        <v>0</v>
      </c>
      <c r="K673" s="172">
        <f>ROUND($G673*E673,0)</f>
        <v>0</v>
      </c>
      <c r="M673" s="273">
        <f t="shared" si="95"/>
        <v>120</v>
      </c>
      <c r="N673" s="272"/>
      <c r="O673" s="172">
        <f>ROUND(M673*$E673,0)</f>
        <v>0</v>
      </c>
      <c r="P673" s="218"/>
      <c r="T673" s="190">
        <f t="shared" si="96"/>
        <v>0.25</v>
      </c>
      <c r="V673"/>
    </row>
    <row r="674" spans="1:22">
      <c r="A674" s="185" t="s">
        <v>132</v>
      </c>
      <c r="C674" s="227">
        <v>-64</v>
      </c>
      <c r="E674" s="227">
        <v>0</v>
      </c>
      <c r="I674" s="229">
        <v>9</v>
      </c>
      <c r="K674" s="229">
        <v>0</v>
      </c>
      <c r="O674" s="228">
        <v>0</v>
      </c>
    </row>
    <row r="675" spans="1:22" ht="16.5" thickBot="1">
      <c r="A675" s="185" t="s">
        <v>134</v>
      </c>
      <c r="C675" s="265">
        <f>SUM(C669:C672,C674)</f>
        <v>28424</v>
      </c>
      <c r="E675" s="265">
        <v>26839.243753118568</v>
      </c>
      <c r="G675" s="254"/>
      <c r="I675" s="255">
        <f>SUM(I665:I674)</f>
        <v>2863</v>
      </c>
      <c r="K675" s="255">
        <f>SUM(K665:K674)</f>
        <v>2706</v>
      </c>
      <c r="M675" s="256"/>
      <c r="O675" s="255">
        <f>SUM(O665:O674)</f>
        <v>3169</v>
      </c>
      <c r="Q675" s="171" t="s">
        <v>117</v>
      </c>
      <c r="R675" s="248">
        <f>O675/K675-1</f>
        <v>0.17110125646711016</v>
      </c>
    </row>
    <row r="676" spans="1:22" ht="16.5" thickTop="1">
      <c r="A676" s="185" t="s">
        <v>135</v>
      </c>
      <c r="C676" s="163"/>
      <c r="E676" s="163"/>
      <c r="G676" s="238"/>
      <c r="H676" s="239"/>
      <c r="I676" s="228">
        <f>I631-I646-I661</f>
        <v>114.47290000040084</v>
      </c>
      <c r="K676" s="228">
        <f>I676</f>
        <v>114.47290000040084</v>
      </c>
      <c r="M676" s="180"/>
      <c r="N676" s="239"/>
      <c r="O676" s="228">
        <v>0</v>
      </c>
      <c r="P676" s="172"/>
      <c r="Q676" s="161" t="s">
        <v>138</v>
      </c>
      <c r="R676" s="264">
        <f>(O675+O676)/(K675+K676)-1</f>
        <v>0.12357044806193662</v>
      </c>
    </row>
    <row r="677" spans="1:22">
      <c r="A677" s="185" t="s">
        <v>136</v>
      </c>
      <c r="C677" s="163"/>
      <c r="E677" s="163"/>
      <c r="G677" s="238">
        <f>M677</f>
        <v>3.95E-2</v>
      </c>
      <c r="H677" s="258"/>
      <c r="I677" s="228">
        <f>ROUND(SUM(I666:I672,I676)*$G677,0)</f>
        <v>106</v>
      </c>
      <c r="K677" s="228">
        <f>ROUND(SUM(K666:K672,K676)*$G677,0)</f>
        <v>100</v>
      </c>
      <c r="M677" s="259">
        <f>M632</f>
        <v>3.95E-2</v>
      </c>
      <c r="N677" s="258"/>
      <c r="O677" s="228">
        <f>ROUND(SUM(O666:O672,O676)*M677,0)</f>
        <v>111</v>
      </c>
      <c r="P677" s="172"/>
      <c r="R677"/>
    </row>
    <row r="678" spans="1:22">
      <c r="P678" s="172"/>
    </row>
    <row r="679" spans="1:22">
      <c r="A679" s="181" t="s">
        <v>368</v>
      </c>
      <c r="C679" s="163"/>
      <c r="E679" s="163"/>
      <c r="G679" s="269"/>
      <c r="H679" s="267"/>
      <c r="M679" s="270"/>
      <c r="N679" s="267"/>
      <c r="P679" s="172"/>
    </row>
    <row r="680" spans="1:22">
      <c r="A680" s="356" t="s">
        <v>369</v>
      </c>
      <c r="C680" s="163"/>
      <c r="E680" s="163"/>
      <c r="P680" s="172"/>
      <c r="T680" s="369"/>
      <c r="U680" s="172"/>
    </row>
    <row r="681" spans="1:22">
      <c r="A681" s="185" t="s">
        <v>370</v>
      </c>
      <c r="B681" s="185"/>
      <c r="C681" s="186">
        <v>0</v>
      </c>
      <c r="E681" s="260">
        <v>0</v>
      </c>
      <c r="G681" s="187">
        <v>104</v>
      </c>
      <c r="H681" s="188"/>
      <c r="I681" s="172">
        <f>ROUND(G681*$C681,0)</f>
        <v>0</v>
      </c>
      <c r="K681" s="172">
        <f>ROUND(G681*$E681,0)</f>
        <v>0</v>
      </c>
      <c r="M681" s="187">
        <f>ROUND(G681*(1+R$682),0)</f>
        <v>124</v>
      </c>
      <c r="N681" s="188"/>
      <c r="O681" s="172">
        <f>ROUND(M681*$E681,0)</f>
        <v>0</v>
      </c>
      <c r="P681" s="172"/>
      <c r="Q681" s="171"/>
      <c r="S681" s="369"/>
      <c r="T681" s="190">
        <f>M681/G681-1</f>
        <v>0.19230769230769229</v>
      </c>
    </row>
    <row r="682" spans="1:22">
      <c r="A682" s="185" t="s">
        <v>371</v>
      </c>
      <c r="B682" s="185"/>
      <c r="C682" s="186">
        <v>0</v>
      </c>
      <c r="E682" s="163">
        <f>ROUND(C682*$E$728/$C$728,0)</f>
        <v>0</v>
      </c>
      <c r="G682" s="187">
        <v>3.81</v>
      </c>
      <c r="H682" s="188"/>
      <c r="I682" s="172">
        <f>ROUND(G682*$C682,0)</f>
        <v>0</v>
      </c>
      <c r="K682" s="172">
        <f>ROUND(G682*$E682,0)</f>
        <v>0</v>
      </c>
      <c r="M682" s="187">
        <f>ROUND(G682*(1+R$682),2)</f>
        <v>4.53</v>
      </c>
      <c r="N682" s="188"/>
      <c r="O682" s="172">
        <f>ROUND(M682*$E682,0)</f>
        <v>0</v>
      </c>
      <c r="P682" s="172"/>
      <c r="Q682" s="171" t="s">
        <v>372</v>
      </c>
      <c r="R682" s="264">
        <f>R683+R684</f>
        <v>0.18929420363649324</v>
      </c>
      <c r="T682" s="190">
        <f>M682/G682-1</f>
        <v>0.18897637795275601</v>
      </c>
      <c r="V682" s="260"/>
    </row>
    <row r="683" spans="1:22">
      <c r="A683" s="185" t="s">
        <v>373</v>
      </c>
      <c r="B683" s="185"/>
      <c r="C683" s="163"/>
      <c r="E683" s="163"/>
      <c r="G683" s="213"/>
      <c r="H683" s="272"/>
      <c r="I683" s="172"/>
      <c r="K683" s="172"/>
      <c r="M683" s="213"/>
      <c r="N683" s="272"/>
      <c r="O683" s="172"/>
      <c r="Q683" s="171" t="s">
        <v>374</v>
      </c>
      <c r="R683" s="264">
        <f>(K729+K782)/(K781+K728)</f>
        <v>4.3530887478667957E-2</v>
      </c>
      <c r="S683" s="369"/>
      <c r="T683" s="369"/>
      <c r="U683" s="172"/>
    </row>
    <row r="684" spans="1:22">
      <c r="A684" s="185" t="s">
        <v>375</v>
      </c>
      <c r="B684" s="185"/>
      <c r="C684" s="186">
        <v>0</v>
      </c>
      <c r="E684" s="163">
        <f>ROUND(C684*$E$728/$C$728,0)</f>
        <v>0</v>
      </c>
      <c r="G684" s="370">
        <v>0.52439999999999998</v>
      </c>
      <c r="H684" s="371"/>
      <c r="I684" s="172">
        <f>ROUND(G684*$C684,0)</f>
        <v>0</v>
      </c>
      <c r="K684" s="172">
        <f>ROUND(G684*$E684,0)</f>
        <v>0</v>
      </c>
      <c r="M684" s="370">
        <f>ROUND(G684*(1+R$682),4)</f>
        <v>0.62370000000000003</v>
      </c>
      <c r="N684" s="371"/>
      <c r="O684" s="172">
        <f>ROUND(M684*$E684,0)</f>
        <v>0</v>
      </c>
      <c r="P684" s="172"/>
      <c r="Q684" s="171" t="s">
        <v>376</v>
      </c>
      <c r="R684" s="264">
        <f>RateSpread!Q62</f>
        <v>0.14576331615782528</v>
      </c>
      <c r="S684" s="369"/>
      <c r="T684" s="190">
        <f>M684/G684-1</f>
        <v>0.18935926773455392</v>
      </c>
    </row>
    <row r="685" spans="1:22">
      <c r="A685" s="185" t="s">
        <v>377</v>
      </c>
      <c r="B685" s="185"/>
      <c r="C685" s="186">
        <v>0</v>
      </c>
      <c r="E685" s="163">
        <f>ROUND(C685*$E$728/$C$728,0)</f>
        <v>0</v>
      </c>
      <c r="G685" s="372">
        <v>0.26219999999999999</v>
      </c>
      <c r="H685" s="373"/>
      <c r="I685" s="172">
        <f>ROUND(G685*$C685,0)</f>
        <v>0</v>
      </c>
      <c r="K685" s="172">
        <f>ROUND(G685*$E685,0)</f>
        <v>0</v>
      </c>
      <c r="M685" s="372">
        <f>ROUND(M684*0.5,4)</f>
        <v>0.31190000000000001</v>
      </c>
      <c r="N685" s="373"/>
      <c r="O685" s="172">
        <f>ROUND(M685*$E685,0)</f>
        <v>0</v>
      </c>
      <c r="P685" s="172"/>
      <c r="S685" s="369"/>
      <c r="T685" s="190">
        <f>M685/G685-1</f>
        <v>0.18954996186117468</v>
      </c>
      <c r="U685" s="172"/>
      <c r="V685" s="260"/>
    </row>
    <row r="686" spans="1:22">
      <c r="A686" s="185" t="s">
        <v>378</v>
      </c>
      <c r="B686" s="185"/>
      <c r="C686" s="186">
        <v>0</v>
      </c>
      <c r="E686" s="163">
        <f>ROUND(C686*$E$728/$C$728,0)</f>
        <v>0</v>
      </c>
      <c r="G686" s="187">
        <v>49.4</v>
      </c>
      <c r="H686" s="188"/>
      <c r="I686" s="172">
        <f>ROUND(G686*$C686,0)</f>
        <v>0</v>
      </c>
      <c r="K686" s="172">
        <f>ROUND(G686*$E686,0)</f>
        <v>0</v>
      </c>
      <c r="M686" s="187">
        <f>ROUND(G686*(1+R$682),2)</f>
        <v>58.75</v>
      </c>
      <c r="N686" s="188"/>
      <c r="O686" s="172">
        <f>ROUND(M686*$E686,0)</f>
        <v>0</v>
      </c>
      <c r="P686" s="172"/>
      <c r="T686" s="190">
        <f>M686/G686-1</f>
        <v>0.18927125506072873</v>
      </c>
      <c r="U686" s="172"/>
    </row>
    <row r="687" spans="1:22">
      <c r="A687" s="356" t="s">
        <v>379</v>
      </c>
      <c r="C687" s="163"/>
      <c r="E687" s="163"/>
      <c r="M687" s="161"/>
      <c r="P687" s="172"/>
      <c r="Q687" s="242"/>
      <c r="R687" s="275"/>
      <c r="T687" s="369"/>
      <c r="U687" s="172"/>
      <c r="V687" s="260"/>
    </row>
    <row r="688" spans="1:22">
      <c r="A688" s="185" t="s">
        <v>370</v>
      </c>
      <c r="C688" s="186">
        <v>24</v>
      </c>
      <c r="E688" s="260">
        <v>24</v>
      </c>
      <c r="G688" s="187">
        <v>471</v>
      </c>
      <c r="H688" s="188"/>
      <c r="I688" s="172">
        <f>ROUND(G688*$C688,0)</f>
        <v>11304</v>
      </c>
      <c r="K688" s="172">
        <f>ROUND(G688*$E688,0)</f>
        <v>11304</v>
      </c>
      <c r="M688" s="187">
        <f>ROUND(G688*(1+R$682),0)</f>
        <v>560</v>
      </c>
      <c r="N688" s="188"/>
      <c r="O688" s="172">
        <f>ROUND(M688*$E688,0)</f>
        <v>13440</v>
      </c>
      <c r="P688" s="172"/>
      <c r="S688" s="369"/>
      <c r="T688" s="190">
        <f>M688/G688-1</f>
        <v>0.18895966029723987</v>
      </c>
      <c r="V688" s="260"/>
    </row>
    <row r="689" spans="1:22">
      <c r="A689" s="185" t="s">
        <v>371</v>
      </c>
      <c r="C689" s="186">
        <v>39600</v>
      </c>
      <c r="E689" s="163">
        <f>ROUND(C689*$E$728/$C$728,0)</f>
        <v>38075</v>
      </c>
      <c r="G689" s="187">
        <v>2.99</v>
      </c>
      <c r="H689" s="188"/>
      <c r="I689" s="172">
        <f>ROUND(G689*$C689,0)</f>
        <v>118404</v>
      </c>
      <c r="K689" s="172">
        <f>ROUND(G689*$E689,0)</f>
        <v>113844</v>
      </c>
      <c r="M689" s="187">
        <f>ROUND(G689*(1+R$682),2)</f>
        <v>3.56</v>
      </c>
      <c r="N689" s="188"/>
      <c r="O689" s="172">
        <f>ROUND(M689*$E689,0)</f>
        <v>135547</v>
      </c>
      <c r="P689" s="172"/>
      <c r="Q689" s="374"/>
      <c r="R689" s="275"/>
      <c r="T689" s="190">
        <f>M689/G689-1</f>
        <v>0.1906354515050166</v>
      </c>
      <c r="V689" s="260"/>
    </row>
    <row r="690" spans="1:22">
      <c r="A690" s="185" t="s">
        <v>373</v>
      </c>
      <c r="C690" s="186"/>
      <c r="E690" s="163"/>
      <c r="G690" s="187"/>
      <c r="H690" s="188"/>
      <c r="I690" s="172"/>
      <c r="K690" s="172"/>
      <c r="M690" s="213"/>
      <c r="N690" s="188"/>
      <c r="O690" s="172"/>
      <c r="Q690" s="242"/>
      <c r="S690" s="369"/>
      <c r="T690" s="369"/>
      <c r="U690" s="172"/>
    </row>
    <row r="691" spans="1:22">
      <c r="A691" s="185" t="s">
        <v>375</v>
      </c>
      <c r="C691" s="186">
        <v>231039.99096567</v>
      </c>
      <c r="E691" s="163">
        <f>ROUND(C691*$E$728/$C$728,0)</f>
        <v>222141</v>
      </c>
      <c r="G691" s="370">
        <v>0.51019999999999999</v>
      </c>
      <c r="H691" s="371"/>
      <c r="I691" s="172">
        <f>ROUND(G691*$C691,0)</f>
        <v>117877</v>
      </c>
      <c r="K691" s="172">
        <f>ROUND(G691*$E691,0)</f>
        <v>113336</v>
      </c>
      <c r="M691" s="370">
        <f>ROUND(G691*(1+R$682),4)</f>
        <v>0.60680000000000001</v>
      </c>
      <c r="N691" s="371"/>
      <c r="O691" s="172">
        <f>ROUND(M691*$E691,0)</f>
        <v>134795</v>
      </c>
      <c r="P691" s="172"/>
      <c r="Q691" s="183"/>
      <c r="R691" s="218"/>
      <c r="T691" s="190">
        <f>M691/G691-1</f>
        <v>0.18933751470011773</v>
      </c>
    </row>
    <row r="692" spans="1:22">
      <c r="A692" s="185" t="s">
        <v>377</v>
      </c>
      <c r="C692" s="186">
        <v>26643.5166599759</v>
      </c>
      <c r="E692" s="163">
        <f>ROUND(C692*$E$728/$C$728,0)</f>
        <v>25617</v>
      </c>
      <c r="G692" s="372">
        <v>0.25509999999999999</v>
      </c>
      <c r="H692" s="373"/>
      <c r="I692" s="172">
        <f>ROUND(G692*$C692,0)</f>
        <v>6797</v>
      </c>
      <c r="K692" s="172">
        <f>ROUND(G692*$E692,0)</f>
        <v>6535</v>
      </c>
      <c r="M692" s="372">
        <f>ROUND(M691*0.5,4)</f>
        <v>0.3034</v>
      </c>
      <c r="N692" s="373"/>
      <c r="O692" s="172">
        <f>ROUND(M692*$E692,0)</f>
        <v>7772</v>
      </c>
      <c r="P692" s="172"/>
      <c r="Q692" s="183"/>
      <c r="R692" s="218"/>
      <c r="S692" s="369"/>
      <c r="T692" s="190">
        <f>M692/G692-1</f>
        <v>0.18933751470011773</v>
      </c>
      <c r="U692" s="172"/>
      <c r="V692" s="260"/>
    </row>
    <row r="693" spans="1:22">
      <c r="A693" s="185" t="s">
        <v>378</v>
      </c>
      <c r="C693" s="186">
        <v>0</v>
      </c>
      <c r="E693" s="163">
        <f>ROUND(C693*$E$728/$C$728,0)</f>
        <v>0</v>
      </c>
      <c r="G693" s="187">
        <v>35.6</v>
      </c>
      <c r="H693" s="188"/>
      <c r="I693" s="172">
        <f>ROUND(G693*$C693,0)</f>
        <v>0</v>
      </c>
      <c r="K693" s="172">
        <f>ROUND(G693*$E693,0)</f>
        <v>0</v>
      </c>
      <c r="M693" s="187">
        <f>ROUND(G693*(1+R$682),2)</f>
        <v>42.34</v>
      </c>
      <c r="N693" s="188"/>
      <c r="O693" s="172">
        <f>ROUND(M693*$E693,0)</f>
        <v>0</v>
      </c>
      <c r="P693" s="172"/>
      <c r="Q693" s="263"/>
      <c r="R693" s="218"/>
      <c r="T693" s="190">
        <f>M693/G693-1</f>
        <v>0.18932584269662933</v>
      </c>
    </row>
    <row r="694" spans="1:22">
      <c r="A694" s="356" t="s">
        <v>380</v>
      </c>
      <c r="C694" s="186"/>
      <c r="E694" s="163"/>
      <c r="M694" s="161"/>
      <c r="P694" s="172"/>
      <c r="Q694" s="223"/>
      <c r="R694" s="264"/>
      <c r="S694" s="224"/>
      <c r="T694" s="369"/>
      <c r="U694" s="172"/>
      <c r="V694" s="260"/>
    </row>
    <row r="695" spans="1:22">
      <c r="A695" s="185" t="s">
        <v>370</v>
      </c>
      <c r="C695" s="186">
        <v>0</v>
      </c>
      <c r="E695" s="260">
        <v>0</v>
      </c>
      <c r="G695" s="187">
        <v>527</v>
      </c>
      <c r="H695" s="188"/>
      <c r="I695" s="172">
        <f>ROUND(G695*$C695,0)</f>
        <v>0</v>
      </c>
      <c r="K695" s="172">
        <f>ROUND(G695*$E695,0)</f>
        <v>0</v>
      </c>
      <c r="M695" s="187">
        <f>ROUND(G695*(1+R$682),0)</f>
        <v>627</v>
      </c>
      <c r="N695" s="188"/>
      <c r="O695" s="172">
        <f>ROUND(M695*$E695,0)</f>
        <v>0</v>
      </c>
      <c r="P695" s="172"/>
      <c r="Q695" s="223"/>
      <c r="R695" s="264"/>
      <c r="T695" s="190">
        <f>M695/G695-1</f>
        <v>0.1897533206831119</v>
      </c>
      <c r="U695" s="172"/>
      <c r="V695" s="260"/>
    </row>
    <row r="696" spans="1:22">
      <c r="A696" s="185" t="s">
        <v>371</v>
      </c>
      <c r="C696" s="186">
        <v>0</v>
      </c>
      <c r="E696" s="163">
        <f>ROUND(C696*$E$728/$C$728,0)</f>
        <v>0</v>
      </c>
      <c r="G696" s="187">
        <v>1.7</v>
      </c>
      <c r="H696" s="241"/>
      <c r="I696" s="172">
        <f>ROUND(G696*$C696,0)</f>
        <v>0</v>
      </c>
      <c r="K696" s="172">
        <f>ROUND(G696*$E696,0)</f>
        <v>0</v>
      </c>
      <c r="M696" s="187">
        <f>ROUND(G696*(1+R$682),2)</f>
        <v>2.02</v>
      </c>
      <c r="N696" s="241"/>
      <c r="O696" s="172">
        <f>ROUND(M696*$E696,0)</f>
        <v>0</v>
      </c>
      <c r="P696" s="172"/>
      <c r="Q696" s="223"/>
      <c r="R696" s="264"/>
      <c r="T696" s="190">
        <f>M696/G696-1</f>
        <v>0.18823529411764706</v>
      </c>
      <c r="U696" s="172"/>
      <c r="V696" s="260"/>
    </row>
    <row r="697" spans="1:22">
      <c r="A697" s="185" t="s">
        <v>373</v>
      </c>
      <c r="C697" s="186"/>
      <c r="E697" s="163"/>
      <c r="G697" s="213"/>
      <c r="H697" s="272"/>
      <c r="I697" s="172"/>
      <c r="K697" s="172"/>
      <c r="M697" s="213"/>
      <c r="N697" s="272"/>
      <c r="O697" s="172"/>
      <c r="P697" s="218"/>
      <c r="Q697" s="223"/>
      <c r="R697" s="375"/>
      <c r="V697" s="260"/>
    </row>
    <row r="698" spans="1:22">
      <c r="A698" s="185" t="s">
        <v>375</v>
      </c>
      <c r="C698" s="186">
        <v>0</v>
      </c>
      <c r="E698" s="163">
        <f>ROUND(C698*$E$728/$C$728,0)</f>
        <v>0</v>
      </c>
      <c r="G698" s="370">
        <v>0.40079999999999999</v>
      </c>
      <c r="H698" s="371"/>
      <c r="I698" s="172">
        <f>ROUND(G698*$C698,0)</f>
        <v>0</v>
      </c>
      <c r="K698" s="172">
        <f>ROUND(G698*$E698,0)</f>
        <v>0</v>
      </c>
      <c r="M698" s="370">
        <f>ROUND(G698*(1+R$682),4)</f>
        <v>0.47670000000000001</v>
      </c>
      <c r="N698" s="371"/>
      <c r="O698" s="172">
        <f>ROUND(M698*$E698,0)</f>
        <v>0</v>
      </c>
      <c r="P698" s="218"/>
      <c r="Q698" s="242"/>
      <c r="R698" s="275"/>
      <c r="T698" s="190">
        <f>M698/G698-1</f>
        <v>0.18937125748502992</v>
      </c>
      <c r="U698" s="172"/>
      <c r="V698"/>
    </row>
    <row r="699" spans="1:22">
      <c r="A699" s="185" t="s">
        <v>377</v>
      </c>
      <c r="C699" s="186">
        <v>0</v>
      </c>
      <c r="E699" s="163">
        <f>ROUND(C699*$E$728/$C$728,0)</f>
        <v>0</v>
      </c>
      <c r="G699" s="372">
        <v>0.20039999999999999</v>
      </c>
      <c r="H699" s="373"/>
      <c r="I699" s="172">
        <f>ROUND(G699*$C699,0)</f>
        <v>0</v>
      </c>
      <c r="K699" s="172">
        <f>ROUND(G699*$E699,0)</f>
        <v>0</v>
      </c>
      <c r="M699" s="372">
        <f>ROUND(M698*0.5,4)</f>
        <v>0.2384</v>
      </c>
      <c r="N699" s="373"/>
      <c r="O699" s="172">
        <f>ROUND(M699*$E699,0)</f>
        <v>0</v>
      </c>
      <c r="P699" s="218"/>
      <c r="R699" s="275"/>
      <c r="T699" s="190">
        <f>M699/G699-1</f>
        <v>0.18962075848303406</v>
      </c>
      <c r="U699" s="172"/>
      <c r="V699"/>
    </row>
    <row r="700" spans="1:22">
      <c r="A700" s="185" t="s">
        <v>378</v>
      </c>
      <c r="C700" s="186">
        <v>0</v>
      </c>
      <c r="E700" s="163">
        <f>ROUND(C700*$E$728/$C$728,0)</f>
        <v>0</v>
      </c>
      <c r="G700" s="187">
        <v>34.28</v>
      </c>
      <c r="H700" s="188"/>
      <c r="I700" s="172">
        <f>ROUND(G700*$C700,0)</f>
        <v>0</v>
      </c>
      <c r="K700" s="172">
        <f>ROUND(G700*$E700,0)</f>
        <v>0</v>
      </c>
      <c r="M700" s="187">
        <f>ROUND(G700*(1+R$682),2)</f>
        <v>40.770000000000003</v>
      </c>
      <c r="N700" s="188"/>
      <c r="O700" s="172">
        <f>ROUND(M700*$E700,0)</f>
        <v>0</v>
      </c>
      <c r="P700" s="218"/>
      <c r="T700" s="190">
        <f>M700/G700-1</f>
        <v>0.1893232205367561</v>
      </c>
      <c r="V700"/>
    </row>
    <row r="701" spans="1:22">
      <c r="A701" s="161" t="s">
        <v>216</v>
      </c>
      <c r="C701" s="376">
        <v>29680</v>
      </c>
      <c r="E701" s="376">
        <v>0</v>
      </c>
      <c r="G701" s="269"/>
      <c r="H701" s="267"/>
      <c r="I701" s="228">
        <v>3176</v>
      </c>
      <c r="K701" s="228">
        <v>0</v>
      </c>
      <c r="M701" s="269"/>
      <c r="N701" s="267"/>
      <c r="O701" s="228">
        <v>0</v>
      </c>
    </row>
    <row r="702" spans="1:22" ht="16.5" thickBot="1">
      <c r="A702" s="185" t="s">
        <v>134</v>
      </c>
      <c r="C702" s="377">
        <f>C701</f>
        <v>29680</v>
      </c>
      <c r="E702" s="336">
        <f>E701</f>
        <v>0</v>
      </c>
      <c r="G702" s="254"/>
      <c r="I702" s="255">
        <f>SUM(I681:I701)</f>
        <v>257558</v>
      </c>
      <c r="K702" s="255">
        <f>SUM(K681:K701)</f>
        <v>245019</v>
      </c>
      <c r="M702" s="254"/>
      <c r="O702" s="255">
        <f>SUM(O681:O701)</f>
        <v>291554</v>
      </c>
      <c r="P702" s="172"/>
      <c r="Q702" s="171" t="s">
        <v>138</v>
      </c>
      <c r="R702" s="264">
        <f>(O702+O703)/(K702+K703)-1</f>
        <v>0.18992404670658192</v>
      </c>
    </row>
    <row r="703" spans="1:22" ht="16.5" thickTop="1">
      <c r="A703" s="185" t="s">
        <v>135</v>
      </c>
      <c r="C703" s="163"/>
      <c r="E703" s="163"/>
      <c r="G703" s="238"/>
      <c r="H703" s="239"/>
      <c r="I703" s="228"/>
      <c r="K703" s="228"/>
      <c r="M703" s="238"/>
      <c r="N703" s="239"/>
      <c r="O703" s="228"/>
      <c r="P703" s="172"/>
      <c r="Q703" s="171"/>
      <c r="R703" s="378"/>
    </row>
    <row r="704" spans="1:22">
      <c r="A704" s="185" t="s">
        <v>136</v>
      </c>
      <c r="C704" s="163"/>
      <c r="E704" s="163"/>
      <c r="G704" s="238">
        <f>M704</f>
        <v>3.85E-2</v>
      </c>
      <c r="H704" s="239"/>
      <c r="I704" s="228">
        <f>ROUND(SUM(I682:I686,I689:I693,I696:I700,I703)*G704,0)</f>
        <v>9359</v>
      </c>
      <c r="K704" s="228">
        <f>ROUND(SUM(K682:K686,K689:K693,K696:K700,K703)*G704,0)</f>
        <v>8998</v>
      </c>
      <c r="M704" s="180">
        <v>3.85E-2</v>
      </c>
      <c r="N704" s="239"/>
      <c r="O704" s="228">
        <f>ROUND(SUM(O682:O686,O689:O693,O696:O700,O703)*M704,0)</f>
        <v>10707</v>
      </c>
      <c r="P704" s="172"/>
      <c r="Q704" s="171"/>
      <c r="R704" s="378"/>
    </row>
    <row r="705" spans="1:20">
      <c r="A705" s="356" t="s">
        <v>381</v>
      </c>
      <c r="P705" s="172"/>
      <c r="Q705" s="378"/>
    </row>
    <row r="706" spans="1:20">
      <c r="A706" s="181" t="s">
        <v>382</v>
      </c>
      <c r="C706" s="186"/>
      <c r="E706" s="163"/>
      <c r="G706" s="213"/>
      <c r="H706" s="272"/>
      <c r="I706" s="172"/>
      <c r="K706" s="172"/>
      <c r="M706" s="273"/>
      <c r="N706" s="272"/>
      <c r="O706" s="172"/>
      <c r="P706" s="172"/>
      <c r="Q706" s="378"/>
    </row>
    <row r="707" spans="1:20">
      <c r="A707" s="185" t="s">
        <v>161</v>
      </c>
      <c r="C707" s="186">
        <v>0</v>
      </c>
      <c r="E707" s="163">
        <f>ROUND(C707*$E$728/$C$728,0)</f>
        <v>0</v>
      </c>
      <c r="G707" s="213">
        <v>15.16</v>
      </c>
      <c r="H707" s="272"/>
      <c r="I707" s="172">
        <f>ROUND(G707*$C707,0)</f>
        <v>0</v>
      </c>
      <c r="K707" s="172">
        <f>ROUND(G707*$E707,0)</f>
        <v>0</v>
      </c>
      <c r="M707" s="273">
        <f>M117</f>
        <v>17.829999999999998</v>
      </c>
      <c r="N707" s="272"/>
      <c r="O707" s="172">
        <f>ROUND(M707*$E707,0)</f>
        <v>0</v>
      </c>
      <c r="P707" s="172"/>
      <c r="Q707" s="378"/>
      <c r="T707" s="190">
        <f>M707/G707-1</f>
        <v>0.17612137203166212</v>
      </c>
    </row>
    <row r="708" spans="1:20">
      <c r="A708" s="185" t="s">
        <v>162</v>
      </c>
      <c r="C708" s="186">
        <v>0</v>
      </c>
      <c r="E708" s="163">
        <f>ROUND(C708*$E$728/$C$728,0)</f>
        <v>0</v>
      </c>
      <c r="G708" s="213">
        <v>12.17</v>
      </c>
      <c r="H708" s="272"/>
      <c r="I708" s="172">
        <f>ROUND(G708*$C708,0)</f>
        <v>0</v>
      </c>
      <c r="K708" s="172">
        <f>ROUND(G708*$E708,0)</f>
        <v>0</v>
      </c>
      <c r="M708" s="273">
        <f>M118</f>
        <v>14.31</v>
      </c>
      <c r="N708" s="272"/>
      <c r="O708" s="172">
        <f>ROUND(M708*$E708,0)</f>
        <v>0</v>
      </c>
      <c r="P708" s="172"/>
      <c r="Q708" s="378"/>
      <c r="T708" s="190">
        <f>M708/G708-1</f>
        <v>0.17584223500410845</v>
      </c>
    </row>
    <row r="709" spans="1:20">
      <c r="A709" s="185" t="s">
        <v>154</v>
      </c>
      <c r="C709" s="186">
        <v>0</v>
      </c>
      <c r="E709" s="163">
        <f>ROUND(C709*$E$728/$C$728,0)</f>
        <v>0</v>
      </c>
      <c r="G709" s="213">
        <v>-0.78</v>
      </c>
      <c r="H709" s="272"/>
      <c r="I709" s="172">
        <f>ROUND(G709*$C709,0)</f>
        <v>0</v>
      </c>
      <c r="K709" s="172">
        <f>ROUND(G709*$E709,0)</f>
        <v>0</v>
      </c>
      <c r="M709" s="273">
        <f>M119</f>
        <v>-0.92</v>
      </c>
      <c r="N709" s="272"/>
      <c r="O709" s="172">
        <f>ROUND(M709*$E709,0)</f>
        <v>0</v>
      </c>
      <c r="P709" s="172"/>
      <c r="T709" s="190">
        <f>M709/G709-1</f>
        <v>0.17948717948717952</v>
      </c>
    </row>
    <row r="710" spans="1:20">
      <c r="A710" s="185" t="s">
        <v>149</v>
      </c>
      <c r="C710" s="186">
        <f>C711+C712</f>
        <v>0</v>
      </c>
      <c r="E710" s="163">
        <f>SUM(E711:E712)</f>
        <v>0</v>
      </c>
      <c r="G710" s="269"/>
      <c r="H710" s="193"/>
      <c r="I710" s="172"/>
      <c r="K710" s="172"/>
      <c r="M710" s="270"/>
      <c r="N710" s="193"/>
      <c r="O710" s="172"/>
      <c r="P710" s="172"/>
      <c r="Q710" s="378"/>
    </row>
    <row r="711" spans="1:20">
      <c r="A711" s="185" t="s">
        <v>163</v>
      </c>
      <c r="C711" s="186">
        <v>0</v>
      </c>
      <c r="E711" s="163">
        <f>ROUND(C711*$E$728/($C$728-$C$701),0)</f>
        <v>0</v>
      </c>
      <c r="G711" s="269">
        <v>3.1907000000000001</v>
      </c>
      <c r="H711" s="193" t="s">
        <v>108</v>
      </c>
      <c r="I711" s="172">
        <f>ROUND(G711*$C711/100,0)</f>
        <v>0</v>
      </c>
      <c r="K711" s="172">
        <f>ROUND(G711*$E711/100,0)</f>
        <v>0</v>
      </c>
      <c r="M711" s="270">
        <f>M121</f>
        <v>3.7528000000000001</v>
      </c>
      <c r="N711" s="193" t="s">
        <v>108</v>
      </c>
      <c r="O711" s="172">
        <f>ROUND(M711*$E711/100,0)</f>
        <v>0</v>
      </c>
      <c r="P711" s="172"/>
      <c r="T711" s="190">
        <f>M711/G711-1</f>
        <v>0.17616823894443234</v>
      </c>
    </row>
    <row r="712" spans="1:20">
      <c r="A712" s="185" t="s">
        <v>164</v>
      </c>
      <c r="C712" s="186">
        <v>0</v>
      </c>
      <c r="E712" s="163">
        <f>ROUND(C712*$E$728/($C$728-$C$701),0)</f>
        <v>0</v>
      </c>
      <c r="G712" s="269">
        <v>2.9416000000000002</v>
      </c>
      <c r="H712" s="193" t="s">
        <v>108</v>
      </c>
      <c r="I712" s="172">
        <f>ROUND(G712*$C712/100,0)</f>
        <v>0</v>
      </c>
      <c r="K712" s="172">
        <f>ROUND(G712*$E712/100,0)</f>
        <v>0</v>
      </c>
      <c r="M712" s="270">
        <f>M122</f>
        <v>3.4609999999999999</v>
      </c>
      <c r="N712" s="193" t="s">
        <v>108</v>
      </c>
      <c r="O712" s="172">
        <f>ROUND(M712*$E712/100,0)</f>
        <v>0</v>
      </c>
      <c r="P712" s="172"/>
      <c r="T712" s="190">
        <f>M712/G712-1</f>
        <v>0.1765705738373673</v>
      </c>
    </row>
    <row r="713" spans="1:20">
      <c r="A713" s="181" t="s">
        <v>383</v>
      </c>
      <c r="C713" s="186"/>
      <c r="E713" s="163"/>
      <c r="G713" s="213"/>
      <c r="H713" s="272"/>
      <c r="I713" s="172"/>
      <c r="K713" s="172"/>
      <c r="M713" s="273"/>
      <c r="N713" s="272"/>
      <c r="O713" s="172"/>
      <c r="P713" s="172"/>
      <c r="Q713" s="378"/>
    </row>
    <row r="714" spans="1:20">
      <c r="A714" s="185" t="s">
        <v>220</v>
      </c>
      <c r="C714" s="186">
        <v>0</v>
      </c>
      <c r="E714" s="163">
        <f>ROUND(C714*$E$728/$C$728,0)</f>
        <v>0</v>
      </c>
      <c r="G714" s="213">
        <v>3.77</v>
      </c>
      <c r="H714" s="272"/>
      <c r="I714" s="172">
        <f>ROUND(G714*$C714,0)</f>
        <v>0</v>
      </c>
      <c r="K714" s="172">
        <f>ROUND(G714*$E714,0)</f>
        <v>0</v>
      </c>
      <c r="M714" s="273">
        <f t="shared" ref="M714:M720" si="97">M285</f>
        <v>4.51</v>
      </c>
      <c r="N714" s="272"/>
      <c r="O714" s="172">
        <f>ROUND(M714*$E714,0)</f>
        <v>0</v>
      </c>
      <c r="P714" s="172"/>
      <c r="Q714" s="378"/>
      <c r="T714" s="190">
        <f t="shared" ref="T714:T720" si="98">M714/G714-1</f>
        <v>0.19628647214854111</v>
      </c>
    </row>
    <row r="715" spans="1:20">
      <c r="A715" s="185" t="s">
        <v>221</v>
      </c>
      <c r="C715" s="186">
        <v>0</v>
      </c>
      <c r="E715" s="163">
        <f>ROUND(C715*$E$728/$C$728,0)</f>
        <v>0</v>
      </c>
      <c r="G715" s="213">
        <v>12.33</v>
      </c>
      <c r="H715" s="272"/>
      <c r="I715" s="172">
        <f>ROUND(G715*$C715,0)</f>
        <v>0</v>
      </c>
      <c r="K715" s="172">
        <f>ROUND(G715*$E715,0)</f>
        <v>0</v>
      </c>
      <c r="M715" s="273">
        <f t="shared" si="97"/>
        <v>14.74</v>
      </c>
      <c r="N715" s="272"/>
      <c r="O715" s="172">
        <f>ROUND(M715*$E715,0)</f>
        <v>0</v>
      </c>
      <c r="P715" s="172"/>
      <c r="Q715" s="378"/>
      <c r="T715" s="190">
        <f t="shared" si="98"/>
        <v>0.19545823195458234</v>
      </c>
    </row>
    <row r="716" spans="1:20">
      <c r="A716" s="185" t="s">
        <v>222</v>
      </c>
      <c r="C716" s="186">
        <v>13800</v>
      </c>
      <c r="E716" s="163">
        <f>ROUND(C716*$E$728/$C$728,0)</f>
        <v>13268</v>
      </c>
      <c r="G716" s="213">
        <v>8.8800000000000008</v>
      </c>
      <c r="H716" s="272"/>
      <c r="I716" s="172">
        <f>ROUND(G716*$C716,0)</f>
        <v>122544</v>
      </c>
      <c r="K716" s="172">
        <f>ROUND(G716*$E716,0)</f>
        <v>117820</v>
      </c>
      <c r="M716" s="273">
        <f t="shared" si="97"/>
        <v>10.62</v>
      </c>
      <c r="N716" s="272"/>
      <c r="O716" s="172">
        <f>ROUND(M716*$E716,0)</f>
        <v>140906</v>
      </c>
      <c r="P716" s="172"/>
      <c r="Q716" s="378"/>
      <c r="T716" s="190">
        <f t="shared" si="98"/>
        <v>0.19594594594594583</v>
      </c>
    </row>
    <row r="717" spans="1:20">
      <c r="A717" s="185" t="s">
        <v>154</v>
      </c>
      <c r="C717" s="186">
        <v>13800</v>
      </c>
      <c r="E717" s="163">
        <f>ROUND(C717*$E$728/$C$728,0)</f>
        <v>13268</v>
      </c>
      <c r="G717" s="213">
        <v>-0.9</v>
      </c>
      <c r="H717" s="272"/>
      <c r="I717" s="172">
        <f>ROUND(G717*$C717,0)</f>
        <v>-12420</v>
      </c>
      <c r="K717" s="172">
        <f>ROUND(G717*$E717,0)</f>
        <v>-11941</v>
      </c>
      <c r="M717" s="273">
        <f t="shared" si="97"/>
        <v>-1.08</v>
      </c>
      <c r="N717" s="272"/>
      <c r="O717" s="172">
        <f>ROUND(M717*$E717,0)</f>
        <v>-14329</v>
      </c>
      <c r="P717" s="172"/>
      <c r="Q717" s="378"/>
      <c r="T717" s="190">
        <f t="shared" si="98"/>
        <v>0.19999999999999996</v>
      </c>
    </row>
    <row r="718" spans="1:20">
      <c r="A718" s="185" t="s">
        <v>143</v>
      </c>
      <c r="C718" s="186">
        <v>885292</v>
      </c>
      <c r="E718" s="163">
        <f>ROUND(C718*$E$728/($C$728-$C$701),0)</f>
        <v>853682</v>
      </c>
      <c r="G718" s="269">
        <v>4.0021000000000004</v>
      </c>
      <c r="H718" s="193" t="s">
        <v>108</v>
      </c>
      <c r="I718" s="172">
        <f>ROUND(G718*$C718/100,0)</f>
        <v>35430</v>
      </c>
      <c r="K718" s="172">
        <f>ROUND(G718*$E718/100,0)</f>
        <v>34165</v>
      </c>
      <c r="M718" s="270">
        <f t="shared" si="97"/>
        <v>4.7850999999999999</v>
      </c>
      <c r="N718" s="193" t="s">
        <v>108</v>
      </c>
      <c r="O718" s="172">
        <f>ROUND(M718*$E718/100,0)</f>
        <v>40850</v>
      </c>
      <c r="P718" s="172"/>
      <c r="Q718" s="378"/>
      <c r="T718" s="190">
        <f t="shared" si="98"/>
        <v>0.19564728517528285</v>
      </c>
    </row>
    <row r="719" spans="1:20">
      <c r="A719" s="185" t="s">
        <v>179</v>
      </c>
      <c r="C719" s="186">
        <v>4058710</v>
      </c>
      <c r="E719" s="163">
        <f>ROUND(C719*$E$728/($C$728-$C$701),0)</f>
        <v>3913793</v>
      </c>
      <c r="G719" s="269">
        <v>3.1328</v>
      </c>
      <c r="H719" s="193" t="s">
        <v>108</v>
      </c>
      <c r="I719" s="172">
        <f>ROUND(G719*$C719/100,0)</f>
        <v>127151</v>
      </c>
      <c r="K719" s="172">
        <f>ROUND(G719*$E719/100,0)</f>
        <v>122611</v>
      </c>
      <c r="M719" s="270">
        <f t="shared" si="97"/>
        <v>3.7456999999999998</v>
      </c>
      <c r="N719" s="193" t="s">
        <v>108</v>
      </c>
      <c r="O719" s="172">
        <f>ROUND(M719*$E719/100,0)</f>
        <v>146599</v>
      </c>
      <c r="P719" s="172"/>
      <c r="T719" s="190">
        <f t="shared" si="98"/>
        <v>0.19563968335035753</v>
      </c>
    </row>
    <row r="720" spans="1:20">
      <c r="A720" s="185" t="s">
        <v>223</v>
      </c>
      <c r="C720" s="186">
        <v>5204749</v>
      </c>
      <c r="E720" s="163">
        <f>E728-E710-E718-E719-E725-E726-E727</f>
        <v>5018912</v>
      </c>
      <c r="G720" s="269">
        <v>2.6987000000000001</v>
      </c>
      <c r="H720" s="193" t="s">
        <v>108</v>
      </c>
      <c r="I720" s="172">
        <f>ROUND(G720*$C720/100,0)</f>
        <v>140461</v>
      </c>
      <c r="K720" s="172">
        <f>ROUND(G720*$E720/100,0)</f>
        <v>135445</v>
      </c>
      <c r="M720" s="270">
        <f t="shared" si="97"/>
        <v>3.2261000000000002</v>
      </c>
      <c r="N720" s="193" t="s">
        <v>108</v>
      </c>
      <c r="O720" s="172">
        <f>ROUND(M720*$E720/100,0)</f>
        <v>161915</v>
      </c>
      <c r="P720" s="172"/>
      <c r="Q720" s="378"/>
      <c r="T720" s="190">
        <f t="shared" si="98"/>
        <v>0.19542742802089896</v>
      </c>
    </row>
    <row r="721" spans="1:22">
      <c r="A721" s="181" t="s">
        <v>384</v>
      </c>
      <c r="C721" s="186"/>
      <c r="E721" s="260"/>
      <c r="G721" s="213"/>
      <c r="H721" s="272"/>
      <c r="I721" s="172"/>
      <c r="K721" s="172"/>
      <c r="M721" s="273"/>
      <c r="N721" s="272"/>
      <c r="O721" s="172"/>
      <c r="P721" s="172"/>
      <c r="Q721" s="378"/>
    </row>
    <row r="722" spans="1:22">
      <c r="A722" s="185" t="s">
        <v>220</v>
      </c>
      <c r="C722" s="186">
        <v>0</v>
      </c>
      <c r="E722" s="163">
        <f>ROUND(C722*$E$728/$C$728,0)</f>
        <v>0</v>
      </c>
      <c r="G722" s="213">
        <v>1.71</v>
      </c>
      <c r="H722" s="272"/>
      <c r="I722" s="172">
        <f>ROUND(G722*$C722,0)</f>
        <v>0</v>
      </c>
      <c r="K722" s="172">
        <f>ROUND(G722*$E722,0)</f>
        <v>0</v>
      </c>
      <c r="M722" s="273">
        <f t="shared" ref="M722:M727" si="99">M327</f>
        <v>2.08</v>
      </c>
      <c r="N722" s="272"/>
      <c r="O722" s="172">
        <f>ROUND(M722*$E722,0)</f>
        <v>0</v>
      </c>
      <c r="P722" s="172"/>
      <c r="Q722" s="378"/>
      <c r="S722"/>
      <c r="T722" s="190">
        <f t="shared" ref="T722:T727" si="100">M722/G722-1</f>
        <v>0.21637426900584811</v>
      </c>
    </row>
    <row r="723" spans="1:22">
      <c r="A723" s="185" t="s">
        <v>221</v>
      </c>
      <c r="C723" s="186">
        <v>0</v>
      </c>
      <c r="E723" s="163">
        <f>ROUND(C723*$E$728/$C$728,0)</f>
        <v>0</v>
      </c>
      <c r="G723" s="213">
        <v>10.76</v>
      </c>
      <c r="H723" s="272"/>
      <c r="I723" s="172">
        <f>ROUND(G723*$C723,0)</f>
        <v>0</v>
      </c>
      <c r="K723" s="172">
        <f>ROUND(G723*$E723,0)</f>
        <v>0</v>
      </c>
      <c r="M723" s="273">
        <f t="shared" si="99"/>
        <v>13.1</v>
      </c>
      <c r="N723" s="272"/>
      <c r="O723" s="172">
        <f>ROUND(M723*$E723,0)</f>
        <v>0</v>
      </c>
      <c r="P723" s="218"/>
      <c r="Q723" s="378"/>
      <c r="T723" s="190">
        <f t="shared" si="100"/>
        <v>0.21747211895910779</v>
      </c>
    </row>
    <row r="724" spans="1:22">
      <c r="A724" s="185" t="s">
        <v>222</v>
      </c>
      <c r="C724" s="186">
        <v>0</v>
      </c>
      <c r="E724" s="163">
        <f>ROUND(C724*$E$728/$C$728,0)</f>
        <v>0</v>
      </c>
      <c r="G724" s="213">
        <v>7.3</v>
      </c>
      <c r="H724" s="272"/>
      <c r="I724" s="172">
        <f>ROUND(G724*$C724,0)</f>
        <v>0</v>
      </c>
      <c r="K724" s="172">
        <f>ROUND(G724*$E724,0)</f>
        <v>0</v>
      </c>
      <c r="M724" s="273">
        <f t="shared" si="99"/>
        <v>8.89</v>
      </c>
      <c r="N724" s="272"/>
      <c r="O724" s="172">
        <f>ROUND(M724*$E724,0)</f>
        <v>0</v>
      </c>
      <c r="P724" s="218"/>
      <c r="Q724" s="378"/>
      <c r="T724" s="190">
        <f t="shared" si="100"/>
        <v>0.21780821917808235</v>
      </c>
      <c r="U724"/>
    </row>
    <row r="725" spans="1:22">
      <c r="A725" s="185" t="s">
        <v>228</v>
      </c>
      <c r="C725" s="186">
        <v>0</v>
      </c>
      <c r="E725" s="163">
        <f>ROUND(C725*$E$728/($C$728-$C$701),0)</f>
        <v>0</v>
      </c>
      <c r="G725" s="293">
        <v>3.5857999999999999</v>
      </c>
      <c r="H725" s="193" t="s">
        <v>108</v>
      </c>
      <c r="I725" s="172">
        <f>ROUND(G725*$C725/100,0)</f>
        <v>0</v>
      </c>
      <c r="K725" s="172">
        <f>ROUND(G725*$E725/100,0)</f>
        <v>0</v>
      </c>
      <c r="M725" s="294">
        <f t="shared" si="99"/>
        <v>4.3661000000000003</v>
      </c>
      <c r="N725" s="193" t="s">
        <v>108</v>
      </c>
      <c r="O725" s="172">
        <f>ROUND(M725*$E725/100,0)</f>
        <v>0</v>
      </c>
      <c r="P725" s="218"/>
      <c r="Q725" s="378"/>
      <c r="T725" s="190">
        <f t="shared" si="100"/>
        <v>0.21760834402364893</v>
      </c>
    </row>
    <row r="726" spans="1:22">
      <c r="A726" s="185" t="s">
        <v>229</v>
      </c>
      <c r="C726" s="186">
        <v>0</v>
      </c>
      <c r="E726" s="163">
        <f>ROUND(C726*$E$728/($C$728-$C$701),0)</f>
        <v>0</v>
      </c>
      <c r="G726" s="293">
        <v>2.6962999999999999</v>
      </c>
      <c r="H726" s="193" t="s">
        <v>108</v>
      </c>
      <c r="I726" s="172">
        <f>ROUND(G726*$C726/100,0)</f>
        <v>0</v>
      </c>
      <c r="K726" s="172">
        <f>ROUND(G726*$E726/100,0)</f>
        <v>0</v>
      </c>
      <c r="M726" s="294">
        <f t="shared" si="99"/>
        <v>3.2829999999999999</v>
      </c>
      <c r="N726" s="193" t="s">
        <v>108</v>
      </c>
      <c r="O726" s="172">
        <f>ROUND(M726*$E726/100,0)</f>
        <v>0</v>
      </c>
      <c r="P726" s="218"/>
      <c r="T726" s="190">
        <f t="shared" si="100"/>
        <v>0.21759448132626202</v>
      </c>
      <c r="V726"/>
    </row>
    <row r="727" spans="1:22">
      <c r="A727" s="185" t="s">
        <v>223</v>
      </c>
      <c r="C727" s="379">
        <v>0</v>
      </c>
      <c r="E727" s="380">
        <f>ROUND(C727*$E$728/($C$728-$C$701),0)</f>
        <v>0</v>
      </c>
      <c r="G727" s="381">
        <v>2.2517999999999998</v>
      </c>
      <c r="H727" s="193" t="s">
        <v>108</v>
      </c>
      <c r="I727" s="326">
        <f>ROUND(G727*$C727/100,0)</f>
        <v>0</v>
      </c>
      <c r="K727" s="326">
        <f>ROUND(G727*$E727/100,0)</f>
        <v>0</v>
      </c>
      <c r="M727" s="382">
        <f t="shared" si="99"/>
        <v>2.7423000000000002</v>
      </c>
      <c r="N727" s="193" t="s">
        <v>108</v>
      </c>
      <c r="O727" s="326">
        <f>ROUND(M727*$E727/100,0)</f>
        <v>0</v>
      </c>
      <c r="S727" s="369"/>
      <c r="T727" s="190">
        <f t="shared" si="100"/>
        <v>0.2178257394084735</v>
      </c>
    </row>
    <row r="728" spans="1:22" ht="16.5" thickBot="1">
      <c r="A728" s="185" t="s">
        <v>385</v>
      </c>
      <c r="C728" s="265">
        <f>C702+C710+C718+C719+C720+C725+C726+C727</f>
        <v>10178431</v>
      </c>
      <c r="E728" s="265">
        <v>9786387</v>
      </c>
      <c r="G728" s="254"/>
      <c r="I728" s="255">
        <f>I702+SUM(I707:I727)</f>
        <v>670724</v>
      </c>
      <c r="K728" s="255">
        <f>K702+SUM(K707:K727)</f>
        <v>643119</v>
      </c>
      <c r="M728" s="256"/>
      <c r="O728" s="255">
        <f>O702+SUM(O707:O727)</f>
        <v>767495</v>
      </c>
      <c r="Q728" s="171" t="s">
        <v>117</v>
      </c>
      <c r="R728" s="248">
        <f>O728/K728-1</f>
        <v>0.1933950015471475</v>
      </c>
    </row>
    <row r="729" spans="1:22" ht="16.5" thickTop="1">
      <c r="A729" s="185" t="s">
        <v>386</v>
      </c>
      <c r="C729" s="163"/>
      <c r="E729" s="163"/>
      <c r="G729" s="238"/>
      <c r="H729" s="239"/>
      <c r="I729" s="228">
        <f>MPA!K453</f>
        <v>33083.779199999997</v>
      </c>
      <c r="K729" s="228">
        <f>I729</f>
        <v>33083.779199999997</v>
      </c>
      <c r="M729" s="180"/>
      <c r="N729" s="239"/>
      <c r="O729" s="228">
        <v>0</v>
      </c>
      <c r="Q729" s="171" t="s">
        <v>138</v>
      </c>
      <c r="R729" s="264">
        <f>(O728+O729)/(K728+K729)-1</f>
        <v>0.13500716590961925</v>
      </c>
      <c r="S729" s="369"/>
      <c r="T729" s="369"/>
      <c r="U729" s="172"/>
    </row>
    <row r="730" spans="1:22">
      <c r="A730" s="185" t="s">
        <v>387</v>
      </c>
      <c r="C730" s="163"/>
      <c r="E730" s="163"/>
      <c r="G730" s="238"/>
      <c r="H730" s="258"/>
      <c r="I730" s="228">
        <f>SUM(I707:I710)*$G$127+SUM(I715:I720)*$G$295+SUM(I722:I727)*$G$336+I704</f>
        <v>24646.142</v>
      </c>
      <c r="K730" s="228">
        <f>SUM(K707:K710)*$G$127+SUM(K715:K720)*$G$295+SUM(K722:K727)*$G$336+K704</f>
        <v>23727.699999999997</v>
      </c>
      <c r="M730" s="259"/>
      <c r="N730" s="258"/>
      <c r="O730" s="228">
        <f>(SUM(O707:O712)*$G$127+SUM(O715:O720)*$G$295+SUM(O722:O727)*$G$336)+O704</f>
        <v>28316.816999999999</v>
      </c>
      <c r="P730" s="172"/>
    </row>
    <row r="731" spans="1:22">
      <c r="P731" s="172"/>
      <c r="S731" s="369"/>
      <c r="T731" s="369"/>
      <c r="U731" s="172"/>
      <c r="V731" s="260"/>
    </row>
    <row r="732" spans="1:22">
      <c r="A732" s="181" t="s">
        <v>388</v>
      </c>
      <c r="C732" s="163"/>
      <c r="E732" s="163"/>
      <c r="G732" s="269"/>
      <c r="H732" s="267"/>
      <c r="M732" s="270"/>
      <c r="N732" s="267"/>
      <c r="P732" s="172"/>
      <c r="Q732"/>
      <c r="R732"/>
    </row>
    <row r="733" spans="1:22">
      <c r="A733" s="356" t="s">
        <v>369</v>
      </c>
      <c r="C733" s="163"/>
      <c r="E733" s="163"/>
      <c r="P733" s="172"/>
      <c r="Q733" s="242"/>
      <c r="R733" s="275"/>
      <c r="T733" s="369"/>
      <c r="U733" s="172"/>
      <c r="V733" s="260"/>
    </row>
    <row r="734" spans="1:22">
      <c r="A734" s="185" t="s">
        <v>370</v>
      </c>
      <c r="C734" s="186"/>
      <c r="E734" s="260"/>
      <c r="G734" s="187">
        <v>104</v>
      </c>
      <c r="H734" s="188"/>
      <c r="I734" s="172">
        <f>ROUND(G734*$C734,0)</f>
        <v>0</v>
      </c>
      <c r="K734" s="172">
        <f>ROUND(G734*$E734,0)</f>
        <v>0</v>
      </c>
      <c r="M734" s="187">
        <f>M681</f>
        <v>124</v>
      </c>
      <c r="N734" s="188"/>
      <c r="O734" s="172">
        <f>ROUND(M734*$E734,0)</f>
        <v>0</v>
      </c>
      <c r="P734" s="172"/>
      <c r="S734" s="369"/>
      <c r="T734" s="190">
        <f>M734/G734-1</f>
        <v>0.19230769230769229</v>
      </c>
    </row>
    <row r="735" spans="1:22">
      <c r="A735" s="185" t="s">
        <v>371</v>
      </c>
      <c r="C735" s="186"/>
      <c r="E735" s="260"/>
      <c r="G735" s="187">
        <v>3.81</v>
      </c>
      <c r="H735" s="188"/>
      <c r="I735" s="172">
        <f>ROUND(G735*$C735,0)</f>
        <v>0</v>
      </c>
      <c r="K735" s="172">
        <f>ROUND(G735*$E735,0)</f>
        <v>0</v>
      </c>
      <c r="M735" s="187">
        <f>M682</f>
        <v>4.53</v>
      </c>
      <c r="N735" s="188"/>
      <c r="O735" s="172">
        <f>ROUND(M735*$E735,0)</f>
        <v>0</v>
      </c>
      <c r="P735" s="172"/>
      <c r="Q735" s="374"/>
      <c r="R735" s="275"/>
      <c r="T735" s="190">
        <f>M735/G735-1</f>
        <v>0.18897637795275601</v>
      </c>
      <c r="V735" s="260"/>
    </row>
    <row r="736" spans="1:22">
      <c r="A736" s="185" t="s">
        <v>373</v>
      </c>
      <c r="C736" s="163"/>
      <c r="E736" s="163"/>
      <c r="G736" s="213"/>
      <c r="H736" s="272"/>
      <c r="I736" s="172"/>
      <c r="K736" s="172"/>
      <c r="M736" s="213"/>
      <c r="N736" s="272"/>
      <c r="O736" s="172"/>
      <c r="Q736" s="242"/>
      <c r="S736" s="369"/>
      <c r="T736" s="369"/>
      <c r="U736" s="172"/>
    </row>
    <row r="737" spans="1:22">
      <c r="A737" s="185" t="s">
        <v>375</v>
      </c>
      <c r="C737" s="186"/>
      <c r="E737" s="260"/>
      <c r="G737" s="370">
        <v>0.52439999999999998</v>
      </c>
      <c r="H737" s="371"/>
      <c r="I737" s="172">
        <f>ROUND(G737*$C737,0)</f>
        <v>0</v>
      </c>
      <c r="K737" s="172">
        <f>ROUND(G737*$E737,0)</f>
        <v>0</v>
      </c>
      <c r="M737" s="370">
        <f>M684</f>
        <v>0.62370000000000003</v>
      </c>
      <c r="N737" s="371"/>
      <c r="O737" s="172">
        <f>ROUND(M737*$E737,0)</f>
        <v>0</v>
      </c>
      <c r="P737" s="172"/>
      <c r="Q737" s="242"/>
      <c r="R737" s="275"/>
      <c r="S737" s="369"/>
      <c r="T737" s="190">
        <f>M737/G737-1</f>
        <v>0.18935926773455392</v>
      </c>
    </row>
    <row r="738" spans="1:22">
      <c r="A738" s="185" t="s">
        <v>377</v>
      </c>
      <c r="C738" s="186"/>
      <c r="E738" s="260"/>
      <c r="G738" s="372">
        <v>0.26219999999999999</v>
      </c>
      <c r="H738" s="373"/>
      <c r="I738" s="172">
        <f>ROUND(G738*$C738,0)</f>
        <v>0</v>
      </c>
      <c r="K738" s="172">
        <f>ROUND(G738*$E738,0)</f>
        <v>0</v>
      </c>
      <c r="M738" s="372">
        <f>M685</f>
        <v>0.31190000000000001</v>
      </c>
      <c r="N738" s="373"/>
      <c r="O738" s="172">
        <f>ROUND(M738*$E738,0)</f>
        <v>0</v>
      </c>
      <c r="P738" s="172"/>
      <c r="S738" s="369"/>
      <c r="T738" s="190">
        <f>M738/G738-1</f>
        <v>0.18954996186117468</v>
      </c>
      <c r="U738" s="172"/>
      <c r="V738" s="260"/>
    </row>
    <row r="739" spans="1:22">
      <c r="A739" s="185" t="s">
        <v>378</v>
      </c>
      <c r="C739" s="186"/>
      <c r="E739" s="260"/>
      <c r="G739" s="187">
        <v>49.4</v>
      </c>
      <c r="H739" s="188"/>
      <c r="I739" s="172">
        <f>ROUND(G739*$C739,0)</f>
        <v>0</v>
      </c>
      <c r="K739" s="172">
        <f>ROUND(G739*$E739,0)</f>
        <v>0</v>
      </c>
      <c r="M739" s="187">
        <f>M686</f>
        <v>58.75</v>
      </c>
      <c r="N739" s="188"/>
      <c r="O739" s="172">
        <f>ROUND(M739*$E739,0)</f>
        <v>0</v>
      </c>
      <c r="P739" s="172"/>
      <c r="T739" s="190">
        <f>M739/G739-1</f>
        <v>0.18927125506072873</v>
      </c>
      <c r="U739" s="172"/>
    </row>
    <row r="740" spans="1:22">
      <c r="A740" s="356" t="s">
        <v>379</v>
      </c>
      <c r="C740" s="163"/>
      <c r="E740" s="163"/>
      <c r="M740" s="161"/>
      <c r="P740" s="172"/>
      <c r="Q740" s="242"/>
      <c r="R740" s="275"/>
      <c r="T740" s="369"/>
      <c r="U740" s="172"/>
      <c r="V740" s="260"/>
    </row>
    <row r="741" spans="1:22">
      <c r="A741" s="185" t="s">
        <v>370</v>
      </c>
      <c r="C741" s="186">
        <v>0</v>
      </c>
      <c r="E741" s="260"/>
      <c r="G741" s="187">
        <v>471</v>
      </c>
      <c r="H741" s="188"/>
      <c r="I741" s="172">
        <f>ROUND(G741*$C741,0)</f>
        <v>0</v>
      </c>
      <c r="K741" s="172">
        <f>ROUND(G741*$E741,0)</f>
        <v>0</v>
      </c>
      <c r="M741" s="187">
        <f>M688</f>
        <v>560</v>
      </c>
      <c r="N741" s="188"/>
      <c r="O741" s="172">
        <f>ROUND(M741*$E741,0)</f>
        <v>0</v>
      </c>
      <c r="P741" s="172"/>
      <c r="S741" s="369"/>
      <c r="T741" s="190">
        <f>M741/G741-1</f>
        <v>0.18895966029723987</v>
      </c>
      <c r="V741" s="260"/>
    </row>
    <row r="742" spans="1:22">
      <c r="A742" s="185" t="s">
        <v>371</v>
      </c>
      <c r="C742" s="186">
        <v>0</v>
      </c>
      <c r="E742" s="260"/>
      <c r="G742" s="187">
        <v>2.99</v>
      </c>
      <c r="H742" s="188"/>
      <c r="I742" s="172">
        <f>ROUND(G742*$C742,0)</f>
        <v>0</v>
      </c>
      <c r="K742" s="172">
        <f>ROUND(G742*$E742,0)</f>
        <v>0</v>
      </c>
      <c r="M742" s="187">
        <f>M689</f>
        <v>3.56</v>
      </c>
      <c r="N742" s="188"/>
      <c r="O742" s="172">
        <f>ROUND(M742*$E742,0)</f>
        <v>0</v>
      </c>
      <c r="P742" s="172"/>
      <c r="Q742" s="374"/>
      <c r="R742" s="275"/>
      <c r="T742" s="190">
        <f>M742/G742-1</f>
        <v>0.1906354515050166</v>
      </c>
      <c r="V742" s="260"/>
    </row>
    <row r="743" spans="1:22">
      <c r="A743" s="185" t="s">
        <v>373</v>
      </c>
      <c r="C743" s="186"/>
      <c r="E743" s="163"/>
      <c r="G743" s="187"/>
      <c r="H743" s="188"/>
      <c r="I743" s="172"/>
      <c r="K743" s="172"/>
      <c r="M743" s="187"/>
      <c r="N743" s="188"/>
      <c r="O743" s="172"/>
      <c r="Q743" s="242"/>
      <c r="S743" s="369"/>
      <c r="T743" s="369"/>
      <c r="U743" s="172"/>
    </row>
    <row r="744" spans="1:22">
      <c r="A744" s="185" t="s">
        <v>375</v>
      </c>
      <c r="C744" s="186">
        <v>0</v>
      </c>
      <c r="E744" s="260"/>
      <c r="G744" s="370">
        <v>0.51019999999999999</v>
      </c>
      <c r="H744" s="371"/>
      <c r="I744" s="172">
        <f>ROUND(G744*$C744,0)</f>
        <v>0</v>
      </c>
      <c r="K744" s="172">
        <f>ROUND(G744*$E744,0)</f>
        <v>0</v>
      </c>
      <c r="M744" s="370">
        <f>M691</f>
        <v>0.60680000000000001</v>
      </c>
      <c r="N744" s="371"/>
      <c r="O744" s="172">
        <f>ROUND(M744*$E744,0)</f>
        <v>0</v>
      </c>
      <c r="P744" s="172"/>
      <c r="Q744" s="242"/>
      <c r="R744" s="275"/>
      <c r="T744" s="190">
        <f>M744/G744-1</f>
        <v>0.18933751470011773</v>
      </c>
    </row>
    <row r="745" spans="1:22">
      <c r="A745" s="185" t="s">
        <v>377</v>
      </c>
      <c r="C745" s="186">
        <v>0</v>
      </c>
      <c r="E745" s="260"/>
      <c r="G745" s="372">
        <v>0.25509999999999999</v>
      </c>
      <c r="H745" s="373"/>
      <c r="I745" s="172">
        <f>ROUND(G745*$C745,0)</f>
        <v>0</v>
      </c>
      <c r="K745" s="172">
        <f>ROUND(G745*$E745,0)</f>
        <v>0</v>
      </c>
      <c r="M745" s="372">
        <f>M692</f>
        <v>0.3034</v>
      </c>
      <c r="N745" s="373"/>
      <c r="O745" s="172">
        <f>ROUND(M745*$E745,0)</f>
        <v>0</v>
      </c>
      <c r="P745" s="172"/>
      <c r="S745" s="369"/>
      <c r="T745" s="190">
        <f>M745/G745-1</f>
        <v>0.18933751470011773</v>
      </c>
      <c r="U745" s="172"/>
      <c r="V745" s="260"/>
    </row>
    <row r="746" spans="1:22">
      <c r="A746" s="185" t="s">
        <v>378</v>
      </c>
      <c r="C746" s="186">
        <v>0</v>
      </c>
      <c r="E746" s="260"/>
      <c r="G746" s="187">
        <v>35.6</v>
      </c>
      <c r="H746" s="188"/>
      <c r="I746" s="172">
        <f>ROUND(G746*$C746,0)</f>
        <v>0</v>
      </c>
      <c r="K746" s="172">
        <f>ROUND(G746*$E746,0)</f>
        <v>0</v>
      </c>
      <c r="M746" s="187">
        <f>M693</f>
        <v>42.34</v>
      </c>
      <c r="N746" s="188"/>
      <c r="O746" s="172">
        <f>ROUND(M746*$E746,0)</f>
        <v>0</v>
      </c>
      <c r="P746" s="172"/>
      <c r="T746" s="190">
        <f>M746/G746-1</f>
        <v>0.18932584269662933</v>
      </c>
    </row>
    <row r="747" spans="1:22">
      <c r="A747" s="356" t="s">
        <v>380</v>
      </c>
      <c r="C747" s="186"/>
      <c r="E747" s="163"/>
      <c r="M747" s="161"/>
      <c r="P747" s="172"/>
      <c r="Q747" s="242"/>
      <c r="R747" s="275"/>
      <c r="S747" s="224"/>
      <c r="T747" s="369"/>
      <c r="U747" s="172"/>
      <c r="V747" s="260"/>
    </row>
    <row r="748" spans="1:22">
      <c r="A748" s="185" t="s">
        <v>370</v>
      </c>
      <c r="C748" s="186">
        <v>6.0000001473812201</v>
      </c>
      <c r="E748" s="260">
        <v>12</v>
      </c>
      <c r="G748" s="187">
        <v>527</v>
      </c>
      <c r="H748" s="188"/>
      <c r="I748" s="172">
        <f>ROUND(G748*$C748,0)</f>
        <v>3162</v>
      </c>
      <c r="K748" s="172">
        <f>ROUND(G748*$E748,0)</f>
        <v>6324</v>
      </c>
      <c r="M748" s="187">
        <f>M695</f>
        <v>627</v>
      </c>
      <c r="N748" s="188"/>
      <c r="O748" s="172">
        <f>ROUND(M748*$E748,0)</f>
        <v>7524</v>
      </c>
      <c r="P748" s="172"/>
      <c r="T748" s="190">
        <f>M748/G748-1</f>
        <v>0.1897533206831119</v>
      </c>
      <c r="U748" s="172"/>
      <c r="V748" s="260"/>
    </row>
    <row r="749" spans="1:22">
      <c r="A749" s="185" t="s">
        <v>371</v>
      </c>
      <c r="C749" s="186">
        <v>109499.996031184</v>
      </c>
      <c r="E749" s="163">
        <f>ROUND(C749*$E$781/$C$781,0)</f>
        <v>42561</v>
      </c>
      <c r="G749" s="187">
        <v>1.7</v>
      </c>
      <c r="H749" s="241"/>
      <c r="I749" s="172">
        <f>ROUND(G749*$C749,0)</f>
        <v>186150</v>
      </c>
      <c r="K749" s="172">
        <f>ROUND(G749*$E749,0)</f>
        <v>72354</v>
      </c>
      <c r="M749" s="187">
        <f>M696</f>
        <v>2.02</v>
      </c>
      <c r="N749" s="241"/>
      <c r="O749" s="172">
        <f>ROUND(M749*$E749,0)</f>
        <v>85973</v>
      </c>
      <c r="P749" s="172"/>
      <c r="Q749" s="374"/>
      <c r="R749" s="275"/>
      <c r="T749" s="190">
        <f>M749/G749-1</f>
        <v>0.18823529411764706</v>
      </c>
      <c r="U749" s="172"/>
      <c r="V749" s="260"/>
    </row>
    <row r="750" spans="1:22">
      <c r="A750" s="185" t="s">
        <v>373</v>
      </c>
      <c r="C750" s="186"/>
      <c r="E750" s="163"/>
      <c r="G750" s="213"/>
      <c r="H750" s="272"/>
      <c r="I750" s="172"/>
      <c r="K750" s="172"/>
      <c r="M750" s="213"/>
      <c r="N750" s="272"/>
      <c r="O750" s="172"/>
      <c r="P750" s="218"/>
      <c r="Q750" s="242"/>
      <c r="V750" s="260"/>
    </row>
    <row r="751" spans="1:22">
      <c r="A751" s="185" t="s">
        <v>375</v>
      </c>
      <c r="C751" s="186">
        <v>113520.99942716199</v>
      </c>
      <c r="E751" s="163">
        <f>ROUND(C751*$E$781/$C$781,0)</f>
        <v>44124</v>
      </c>
      <c r="G751" s="370">
        <v>0.40079999999999999</v>
      </c>
      <c r="H751" s="371"/>
      <c r="I751" s="172">
        <f>ROUND(G751*$C751,0)</f>
        <v>45499</v>
      </c>
      <c r="K751" s="172">
        <f>ROUND(G751*$E751,0)</f>
        <v>17685</v>
      </c>
      <c r="M751" s="370">
        <f>M698</f>
        <v>0.47670000000000001</v>
      </c>
      <c r="N751" s="371"/>
      <c r="O751" s="172">
        <f>ROUND(M751*$E751,0)</f>
        <v>21034</v>
      </c>
      <c r="P751" s="218"/>
      <c r="Q751" s="242"/>
      <c r="R751" s="275"/>
      <c r="T751" s="190">
        <f>M751/G751-1</f>
        <v>0.18937125748502992</v>
      </c>
      <c r="U751" s="172"/>
      <c r="V751"/>
    </row>
    <row r="752" spans="1:22">
      <c r="A752" s="185" t="s">
        <v>377</v>
      </c>
      <c r="C752" s="186">
        <v>0</v>
      </c>
      <c r="E752" s="163">
        <f>ROUND(C752*$E$781/$C$781,0)</f>
        <v>0</v>
      </c>
      <c r="G752" s="372">
        <v>0.20039999999999999</v>
      </c>
      <c r="H752" s="373"/>
      <c r="I752" s="172">
        <f>ROUND(G752*$C752,0)</f>
        <v>0</v>
      </c>
      <c r="K752" s="172">
        <f>ROUND(G752*$E752,0)</f>
        <v>0</v>
      </c>
      <c r="M752" s="372">
        <f>M699</f>
        <v>0.2384</v>
      </c>
      <c r="N752" s="373"/>
      <c r="O752" s="172">
        <f>ROUND(M752*$E752,0)</f>
        <v>0</v>
      </c>
      <c r="P752" s="218"/>
      <c r="R752" s="275"/>
      <c r="T752" s="190">
        <f>M752/G752-1</f>
        <v>0.18962075848303406</v>
      </c>
      <c r="U752" s="172"/>
      <c r="V752"/>
    </row>
    <row r="753" spans="1:22">
      <c r="A753" s="185" t="s">
        <v>378</v>
      </c>
      <c r="C753" s="186">
        <v>0</v>
      </c>
      <c r="E753" s="163">
        <f>ROUND(C753*$E$781/$C$781,0)</f>
        <v>0</v>
      </c>
      <c r="G753" s="187">
        <v>34.28</v>
      </c>
      <c r="H753" s="188"/>
      <c r="I753" s="172">
        <f>ROUND(G753*$C753,0)</f>
        <v>0</v>
      </c>
      <c r="K753" s="172">
        <f>ROUND(G753*$E753,0)</f>
        <v>0</v>
      </c>
      <c r="M753" s="187">
        <f>M700</f>
        <v>40.770000000000003</v>
      </c>
      <c r="N753" s="188"/>
      <c r="O753" s="172">
        <f>ROUND(M753*$E753,0)</f>
        <v>0</v>
      </c>
      <c r="P753" s="218"/>
      <c r="T753" s="190">
        <f>M753/G753-1</f>
        <v>0.1893232205367561</v>
      </c>
      <c r="V753"/>
    </row>
    <row r="754" spans="1:22">
      <c r="A754" s="161" t="s">
        <v>216</v>
      </c>
      <c r="C754" s="376">
        <v>7403</v>
      </c>
      <c r="E754" s="376">
        <v>0</v>
      </c>
      <c r="G754" s="269"/>
      <c r="H754" s="267"/>
      <c r="I754" s="228">
        <v>627</v>
      </c>
      <c r="K754" s="228">
        <v>0</v>
      </c>
      <c r="M754" s="270"/>
      <c r="N754" s="267"/>
      <c r="O754" s="228">
        <v>0</v>
      </c>
    </row>
    <row r="755" spans="1:22" ht="16.5" thickBot="1">
      <c r="A755" s="185" t="s">
        <v>134</v>
      </c>
      <c r="C755" s="336">
        <f>C754</f>
        <v>7403</v>
      </c>
      <c r="E755" s="336">
        <f>E754</f>
        <v>0</v>
      </c>
      <c r="G755" s="254"/>
      <c r="I755" s="255">
        <f>SUM(I734:I754)</f>
        <v>235438</v>
      </c>
      <c r="K755" s="255">
        <f>SUM(K734:K754)</f>
        <v>96363</v>
      </c>
      <c r="M755" s="256"/>
      <c r="O755" s="255">
        <f>SUM(O734:O754)</f>
        <v>114531</v>
      </c>
      <c r="P755" s="172"/>
      <c r="Q755" s="171" t="s">
        <v>138</v>
      </c>
      <c r="R755" s="264">
        <f>(O755+O756)/(K755+K756)-1</f>
        <v>0.18853709411288566</v>
      </c>
    </row>
    <row r="756" spans="1:22" ht="16.5" thickTop="1">
      <c r="A756" s="185" t="s">
        <v>135</v>
      </c>
      <c r="C756" s="163"/>
      <c r="E756" s="163"/>
      <c r="G756" s="238"/>
      <c r="H756" s="239"/>
      <c r="I756" s="228"/>
      <c r="K756" s="228"/>
      <c r="M756" s="180"/>
      <c r="N756" s="239"/>
      <c r="O756" s="228"/>
      <c r="P756" s="172"/>
      <c r="Q756" s="171"/>
      <c r="R756" s="378"/>
    </row>
    <row r="757" spans="1:22">
      <c r="A757" s="185" t="s">
        <v>136</v>
      </c>
      <c r="C757" s="163"/>
      <c r="E757" s="163"/>
      <c r="G757" s="238">
        <f>M757</f>
        <v>3.85E-2</v>
      </c>
      <c r="H757" s="239"/>
      <c r="I757" s="228">
        <f>ROUND(SUM(I735:I739,I742:I746,I749:I753,I756)*G757,0)</f>
        <v>8918</v>
      </c>
      <c r="K757" s="228">
        <f>ROUND(SUM(K735:K739,K742:K746,K749:K753,K756)*G757,0)</f>
        <v>3467</v>
      </c>
      <c r="M757" s="259">
        <f>M704</f>
        <v>3.85E-2</v>
      </c>
      <c r="N757" s="239"/>
      <c r="O757" s="228">
        <f>ROUND(SUM(O735:O739,O742:O746,O749:O753,O756)*M757,0)</f>
        <v>4120</v>
      </c>
      <c r="P757" s="172"/>
      <c r="Q757" s="171"/>
      <c r="R757" s="378"/>
    </row>
    <row r="758" spans="1:22">
      <c r="A758" s="356" t="s">
        <v>381</v>
      </c>
      <c r="P758" s="172"/>
    </row>
    <row r="759" spans="1:22">
      <c r="A759" s="181" t="s">
        <v>382</v>
      </c>
      <c r="C759" s="186"/>
      <c r="E759" s="163"/>
      <c r="G759" s="213"/>
      <c r="H759" s="272"/>
      <c r="I759" s="172"/>
      <c r="K759" s="172"/>
      <c r="M759" s="273"/>
      <c r="N759" s="272"/>
      <c r="O759" s="172"/>
      <c r="P759" s="172"/>
    </row>
    <row r="760" spans="1:22">
      <c r="A760" s="185" t="s">
        <v>161</v>
      </c>
      <c r="C760" s="186">
        <v>0</v>
      </c>
      <c r="E760" s="260"/>
      <c r="G760" s="213">
        <v>15.16</v>
      </c>
      <c r="H760" s="272"/>
      <c r="I760" s="172">
        <f>ROUND(G760*$C760,0)</f>
        <v>0</v>
      </c>
      <c r="K760" s="172">
        <f>ROUND(G760*$E760,0)</f>
        <v>0</v>
      </c>
      <c r="M760" s="273">
        <f>M117</f>
        <v>17.829999999999998</v>
      </c>
      <c r="N760" s="272"/>
      <c r="O760" s="172">
        <f>ROUND(M760*$E760,0)</f>
        <v>0</v>
      </c>
      <c r="P760" s="172"/>
      <c r="T760" s="190">
        <f>M760/G760-1</f>
        <v>0.17612137203166212</v>
      </c>
    </row>
    <row r="761" spans="1:22">
      <c r="A761" s="185" t="s">
        <v>162</v>
      </c>
      <c r="C761" s="186">
        <v>0</v>
      </c>
      <c r="E761" s="260"/>
      <c r="G761" s="213">
        <v>12.17</v>
      </c>
      <c r="H761" s="272"/>
      <c r="I761" s="172">
        <f>ROUND(G761*$C761,0)</f>
        <v>0</v>
      </c>
      <c r="K761" s="172">
        <f>ROUND(G761*$E761,0)</f>
        <v>0</v>
      </c>
      <c r="M761" s="273">
        <f>M118</f>
        <v>14.31</v>
      </c>
      <c r="N761" s="272"/>
      <c r="O761" s="172">
        <f>ROUND(M761*$E761,0)</f>
        <v>0</v>
      </c>
      <c r="P761" s="172"/>
      <c r="T761" s="190">
        <f>M761/G761-1</f>
        <v>0.17584223500410845</v>
      </c>
    </row>
    <row r="762" spans="1:22">
      <c r="A762" s="185" t="s">
        <v>154</v>
      </c>
      <c r="C762" s="186">
        <v>0</v>
      </c>
      <c r="E762" s="260"/>
      <c r="G762" s="213">
        <v>-0.78</v>
      </c>
      <c r="H762" s="272"/>
      <c r="I762" s="172">
        <f>ROUND(G762*$C762,0)</f>
        <v>0</v>
      </c>
      <c r="K762" s="172">
        <f>ROUND(G762*$E762,0)</f>
        <v>0</v>
      </c>
      <c r="M762" s="273">
        <f>M119</f>
        <v>-0.92</v>
      </c>
      <c r="N762" s="272"/>
      <c r="O762" s="172">
        <f>ROUND(M762*$E762,0)</f>
        <v>0</v>
      </c>
      <c r="P762" s="172"/>
      <c r="T762" s="190">
        <f>M762/G762-1</f>
        <v>0.17948717948717952</v>
      </c>
    </row>
    <row r="763" spans="1:22">
      <c r="A763" s="185" t="s">
        <v>149</v>
      </c>
      <c r="C763" s="186">
        <v>0</v>
      </c>
      <c r="E763" s="163"/>
      <c r="G763" s="269"/>
      <c r="H763" s="193"/>
      <c r="I763" s="172"/>
      <c r="K763" s="172"/>
      <c r="M763" s="270"/>
      <c r="N763" s="193"/>
      <c r="O763" s="172"/>
      <c r="P763" s="172"/>
    </row>
    <row r="764" spans="1:22">
      <c r="A764" s="185" t="s">
        <v>163</v>
      </c>
      <c r="C764" s="186">
        <v>0</v>
      </c>
      <c r="E764" s="163"/>
      <c r="G764" s="269">
        <v>3.1907000000000001</v>
      </c>
      <c r="H764" s="193" t="s">
        <v>108</v>
      </c>
      <c r="I764" s="172">
        <f>ROUND(G764*$C764/100,0)</f>
        <v>0</v>
      </c>
      <c r="K764" s="172">
        <f>ROUND(G764*$E764/100,0)</f>
        <v>0</v>
      </c>
      <c r="M764" s="270">
        <f>M121</f>
        <v>3.7528000000000001</v>
      </c>
      <c r="N764" s="193" t="s">
        <v>108</v>
      </c>
      <c r="O764" s="172">
        <f>ROUND(M764*$E764/100,0)</f>
        <v>0</v>
      </c>
      <c r="P764" s="172"/>
      <c r="T764" s="190">
        <f>M764/G764-1</f>
        <v>0.17616823894443234</v>
      </c>
    </row>
    <row r="765" spans="1:22">
      <c r="A765" s="185" t="s">
        <v>164</v>
      </c>
      <c r="C765" s="186">
        <v>0</v>
      </c>
      <c r="E765" s="163"/>
      <c r="G765" s="269">
        <v>2.9416000000000002</v>
      </c>
      <c r="H765" s="193" t="s">
        <v>108</v>
      </c>
      <c r="I765" s="172">
        <f>ROUND(G765*$C765/100,0)</f>
        <v>0</v>
      </c>
      <c r="K765" s="172">
        <f>ROUND(G765*$E765/100,0)</f>
        <v>0</v>
      </c>
      <c r="M765" s="270">
        <f>M122</f>
        <v>3.4609999999999999</v>
      </c>
      <c r="N765" s="193" t="s">
        <v>108</v>
      </c>
      <c r="O765" s="172">
        <f>ROUND(M765*$E765/100,0)</f>
        <v>0</v>
      </c>
      <c r="P765" s="172"/>
      <c r="T765" s="190">
        <f>M765/G765-1</f>
        <v>0.1765705738373673</v>
      </c>
    </row>
    <row r="766" spans="1:22">
      <c r="A766" s="181" t="s">
        <v>383</v>
      </c>
      <c r="C766" s="186"/>
      <c r="E766" s="163"/>
      <c r="G766" s="213"/>
      <c r="H766" s="272"/>
      <c r="I766" s="172"/>
      <c r="K766" s="172"/>
      <c r="M766" s="273"/>
      <c r="N766" s="272"/>
      <c r="O766" s="172"/>
      <c r="P766" s="172"/>
    </row>
    <row r="767" spans="1:22">
      <c r="A767" s="185" t="s">
        <v>221</v>
      </c>
      <c r="C767" s="186">
        <v>0</v>
      </c>
      <c r="E767" s="260"/>
      <c r="G767" s="213">
        <v>12.33</v>
      </c>
      <c r="H767" s="272"/>
      <c r="I767" s="172">
        <f>ROUND(G767*$C767,0)</f>
        <v>0</v>
      </c>
      <c r="K767" s="172">
        <f>ROUND(G767*$E767,0)</f>
        <v>0</v>
      </c>
      <c r="M767" s="273">
        <f>M286</f>
        <v>14.74</v>
      </c>
      <c r="N767" s="272"/>
      <c r="O767" s="172">
        <f>ROUND(M767*$E767,0)</f>
        <v>0</v>
      </c>
      <c r="P767" s="172"/>
      <c r="T767" s="190">
        <f t="shared" ref="T767:T773" si="101">M767/G767-1</f>
        <v>0.19545823195458234</v>
      </c>
    </row>
    <row r="768" spans="1:22">
      <c r="A768" s="185" t="s">
        <v>222</v>
      </c>
      <c r="C768" s="186">
        <v>0</v>
      </c>
      <c r="E768" s="260"/>
      <c r="G768" s="213">
        <v>8.8800000000000008</v>
      </c>
      <c r="H768" s="272"/>
      <c r="I768" s="172">
        <f>ROUND(G768*$C768,0)</f>
        <v>0</v>
      </c>
      <c r="K768" s="172">
        <f>ROUND(G768*$E768,0)</f>
        <v>0</v>
      </c>
      <c r="M768" s="273">
        <f>M287</f>
        <v>10.62</v>
      </c>
      <c r="N768" s="272"/>
      <c r="O768" s="172">
        <f>ROUND(M768*$E768,0)</f>
        <v>0</v>
      </c>
      <c r="P768" s="172"/>
      <c r="T768" s="190">
        <f t="shared" si="101"/>
        <v>0.19594594594594583</v>
      </c>
    </row>
    <row r="769" spans="1:22">
      <c r="A769" s="185" t="s">
        <v>220</v>
      </c>
      <c r="C769" s="186">
        <v>0</v>
      </c>
      <c r="E769" s="260"/>
      <c r="G769" s="213">
        <v>3.77</v>
      </c>
      <c r="H769" s="272"/>
      <c r="I769" s="172">
        <f>ROUND(G769*$C769,0)</f>
        <v>0</v>
      </c>
      <c r="K769" s="172">
        <f>ROUND(G769*$E769,0)</f>
        <v>0</v>
      </c>
      <c r="M769" s="273">
        <f>M285</f>
        <v>4.51</v>
      </c>
      <c r="N769" s="272"/>
      <c r="O769" s="172">
        <f>ROUND(M769*$E769,0)</f>
        <v>0</v>
      </c>
      <c r="P769" s="172"/>
      <c r="T769" s="190">
        <f t="shared" si="101"/>
        <v>0.19628647214854111</v>
      </c>
    </row>
    <row r="770" spans="1:22">
      <c r="A770" s="185" t="s">
        <v>154</v>
      </c>
      <c r="C770" s="186">
        <v>0</v>
      </c>
      <c r="E770" s="260"/>
      <c r="G770" s="213">
        <v>-0.9</v>
      </c>
      <c r="H770" s="272"/>
      <c r="I770" s="172">
        <f>ROUND(G770*$C770,0)</f>
        <v>0</v>
      </c>
      <c r="K770" s="172">
        <f>ROUND(G770*$E770,0)</f>
        <v>0</v>
      </c>
      <c r="M770" s="273">
        <f>M288</f>
        <v>-1.08</v>
      </c>
      <c r="N770" s="272"/>
      <c r="O770" s="172">
        <f>ROUND(M770*$E770,0)</f>
        <v>0</v>
      </c>
      <c r="P770" s="172"/>
      <c r="T770" s="190">
        <f t="shared" si="101"/>
        <v>0.19999999999999996</v>
      </c>
    </row>
    <row r="771" spans="1:22">
      <c r="A771" s="185" t="s">
        <v>143</v>
      </c>
      <c r="C771" s="186">
        <v>0</v>
      </c>
      <c r="E771" s="163"/>
      <c r="G771" s="269">
        <v>4.0021000000000004</v>
      </c>
      <c r="H771" s="193" t="s">
        <v>108</v>
      </c>
      <c r="I771" s="172">
        <f>ROUND(G771*$C771/100,0)</f>
        <v>0</v>
      </c>
      <c r="K771" s="172">
        <f>ROUND(G771*$E771/100,0)</f>
        <v>0</v>
      </c>
      <c r="M771" s="270">
        <f>M289</f>
        <v>4.7850999999999999</v>
      </c>
      <c r="N771" s="193" t="s">
        <v>108</v>
      </c>
      <c r="O771" s="172">
        <f>ROUND(M771*$E771/100,0)</f>
        <v>0</v>
      </c>
      <c r="P771" s="172"/>
      <c r="R771"/>
      <c r="T771" s="190">
        <f t="shared" si="101"/>
        <v>0.19564728517528285</v>
      </c>
    </row>
    <row r="772" spans="1:22">
      <c r="A772" s="185" t="s">
        <v>179</v>
      </c>
      <c r="C772" s="186">
        <v>0</v>
      </c>
      <c r="E772" s="163"/>
      <c r="G772" s="269">
        <v>3.1328</v>
      </c>
      <c r="H772" s="193" t="s">
        <v>108</v>
      </c>
      <c r="I772" s="172">
        <f>ROUND(G772*$C772/100,0)</f>
        <v>0</v>
      </c>
      <c r="K772" s="172">
        <f>ROUND(G772*$E772/100,0)</f>
        <v>0</v>
      </c>
      <c r="M772" s="270">
        <f>M290</f>
        <v>3.7456999999999998</v>
      </c>
      <c r="N772" s="193" t="s">
        <v>108</v>
      </c>
      <c r="O772" s="172">
        <f>ROUND(M772*$E772/100,0)</f>
        <v>0</v>
      </c>
      <c r="P772" s="172"/>
      <c r="T772" s="190">
        <f t="shared" si="101"/>
        <v>0.19563968335035753</v>
      </c>
    </row>
    <row r="773" spans="1:22">
      <c r="A773" s="185" t="s">
        <v>223</v>
      </c>
      <c r="C773" s="186">
        <v>0</v>
      </c>
      <c r="E773" s="163"/>
      <c r="G773" s="269">
        <v>2.6987000000000001</v>
      </c>
      <c r="H773" s="193" t="s">
        <v>108</v>
      </c>
      <c r="I773" s="172">
        <f>ROUND(G773*$C773/100,0)</f>
        <v>0</v>
      </c>
      <c r="K773" s="172">
        <f>ROUND(G773*$E773/100,0)</f>
        <v>0</v>
      </c>
      <c r="M773" s="270">
        <f>M291</f>
        <v>3.2261000000000002</v>
      </c>
      <c r="N773" s="193" t="s">
        <v>108</v>
      </c>
      <c r="O773" s="172">
        <f>ROUND(M773*$E773/100,0)</f>
        <v>0</v>
      </c>
      <c r="P773" s="172"/>
      <c r="T773" s="190">
        <f t="shared" si="101"/>
        <v>0.19542742802089896</v>
      </c>
    </row>
    <row r="774" spans="1:22">
      <c r="A774" s="181" t="s">
        <v>384</v>
      </c>
      <c r="C774" s="186"/>
      <c r="E774" s="163"/>
      <c r="G774" s="269"/>
      <c r="H774" s="193"/>
      <c r="I774" s="172"/>
      <c r="K774" s="172"/>
      <c r="M774" s="270"/>
      <c r="N774" s="193"/>
      <c r="O774" s="172"/>
      <c r="P774" s="172"/>
    </row>
    <row r="775" spans="1:22">
      <c r="A775" s="185" t="s">
        <v>220</v>
      </c>
      <c r="C775" s="186">
        <v>0</v>
      </c>
      <c r="E775" s="163">
        <f>ROUND(C775*$E$781/$C$781,0)</f>
        <v>0</v>
      </c>
      <c r="G775" s="213">
        <v>1.71</v>
      </c>
      <c r="H775" s="272"/>
      <c r="I775" s="172">
        <f>ROUND(G775*$C775,0)</f>
        <v>0</v>
      </c>
      <c r="K775" s="172">
        <f>ROUND(G775*$E775,0)</f>
        <v>0</v>
      </c>
      <c r="M775" s="273">
        <f t="shared" ref="M775:M780" si="102">M327</f>
        <v>2.08</v>
      </c>
      <c r="N775" s="272"/>
      <c r="O775" s="172">
        <f>ROUND(M775*$E775,0)</f>
        <v>0</v>
      </c>
      <c r="P775" s="172"/>
      <c r="S775"/>
      <c r="T775" s="190">
        <f t="shared" ref="T775:T780" si="103">M775/G775-1</f>
        <v>0.21637426900584811</v>
      </c>
    </row>
    <row r="776" spans="1:22">
      <c r="A776" s="185" t="s">
        <v>221</v>
      </c>
      <c r="C776" s="186">
        <v>0</v>
      </c>
      <c r="E776" s="163">
        <f>ROUND(C776*$E$781/$C$781,0)</f>
        <v>0</v>
      </c>
      <c r="G776" s="213">
        <v>10.76</v>
      </c>
      <c r="H776" s="272"/>
      <c r="I776" s="172">
        <f>ROUND(G776*$C776,0)</f>
        <v>0</v>
      </c>
      <c r="K776" s="172">
        <f>ROUND(G776*$E776,0)</f>
        <v>0</v>
      </c>
      <c r="M776" s="273">
        <f t="shared" si="102"/>
        <v>13.1</v>
      </c>
      <c r="N776" s="272"/>
      <c r="O776" s="172">
        <f>ROUND(M776*$E776,0)</f>
        <v>0</v>
      </c>
      <c r="P776" s="218"/>
      <c r="T776" s="190">
        <f t="shared" si="103"/>
        <v>0.21747211895910779</v>
      </c>
    </row>
    <row r="777" spans="1:22">
      <c r="A777" s="185" t="s">
        <v>222</v>
      </c>
      <c r="C777" s="186">
        <v>0</v>
      </c>
      <c r="E777" s="163">
        <f>ROUND(C777*$E$781/$C$781,0)</f>
        <v>0</v>
      </c>
      <c r="G777" s="213">
        <v>7.3</v>
      </c>
      <c r="H777" s="272"/>
      <c r="I777" s="172">
        <f>ROUND(G777*$C777,0)</f>
        <v>0</v>
      </c>
      <c r="K777" s="172">
        <f>ROUND(G777*$E777,0)</f>
        <v>0</v>
      </c>
      <c r="M777" s="273">
        <f t="shared" si="102"/>
        <v>8.89</v>
      </c>
      <c r="N777" s="272"/>
      <c r="O777" s="172">
        <f>ROUND(M777*$E777,0)</f>
        <v>0</v>
      </c>
      <c r="P777" s="218"/>
      <c r="T777" s="190">
        <f t="shared" si="103"/>
        <v>0.21780821917808235</v>
      </c>
      <c r="U777"/>
    </row>
    <row r="778" spans="1:22">
      <c r="A778" s="185" t="s">
        <v>228</v>
      </c>
      <c r="C778" s="186">
        <v>165000</v>
      </c>
      <c r="E778" s="163">
        <f>ROUND(C778*$E$781/$C$781,0)</f>
        <v>64133</v>
      </c>
      <c r="G778" s="293">
        <v>3.5857999999999999</v>
      </c>
      <c r="H778" s="193" t="s">
        <v>108</v>
      </c>
      <c r="I778" s="172">
        <f>ROUND(G778*$C778/100,0)</f>
        <v>5917</v>
      </c>
      <c r="K778" s="172">
        <f>ROUND(G778*$E778/100,0)</f>
        <v>2300</v>
      </c>
      <c r="M778" s="294">
        <f t="shared" si="102"/>
        <v>4.3661000000000003</v>
      </c>
      <c r="N778" s="193" t="s">
        <v>108</v>
      </c>
      <c r="O778" s="172">
        <f>ROUND(M778*$E778/100,0)</f>
        <v>2800</v>
      </c>
      <c r="P778" s="218"/>
      <c r="T778" s="190">
        <f t="shared" si="103"/>
        <v>0.21760834402364893</v>
      </c>
    </row>
    <row r="779" spans="1:22">
      <c r="A779" s="185" t="s">
        <v>229</v>
      </c>
      <c r="C779" s="186">
        <v>754000</v>
      </c>
      <c r="E779" s="163">
        <f>ROUND(C779*$E$781/$C$781,0)</f>
        <v>293066</v>
      </c>
      <c r="G779" s="293">
        <v>2.6962999999999999</v>
      </c>
      <c r="H779" s="193" t="s">
        <v>108</v>
      </c>
      <c r="I779" s="172">
        <f>ROUND(G779*$C779/100,0)</f>
        <v>20330</v>
      </c>
      <c r="K779" s="172">
        <f>ROUND(G779*$E779/100,0)</f>
        <v>7902</v>
      </c>
      <c r="M779" s="294">
        <f t="shared" si="102"/>
        <v>3.2829999999999999</v>
      </c>
      <c r="N779" s="193" t="s">
        <v>108</v>
      </c>
      <c r="O779" s="172">
        <f>ROUND(M779*$E779/100,0)</f>
        <v>9621</v>
      </c>
      <c r="P779" s="218"/>
      <c r="T779" s="190">
        <f t="shared" si="103"/>
        <v>0.21759448132626202</v>
      </c>
      <c r="V779"/>
    </row>
    <row r="780" spans="1:22">
      <c r="A780" s="185" t="s">
        <v>223</v>
      </c>
      <c r="C780" s="379">
        <v>1172000</v>
      </c>
      <c r="E780" s="380">
        <f>E781-SUM(E764:E765,E771:E773,E778:E779)</f>
        <v>458413</v>
      </c>
      <c r="G780" s="381">
        <v>2.2517999999999998</v>
      </c>
      <c r="H780" s="193" t="s">
        <v>108</v>
      </c>
      <c r="I780" s="326">
        <f>ROUND(G780*$C780/100,0)</f>
        <v>26391</v>
      </c>
      <c r="K780" s="326">
        <f>ROUND(G780*$E780/100,0)</f>
        <v>10323</v>
      </c>
      <c r="M780" s="382">
        <f t="shared" si="102"/>
        <v>2.7423000000000002</v>
      </c>
      <c r="N780" s="193" t="s">
        <v>108</v>
      </c>
      <c r="O780" s="326">
        <f>ROUND(M780*$E780/100,0)</f>
        <v>12571</v>
      </c>
      <c r="T780" s="190">
        <f t="shared" si="103"/>
        <v>0.2178257394084735</v>
      </c>
    </row>
    <row r="781" spans="1:22" ht="16.5" thickBot="1">
      <c r="A781" s="185" t="s">
        <v>385</v>
      </c>
      <c r="C781" s="265">
        <f>C755+C763+C771+C772+C773+C778+C779+C780</f>
        <v>2098403</v>
      </c>
      <c r="E781" s="265">
        <v>815612</v>
      </c>
      <c r="G781" s="254"/>
      <c r="I781" s="255">
        <f>I755+SUM(I760:I780)</f>
        <v>288076</v>
      </c>
      <c r="K781" s="255">
        <f>K755+SUM(K760:K780)</f>
        <v>116888</v>
      </c>
      <c r="M781" s="256"/>
      <c r="O781" s="255">
        <f>O755+SUM(O760:O780)</f>
        <v>139523</v>
      </c>
      <c r="Q781" s="171"/>
    </row>
    <row r="782" spans="1:22" ht="16.5" thickTop="1">
      <c r="A782" s="185" t="s">
        <v>386</v>
      </c>
      <c r="C782" s="163"/>
      <c r="E782" s="163"/>
      <c r="G782" s="238"/>
      <c r="H782" s="239"/>
      <c r="I782" s="228">
        <v>0</v>
      </c>
      <c r="K782" s="228">
        <f>I782</f>
        <v>0</v>
      </c>
      <c r="M782" s="180"/>
      <c r="N782" s="239"/>
      <c r="O782" s="228">
        <v>0</v>
      </c>
      <c r="P782" s="383"/>
      <c r="Q782" s="171" t="s">
        <v>138</v>
      </c>
      <c r="R782" s="264">
        <f>(O782+O781)/(K782+K781)-1</f>
        <v>0.19364690986243249</v>
      </c>
    </row>
    <row r="783" spans="1:22">
      <c r="A783" s="185" t="s">
        <v>387</v>
      </c>
      <c r="C783" s="163"/>
      <c r="E783" s="163"/>
      <c r="G783" s="238"/>
      <c r="H783" s="258"/>
      <c r="I783" s="228">
        <f>SUM(I760:I763)*G$127+SUM(I767:I773)*G$295+SUM(I775:I780)*G$336+I757</f>
        <v>10865.606</v>
      </c>
      <c r="K783" s="228">
        <f>SUM(K760:K763)*$G$127+SUM(K767:K773)*$G$295+SUM(K775:K780)*$G$336+K757</f>
        <v>4226.4250000000002</v>
      </c>
      <c r="M783" s="259"/>
      <c r="N783" s="258"/>
      <c r="O783" s="228">
        <f>(SUM(O760:O763)*$G$127+SUM(O767:O773)*$G$295+SUM(O775:O780)*$G$336)+O757</f>
        <v>5044.7039999999997</v>
      </c>
      <c r="P783" s="383"/>
    </row>
    <row r="784" spans="1:22">
      <c r="P784" s="383"/>
    </row>
    <row r="785" spans="1:21">
      <c r="A785" s="181" t="s">
        <v>389</v>
      </c>
      <c r="C785" s="163"/>
      <c r="E785" s="163"/>
      <c r="P785" s="383"/>
    </row>
    <row r="786" spans="1:21">
      <c r="A786" s="185" t="s">
        <v>104</v>
      </c>
      <c r="C786" s="186">
        <v>12</v>
      </c>
      <c r="E786" s="260">
        <v>12</v>
      </c>
      <c r="G786" s="269"/>
      <c r="H786" s="267"/>
      <c r="I786" s="384">
        <v>2210.4</v>
      </c>
      <c r="K786" s="383">
        <f>I786*$E$786/$C$786</f>
        <v>2210.4</v>
      </c>
      <c r="M786" s="270"/>
      <c r="N786" s="267"/>
      <c r="O786" s="383">
        <f>K786</f>
        <v>2210.4</v>
      </c>
      <c r="P786" s="383"/>
    </row>
    <row r="787" spans="1:21">
      <c r="A787" s="185" t="s">
        <v>390</v>
      </c>
      <c r="C787" s="186">
        <v>690480</v>
      </c>
      <c r="E787" s="260">
        <f>ROUND(C787*$E$791/$C$791,0)</f>
        <v>890174</v>
      </c>
      <c r="G787" s="269"/>
      <c r="H787" s="267"/>
      <c r="I787" s="384">
        <v>6763476.7999999998</v>
      </c>
      <c r="K787" s="383">
        <f>I787*$E$791/$C$791</f>
        <v>8719546.1279535647</v>
      </c>
      <c r="M787" s="270"/>
      <c r="N787" s="267"/>
      <c r="O787" s="383">
        <f>K787</f>
        <v>8719546.1279535647</v>
      </c>
      <c r="P787" s="296"/>
      <c r="Q787" s="223"/>
      <c r="R787" s="184"/>
    </row>
    <row r="788" spans="1:21">
      <c r="A788" s="185" t="s">
        <v>391</v>
      </c>
      <c r="C788" s="186">
        <v>1157480</v>
      </c>
      <c r="E788" s="260">
        <f>ROUND(C788*$E$791/$C$791,0)</f>
        <v>1492236</v>
      </c>
      <c r="G788" s="269"/>
      <c r="H788" s="267"/>
      <c r="I788" s="384">
        <v>0</v>
      </c>
      <c r="K788" s="383">
        <f>I788*$E$791/$C$791</f>
        <v>0</v>
      </c>
      <c r="M788" s="270"/>
      <c r="N788" s="267"/>
      <c r="O788" s="383">
        <f>K788</f>
        <v>0</v>
      </c>
      <c r="P788" s="297"/>
      <c r="Q788" s="264">
        <f>E791/((E787+E788)/12*8760)</f>
        <v>0.32546287792304096</v>
      </c>
      <c r="R788" s="218"/>
    </row>
    <row r="789" spans="1:21">
      <c r="A789" s="185" t="s">
        <v>392</v>
      </c>
      <c r="C789" s="186">
        <v>170304517</v>
      </c>
      <c r="E789" s="260">
        <f>ROUND(C789*$E$791/$C$791,0)</f>
        <v>219558392</v>
      </c>
      <c r="G789" s="385"/>
      <c r="H789" s="386"/>
      <c r="I789" s="384">
        <v>5134363.3900000006</v>
      </c>
      <c r="K789" s="383">
        <f>I789*$E$791/$C$791</f>
        <v>6619275.816364306</v>
      </c>
      <c r="M789" s="387"/>
      <c r="N789" s="386"/>
      <c r="O789" s="383">
        <f>K789</f>
        <v>6619275.816364306</v>
      </c>
      <c r="P789" s="297"/>
      <c r="Q789" s="191"/>
      <c r="R789" s="218"/>
      <c r="S789"/>
    </row>
    <row r="790" spans="1:21">
      <c r="A790" s="185" t="s">
        <v>393</v>
      </c>
      <c r="C790" s="379">
        <v>268748483</v>
      </c>
      <c r="E790" s="321">
        <f>E791-E789</f>
        <v>346473398.94462132</v>
      </c>
      <c r="I790" s="388">
        <v>5896341.7400000002</v>
      </c>
      <c r="K790" s="389">
        <f>I790*$E$791/$C$791</f>
        <v>7601626.3984387424</v>
      </c>
      <c r="O790" s="389">
        <f>K790</f>
        <v>7601626.3984387424</v>
      </c>
      <c r="P790" s="390"/>
      <c r="Q790" s="191"/>
      <c r="R790" s="218"/>
      <c r="S790"/>
    </row>
    <row r="791" spans="1:21" ht="16.5" thickBot="1">
      <c r="A791" s="185" t="s">
        <v>134</v>
      </c>
      <c r="C791" s="265">
        <f>SUM(C789:C790)</f>
        <v>439053000</v>
      </c>
      <c r="E791" s="265">
        <v>566031790.94462132</v>
      </c>
      <c r="G791" s="266"/>
      <c r="H791" s="267"/>
      <c r="I791" s="391">
        <f>SUM(I786:I790)</f>
        <v>17796392.329999998</v>
      </c>
      <c r="K791" s="391">
        <f>SUM(K786:K790)</f>
        <v>22942658.742756613</v>
      </c>
      <c r="M791" s="268"/>
      <c r="N791" s="267"/>
      <c r="O791" s="391">
        <f>SUM(O786:O790)</f>
        <v>22942658.742756613</v>
      </c>
      <c r="P791" s="296"/>
      <c r="T791"/>
      <c r="U791"/>
    </row>
    <row r="792" spans="1:21" ht="16.5" thickTop="1">
      <c r="C792" s="163"/>
      <c r="E792" s="163"/>
      <c r="I792" s="390"/>
      <c r="K792" s="390"/>
      <c r="O792" s="390"/>
      <c r="P792" s="172"/>
    </row>
    <row r="793" spans="1:21">
      <c r="A793" s="392" t="s">
        <v>394</v>
      </c>
      <c r="B793" s="164"/>
      <c r="C793" s="163"/>
      <c r="E793" s="163"/>
      <c r="G793" s="269"/>
      <c r="H793" s="267"/>
      <c r="I793" s="171"/>
      <c r="K793" s="171"/>
      <c r="M793" s="270"/>
      <c r="N793" s="267"/>
      <c r="O793" s="171"/>
      <c r="P793" s="297"/>
    </row>
    <row r="794" spans="1:21">
      <c r="A794" s="220" t="s">
        <v>104</v>
      </c>
      <c r="B794" s="164"/>
      <c r="C794" s="186">
        <v>12</v>
      </c>
      <c r="E794" s="260">
        <v>12</v>
      </c>
      <c r="I794" s="171"/>
      <c r="K794" s="171"/>
      <c r="O794" s="171"/>
      <c r="P794" s="218"/>
      <c r="Q794" s="164"/>
      <c r="R794" s="184"/>
    </row>
    <row r="795" spans="1:21">
      <c r="A795" s="220" t="s">
        <v>395</v>
      </c>
      <c r="B795" s="164"/>
      <c r="C795" s="379">
        <v>742740996</v>
      </c>
      <c r="E795" s="260">
        <v>906890766.34466708</v>
      </c>
      <c r="G795" s="393"/>
      <c r="H795" s="394"/>
      <c r="I795" s="395">
        <v>24821651.976239998</v>
      </c>
      <c r="K795" s="172">
        <f>I795*$E795/$C795</f>
        <v>30307371.080770276</v>
      </c>
      <c r="M795" s="396"/>
      <c r="N795" s="394"/>
      <c r="O795" s="326">
        <f>K795</f>
        <v>30307371.080770276</v>
      </c>
      <c r="P795" s="171"/>
      <c r="Q795" s="191"/>
      <c r="R795" s="218"/>
    </row>
    <row r="796" spans="1:21" ht="16.5" thickBot="1">
      <c r="A796" s="185" t="s">
        <v>134</v>
      </c>
      <c r="B796" s="164"/>
      <c r="C796" s="397">
        <f>C795</f>
        <v>742740996</v>
      </c>
      <c r="E796" s="397">
        <f>SUM(E795:E795)</f>
        <v>906890766.34466708</v>
      </c>
      <c r="G796" s="398"/>
      <c r="H796" s="267"/>
      <c r="I796" s="235">
        <f>SUM(I795:I795)</f>
        <v>24821651.976239998</v>
      </c>
      <c r="K796" s="399">
        <f>SUM(K795:K795)</f>
        <v>30307371.080770276</v>
      </c>
      <c r="M796" s="400"/>
      <c r="N796" s="267"/>
      <c r="O796" s="235">
        <f>SUM(O795:O795)</f>
        <v>30307371.080770276</v>
      </c>
      <c r="P796" s="383"/>
      <c r="Q796"/>
      <c r="R796"/>
    </row>
    <row r="797" spans="1:21" ht="16.5" thickTop="1">
      <c r="A797" s="220"/>
      <c r="B797" s="164"/>
      <c r="C797" s="328"/>
      <c r="E797" s="328"/>
      <c r="G797" s="342"/>
      <c r="H797" s="239"/>
      <c r="I797" s="218"/>
      <c r="K797" s="218"/>
      <c r="M797" s="239"/>
      <c r="N797" s="239"/>
      <c r="O797" s="218"/>
      <c r="P797" s="383"/>
      <c r="Q797" s="184"/>
      <c r="R797" s="218"/>
    </row>
    <row r="798" spans="1:21">
      <c r="A798" s="181" t="s">
        <v>396</v>
      </c>
      <c r="C798" s="163"/>
      <c r="E798" s="163"/>
      <c r="G798" s="269"/>
      <c r="H798" s="267"/>
      <c r="I798" s="171"/>
      <c r="K798" s="171"/>
      <c r="M798" s="270"/>
      <c r="N798" s="267"/>
      <c r="O798" s="171"/>
      <c r="P798" s="383"/>
    </row>
    <row r="799" spans="1:21">
      <c r="A799" s="185" t="s">
        <v>104</v>
      </c>
      <c r="C799" s="186">
        <v>12</v>
      </c>
      <c r="E799" s="260">
        <v>12</v>
      </c>
      <c r="G799" s="187">
        <v>527</v>
      </c>
      <c r="H799" s="267"/>
      <c r="I799" s="172">
        <f>ROUND(G799*$C799,0)</f>
        <v>6324</v>
      </c>
      <c r="K799" s="172">
        <f>ROUND(G799*$E799,0)</f>
        <v>6324</v>
      </c>
      <c r="M799" s="187">
        <f>M748</f>
        <v>627</v>
      </c>
      <c r="N799" s="267"/>
      <c r="O799" s="172">
        <f>ROUND(M799*$E799,0)</f>
        <v>7524</v>
      </c>
      <c r="P799" s="383"/>
      <c r="Q799" s="274" t="s">
        <v>397</v>
      </c>
      <c r="T799" s="190">
        <f>M799/G799-1</f>
        <v>0.1897533206831119</v>
      </c>
    </row>
    <row r="800" spans="1:21">
      <c r="A800" s="185" t="s">
        <v>235</v>
      </c>
      <c r="C800" s="186">
        <v>727640</v>
      </c>
      <c r="E800" s="260">
        <f>ROUND(C800*$E$812/$C$812,0)</f>
        <v>1161152</v>
      </c>
      <c r="G800" s="187">
        <v>1.7</v>
      </c>
      <c r="H800" s="267"/>
      <c r="I800" s="172">
        <f>ROUND(G800*$C800,0)</f>
        <v>1236988</v>
      </c>
      <c r="K800" s="172">
        <f>ROUND(G800*$E800,0)</f>
        <v>1973958</v>
      </c>
      <c r="M800" s="187">
        <f>M749</f>
        <v>2.02</v>
      </c>
      <c r="N800" s="267"/>
      <c r="O800" s="172">
        <f>ROUND(M800*$E800,0)</f>
        <v>2345527</v>
      </c>
      <c r="P800" s="297"/>
      <c r="Q800" s="171" t="s">
        <v>398</v>
      </c>
      <c r="R800" s="190">
        <f>K813/K812</f>
        <v>2.9379161526928019E-2</v>
      </c>
      <c r="T800" s="190">
        <f>M800/G800-1</f>
        <v>0.18823529411764706</v>
      </c>
    </row>
    <row r="801" spans="1:22">
      <c r="A801" s="185" t="s">
        <v>399</v>
      </c>
      <c r="C801" s="186"/>
      <c r="E801" s="260"/>
      <c r="G801" s="213"/>
      <c r="H801" s="401"/>
      <c r="I801" s="384"/>
      <c r="K801" s="383"/>
      <c r="M801" s="213"/>
      <c r="N801" s="401"/>
      <c r="O801" s="383"/>
      <c r="P801" s="297"/>
      <c r="Q801" s="171" t="s">
        <v>400</v>
      </c>
      <c r="R801" s="190">
        <f>K824/K823</f>
        <v>5.7383575756071496E-2</v>
      </c>
    </row>
    <row r="802" spans="1:22">
      <c r="A802" s="185" t="s">
        <v>375</v>
      </c>
      <c r="C802" s="186">
        <v>5394980</v>
      </c>
      <c r="E802" s="260">
        <f>ROUND(C802*$E$812/$C$812,0)</f>
        <v>8609191</v>
      </c>
      <c r="G802" s="370">
        <v>0.40079999999999999</v>
      </c>
      <c r="H802" s="371"/>
      <c r="I802" s="172">
        <f>ROUND(G802*$C802,0)</f>
        <v>2162308</v>
      </c>
      <c r="K802" s="172">
        <f>ROUND(G802*$E802,0)</f>
        <v>3450564</v>
      </c>
      <c r="M802" s="370">
        <f>M751</f>
        <v>0.47670000000000001</v>
      </c>
      <c r="N802" s="267"/>
      <c r="O802" s="172">
        <f>ROUND(M802*$E802,0)</f>
        <v>4104001</v>
      </c>
      <c r="P802" s="218"/>
      <c r="Q802" s="242" t="s">
        <v>227</v>
      </c>
      <c r="R802" s="190">
        <f>K335/K334</f>
        <v>4.4470782404166902E-2</v>
      </c>
      <c r="T802" s="190">
        <f>M802/G802-1</f>
        <v>0.18937125748502992</v>
      </c>
      <c r="U802" s="172"/>
      <c r="V802"/>
    </row>
    <row r="803" spans="1:22">
      <c r="A803" s="185" t="s">
        <v>377</v>
      </c>
      <c r="C803" s="186">
        <v>0</v>
      </c>
      <c r="E803" s="260">
        <f>ROUND(C803*$E$812/$C$812,0)</f>
        <v>0</v>
      </c>
      <c r="G803" s="372">
        <v>0.20039999999999999</v>
      </c>
      <c r="H803" s="373"/>
      <c r="I803" s="172">
        <f>ROUND(G803*$C803,0)</f>
        <v>0</v>
      </c>
      <c r="K803" s="172">
        <f>ROUND(G803*$E803,0)</f>
        <v>0</v>
      </c>
      <c r="M803" s="372">
        <f>M752</f>
        <v>0.2384</v>
      </c>
      <c r="N803" s="267"/>
      <c r="O803" s="172">
        <f>ROUND(M803*$E803,0)</f>
        <v>0</v>
      </c>
      <c r="P803" s="218"/>
      <c r="Q803" s="274" t="s">
        <v>401</v>
      </c>
      <c r="R803" s="275"/>
      <c r="T803" s="190">
        <f>M803/G803-1</f>
        <v>0.18962075848303406</v>
      </c>
      <c r="U803" s="172"/>
      <c r="V803"/>
    </row>
    <row r="804" spans="1:22">
      <c r="A804" s="185" t="s">
        <v>402</v>
      </c>
      <c r="C804" s="186">
        <v>0</v>
      </c>
      <c r="E804" s="260">
        <f>ROUND(C804*$E$812/$C$812,0)</f>
        <v>0</v>
      </c>
      <c r="G804" s="187">
        <v>34.28</v>
      </c>
      <c r="H804" s="188"/>
      <c r="I804" s="172">
        <f>ROUND(G804*$C804,0)</f>
        <v>0</v>
      </c>
      <c r="K804" s="172">
        <f>ROUND(G804*$E804,0)</f>
        <v>0</v>
      </c>
      <c r="M804" s="187">
        <f>M753</f>
        <v>40.770000000000003</v>
      </c>
      <c r="N804" s="267"/>
      <c r="O804" s="172">
        <f>ROUND(M804*$E804,0)</f>
        <v>0</v>
      </c>
      <c r="P804" s="218"/>
      <c r="Q804" s="171" t="s">
        <v>398</v>
      </c>
      <c r="R804" s="190">
        <f>E812/((SUM(E806:E807)/12+E802/365)*8760)</f>
        <v>0.88731373318508355</v>
      </c>
      <c r="T804" s="190">
        <f>M804/G804-1</f>
        <v>0.1893232205367561</v>
      </c>
      <c r="V804"/>
    </row>
    <row r="805" spans="1:22">
      <c r="A805" s="185" t="s">
        <v>403</v>
      </c>
      <c r="C805" s="186"/>
      <c r="E805" s="260"/>
      <c r="G805" s="317"/>
      <c r="H805" s="401"/>
      <c r="I805" s="384"/>
      <c r="K805" s="383"/>
      <c r="M805" s="317"/>
      <c r="N805" s="401"/>
      <c r="O805" s="383"/>
      <c r="P805" s="171"/>
      <c r="Q805" s="171" t="s">
        <v>400</v>
      </c>
      <c r="R805" s="190">
        <f>E823/(SUM(E818:E819)/12*8760)</f>
        <v>0.93979179854468842</v>
      </c>
    </row>
    <row r="806" spans="1:22">
      <c r="A806" s="185" t="s">
        <v>404</v>
      </c>
      <c r="C806" s="186">
        <v>0</v>
      </c>
      <c r="E806" s="260">
        <f>ROUND(C806*$E$812/$C$812,0)</f>
        <v>0</v>
      </c>
      <c r="G806" s="213">
        <v>10.76</v>
      </c>
      <c r="H806" s="272"/>
      <c r="I806" s="172">
        <f>ROUND($G806*C806,0)</f>
        <v>0</v>
      </c>
      <c r="K806" s="172">
        <f>ROUND($G806*E806,0)</f>
        <v>0</v>
      </c>
      <c r="M806" s="213">
        <f>M328</f>
        <v>13.1</v>
      </c>
      <c r="N806" s="272"/>
      <c r="O806" s="172">
        <f>ROUND(M806*$E806,0)</f>
        <v>0</v>
      </c>
      <c r="P806" s="172"/>
      <c r="Q806" s="242" t="s">
        <v>227</v>
      </c>
      <c r="R806" s="190">
        <f>E334/(SUM(E328:E329)/12*8760)</f>
        <v>0.75634901826909517</v>
      </c>
      <c r="S806"/>
      <c r="T806" s="190">
        <f>M806/G806-1</f>
        <v>0.21747211895910779</v>
      </c>
    </row>
    <row r="807" spans="1:22">
      <c r="A807" s="185" t="s">
        <v>405</v>
      </c>
      <c r="C807" s="186">
        <v>938280</v>
      </c>
      <c r="E807" s="260">
        <f>ROUND(C807*$E$812/$C$812,0)</f>
        <v>1497287</v>
      </c>
      <c r="G807" s="213">
        <v>7.3</v>
      </c>
      <c r="H807" s="272"/>
      <c r="I807" s="172">
        <f>ROUND($G807*C807,0)</f>
        <v>6849444</v>
      </c>
      <c r="K807" s="172">
        <f>ROUND($G807*E807,0)</f>
        <v>10930195</v>
      </c>
      <c r="M807" s="213">
        <f>M329</f>
        <v>8.89</v>
      </c>
      <c r="N807" s="272"/>
      <c r="O807" s="172">
        <f>ROUND(M807*$E807,0)</f>
        <v>13310881</v>
      </c>
      <c r="P807" s="218"/>
      <c r="T807" s="190">
        <f>M807/G807-1</f>
        <v>0.21780821917808235</v>
      </c>
    </row>
    <row r="808" spans="1:22">
      <c r="A808" s="185" t="s">
        <v>406</v>
      </c>
      <c r="C808" s="221"/>
      <c r="E808" s="328"/>
      <c r="G808" s="402"/>
      <c r="H808" s="401"/>
      <c r="I808" s="403"/>
      <c r="K808" s="297"/>
      <c r="M808" s="402"/>
      <c r="N808" s="401"/>
      <c r="O808" s="297"/>
      <c r="P808" s="383"/>
    </row>
    <row r="809" spans="1:22">
      <c r="A809" s="185" t="s">
        <v>407</v>
      </c>
      <c r="C809" s="186">
        <v>24431979</v>
      </c>
      <c r="E809" s="260">
        <f>ROUND(C809*$E$812/$C$812,0)</f>
        <v>38988018</v>
      </c>
      <c r="G809" s="293">
        <v>3.5857999999999999</v>
      </c>
      <c r="H809" s="193" t="s">
        <v>108</v>
      </c>
      <c r="I809" s="172">
        <f>ROUND(G809*$C809/100,0)</f>
        <v>876082</v>
      </c>
      <c r="K809" s="172">
        <f>ROUND(G809*$E809/100,0)</f>
        <v>1398032</v>
      </c>
      <c r="M809" s="293">
        <f>M330</f>
        <v>4.3661000000000003</v>
      </c>
      <c r="N809" s="193" t="s">
        <v>108</v>
      </c>
      <c r="O809" s="172">
        <f>ROUND(M809*$E809/100,0)</f>
        <v>1702256</v>
      </c>
      <c r="P809" s="218"/>
      <c r="T809" s="190">
        <f>M809/G809-1</f>
        <v>0.21760834402364893</v>
      </c>
      <c r="U809"/>
    </row>
    <row r="810" spans="1:22">
      <c r="A810" s="185" t="s">
        <v>408</v>
      </c>
      <c r="C810" s="186">
        <v>259828552</v>
      </c>
      <c r="E810" s="260">
        <f>ROUND(C810*$E$812/$C$812,0)</f>
        <v>414628720</v>
      </c>
      <c r="G810" s="293">
        <v>2.6962999999999999</v>
      </c>
      <c r="H810" s="193" t="s">
        <v>108</v>
      </c>
      <c r="I810" s="172">
        <f>ROUND(G810*$C810/100,0)</f>
        <v>7005757</v>
      </c>
      <c r="K810" s="172">
        <f>ROUND(G810*$E810/100,0)</f>
        <v>11179634</v>
      </c>
      <c r="M810" s="293">
        <f>M331</f>
        <v>3.2829999999999999</v>
      </c>
      <c r="N810" s="193" t="s">
        <v>108</v>
      </c>
      <c r="O810" s="172">
        <f>ROUND(M810*$E810/100,0)</f>
        <v>13612261</v>
      </c>
      <c r="P810" s="218"/>
      <c r="T810" s="190">
        <f>M810/G810-1</f>
        <v>0.21759448132626202</v>
      </c>
    </row>
    <row r="811" spans="1:22">
      <c r="A811" s="185" t="s">
        <v>409</v>
      </c>
      <c r="C811" s="379">
        <v>438389119</v>
      </c>
      <c r="E811" s="404">
        <f>E812-E809-E810</f>
        <v>699571765.60415292</v>
      </c>
      <c r="G811" s="381">
        <v>2.2517999999999998</v>
      </c>
      <c r="H811" s="193" t="s">
        <v>108</v>
      </c>
      <c r="I811" s="326">
        <f>ROUND(G811*$C811/100,0)</f>
        <v>9871646</v>
      </c>
      <c r="K811" s="326">
        <f>ROUND(G811*$E811/100,0)</f>
        <v>15752957</v>
      </c>
      <c r="M811" s="381">
        <f>M332</f>
        <v>2.7423000000000002</v>
      </c>
      <c r="N811" s="193" t="s">
        <v>108</v>
      </c>
      <c r="O811" s="326">
        <f>ROUND(M811*$E811/100,0)</f>
        <v>19184357</v>
      </c>
      <c r="P811" s="218"/>
      <c r="T811" s="190">
        <f>M811/G811-1</f>
        <v>0.2178257394084735</v>
      </c>
      <c r="V811"/>
    </row>
    <row r="812" spans="1:22" ht="16.5" thickBot="1">
      <c r="A812" s="185" t="s">
        <v>410</v>
      </c>
      <c r="C812" s="265">
        <f>SUM(C809:C811)</f>
        <v>722649650</v>
      </c>
      <c r="E812" s="265">
        <v>1153188503.6041529</v>
      </c>
      <c r="G812" s="266"/>
      <c r="H812" s="267"/>
      <c r="I812" s="391">
        <f>SUM(I799:I811)</f>
        <v>28008549</v>
      </c>
      <c r="K812" s="391">
        <f>SUM(K799:K811)</f>
        <v>44691664</v>
      </c>
      <c r="M812" s="266"/>
      <c r="N812" s="267"/>
      <c r="O812" s="391">
        <f>SUM(O799:O811)</f>
        <v>54266807</v>
      </c>
      <c r="P812" s="383"/>
      <c r="Q812" s="171" t="s">
        <v>117</v>
      </c>
      <c r="R812" s="248">
        <f>O812/K812-1</f>
        <v>0.21424897045677249</v>
      </c>
    </row>
    <row r="813" spans="1:22" ht="16.5" thickTop="1">
      <c r="A813" s="185" t="s">
        <v>135</v>
      </c>
      <c r="C813" s="163"/>
      <c r="E813" s="163"/>
      <c r="G813" s="238"/>
      <c r="H813" s="239"/>
      <c r="I813" s="228">
        <f>MPA!K484</f>
        <v>1313003.615563194</v>
      </c>
      <c r="K813" s="228">
        <f>I813</f>
        <v>1313003.615563194</v>
      </c>
      <c r="M813" s="180"/>
      <c r="N813" s="239"/>
      <c r="O813" s="228">
        <v>0</v>
      </c>
      <c r="P813" s="172"/>
      <c r="Q813" s="171" t="s">
        <v>138</v>
      </c>
      <c r="R813" s="248">
        <f>(O812+O813)/(K812+K813)-1</f>
        <v>0.17959350241325867</v>
      </c>
    </row>
    <row r="814" spans="1:22">
      <c r="C814" s="163"/>
      <c r="E814" s="163"/>
      <c r="G814" s="269"/>
      <c r="H814" s="267"/>
      <c r="I814" s="171"/>
      <c r="K814" s="171"/>
      <c r="M814" s="270"/>
      <c r="N814" s="267"/>
      <c r="O814" s="171"/>
      <c r="P814" s="383"/>
    </row>
    <row r="815" spans="1:22">
      <c r="A815" s="181" t="s">
        <v>411</v>
      </c>
      <c r="C815" s="163"/>
      <c r="E815" s="163"/>
      <c r="G815" s="269"/>
      <c r="H815" s="267"/>
      <c r="I815" s="171"/>
      <c r="K815" s="171"/>
      <c r="M815" s="270"/>
      <c r="N815" s="267"/>
      <c r="O815" s="171"/>
      <c r="P815" s="297"/>
    </row>
    <row r="816" spans="1:22">
      <c r="A816" s="185" t="s">
        <v>104</v>
      </c>
      <c r="C816" s="313">
        <v>12</v>
      </c>
      <c r="E816" s="171">
        <v>12</v>
      </c>
      <c r="G816" s="187">
        <v>200</v>
      </c>
      <c r="H816" s="272"/>
      <c r="I816" s="172">
        <f>ROUND($G816*C816,0)</f>
        <v>2400</v>
      </c>
      <c r="K816" s="172">
        <f>ROUND($G816*E816,0)</f>
        <v>2400</v>
      </c>
      <c r="M816" s="187">
        <f>M326</f>
        <v>244</v>
      </c>
      <c r="N816" s="272"/>
      <c r="O816" s="172">
        <f>ROUND(M816*$E816,0)</f>
        <v>2928</v>
      </c>
      <c r="P816" s="297"/>
      <c r="T816" s="190">
        <f t="shared" ref="T816:T822" si="104">M816/G816-1</f>
        <v>0.21999999999999997</v>
      </c>
    </row>
    <row r="817" spans="1:22">
      <c r="A817" s="185" t="s">
        <v>220</v>
      </c>
      <c r="C817" s="186">
        <v>369872</v>
      </c>
      <c r="E817" s="260">
        <f>ROUND(C817*$E$823/$C$823,0)</f>
        <v>381681</v>
      </c>
      <c r="G817" s="213">
        <v>1.71</v>
      </c>
      <c r="H817" s="272"/>
      <c r="I817" s="172">
        <f>ROUND($G817*C817,0)</f>
        <v>632481</v>
      </c>
      <c r="K817" s="172">
        <f>ROUND($G817*E817,0)</f>
        <v>652675</v>
      </c>
      <c r="M817" s="213">
        <f t="shared" ref="M817:M822" si="105">M327</f>
        <v>2.08</v>
      </c>
      <c r="N817" s="272"/>
      <c r="O817" s="172">
        <f>ROUND(M817*$E817,0)</f>
        <v>793896</v>
      </c>
      <c r="P817" s="172"/>
      <c r="T817" s="190">
        <f t="shared" si="104"/>
        <v>0.21637426900584811</v>
      </c>
    </row>
    <row r="818" spans="1:22">
      <c r="A818" s="185" t="s">
        <v>221</v>
      </c>
      <c r="C818" s="186">
        <v>145145</v>
      </c>
      <c r="E818" s="260">
        <f>ROUND(C818*$E$823/$C$823,0)</f>
        <v>149779</v>
      </c>
      <c r="G818" s="213">
        <v>10.76</v>
      </c>
      <c r="H818" s="272"/>
      <c r="I818" s="172">
        <f>ROUND($G818*C818,0)</f>
        <v>1561760</v>
      </c>
      <c r="K818" s="172">
        <f>ROUND($G818*E818,0)</f>
        <v>1611622</v>
      </c>
      <c r="M818" s="213">
        <f t="shared" si="105"/>
        <v>13.1</v>
      </c>
      <c r="N818" s="272"/>
      <c r="O818" s="172">
        <f>ROUND(M818*$E818,0)</f>
        <v>1962105</v>
      </c>
      <c r="P818" s="172"/>
      <c r="S818"/>
      <c r="T818" s="190">
        <f t="shared" si="104"/>
        <v>0.21747211895910779</v>
      </c>
    </row>
    <row r="819" spans="1:22">
      <c r="A819" s="185" t="s">
        <v>222</v>
      </c>
      <c r="C819" s="186">
        <v>203358</v>
      </c>
      <c r="E819" s="260">
        <f>ROUND(C819*$E$823/$C$823,0)</f>
        <v>209851</v>
      </c>
      <c r="G819" s="213">
        <v>7.3</v>
      </c>
      <c r="H819" s="272"/>
      <c r="I819" s="172">
        <f>ROUND($G819*C819,0)</f>
        <v>1484513</v>
      </c>
      <c r="K819" s="172">
        <f>ROUND($G819*E819,0)</f>
        <v>1531912</v>
      </c>
      <c r="M819" s="213">
        <f t="shared" si="105"/>
        <v>8.89</v>
      </c>
      <c r="N819" s="272"/>
      <c r="O819" s="172">
        <f>ROUND(M819*$E819,0)</f>
        <v>1865575</v>
      </c>
      <c r="P819" s="218"/>
      <c r="T819" s="190">
        <f t="shared" si="104"/>
        <v>0.21780821917808235</v>
      </c>
    </row>
    <row r="820" spans="1:22">
      <c r="A820" s="185" t="s">
        <v>228</v>
      </c>
      <c r="C820" s="186">
        <v>24723600</v>
      </c>
      <c r="E820" s="260">
        <f>ROUND(C820*$E$823/$C$823,0)</f>
        <v>25512952</v>
      </c>
      <c r="G820" s="293">
        <v>3.5857999999999999</v>
      </c>
      <c r="H820" s="193" t="s">
        <v>108</v>
      </c>
      <c r="I820" s="172">
        <f>ROUND($G820*C820/100,0)</f>
        <v>886539</v>
      </c>
      <c r="K820" s="172">
        <f>ROUND($G820*E820/100,0)</f>
        <v>914843</v>
      </c>
      <c r="M820" s="293">
        <f t="shared" si="105"/>
        <v>4.3661000000000003</v>
      </c>
      <c r="N820" s="193" t="s">
        <v>108</v>
      </c>
      <c r="O820" s="172">
        <f>ROUND(M820*$E820/100,0)</f>
        <v>1113921</v>
      </c>
      <c r="P820" s="218"/>
      <c r="T820" s="190">
        <f t="shared" si="104"/>
        <v>0.21760834402364893</v>
      </c>
      <c r="U820"/>
    </row>
    <row r="821" spans="1:22">
      <c r="A821" s="185" t="s">
        <v>229</v>
      </c>
      <c r="C821" s="186">
        <v>63254400</v>
      </c>
      <c r="E821" s="260">
        <f>ROUND(C821*$E$823/$C$823,0)</f>
        <v>65273929</v>
      </c>
      <c r="G821" s="293">
        <v>2.6962999999999999</v>
      </c>
      <c r="H821" s="193" t="s">
        <v>108</v>
      </c>
      <c r="I821" s="172">
        <f>ROUND($G821*C821/100,0)</f>
        <v>1705528</v>
      </c>
      <c r="K821" s="172">
        <f>ROUND($G821*E821/100,0)</f>
        <v>1759981</v>
      </c>
      <c r="M821" s="293">
        <f t="shared" si="105"/>
        <v>3.2829999999999999</v>
      </c>
      <c r="N821" s="193" t="s">
        <v>108</v>
      </c>
      <c r="O821" s="172">
        <f>ROUND(M821*$E821/100,0)</f>
        <v>2142943</v>
      </c>
      <c r="P821" s="218"/>
      <c r="T821" s="190">
        <f t="shared" si="104"/>
        <v>0.21759448132626202</v>
      </c>
    </row>
    <row r="822" spans="1:22">
      <c r="A822" s="185" t="s">
        <v>223</v>
      </c>
      <c r="C822" s="379">
        <v>151112000</v>
      </c>
      <c r="E822" s="404">
        <f>E823-E820-E821</f>
        <v>155936565.89275721</v>
      </c>
      <c r="G822" s="381">
        <v>2.2517999999999998</v>
      </c>
      <c r="H822" s="193" t="s">
        <v>108</v>
      </c>
      <c r="I822" s="326">
        <f>ROUND($G822*C822/100,0)</f>
        <v>3402740</v>
      </c>
      <c r="K822" s="326">
        <f>ROUND($G822*E822/100,0)</f>
        <v>3511380</v>
      </c>
      <c r="M822" s="381">
        <f t="shared" si="105"/>
        <v>2.7423000000000002</v>
      </c>
      <c r="N822" s="193" t="s">
        <v>108</v>
      </c>
      <c r="O822" s="326">
        <f>ROUND(M822*$E822/100,0)</f>
        <v>4276248</v>
      </c>
      <c r="P822" s="218"/>
      <c r="T822" s="190">
        <f t="shared" si="104"/>
        <v>0.2178257394084735</v>
      </c>
      <c r="V822"/>
    </row>
    <row r="823" spans="1:22" ht="16.5" thickBot="1">
      <c r="A823" s="185" t="s">
        <v>134</v>
      </c>
      <c r="C823" s="265">
        <f>SUM(C820:C822)</f>
        <v>239090000</v>
      </c>
      <c r="E823" s="265">
        <v>246723446.89275721</v>
      </c>
      <c r="G823" s="254"/>
      <c r="I823" s="391">
        <f>SUM(I816:I822)</f>
        <v>9675961</v>
      </c>
      <c r="K823" s="391">
        <f>SUM(K816:K822)</f>
        <v>9984813</v>
      </c>
      <c r="M823" s="256"/>
      <c r="O823" s="391">
        <f>SUM(O816:O822)</f>
        <v>12157616</v>
      </c>
      <c r="P823" s="172"/>
      <c r="Q823" s="171" t="s">
        <v>117</v>
      </c>
      <c r="R823" s="248">
        <f>O823/K823-1</f>
        <v>0.21761078549993873</v>
      </c>
    </row>
    <row r="824" spans="1:22" ht="16.5" thickTop="1">
      <c r="A824" s="185" t="s">
        <v>135</v>
      </c>
      <c r="C824" s="163"/>
      <c r="E824" s="163"/>
      <c r="G824" s="238"/>
      <c r="H824" s="239"/>
      <c r="I824" s="228">
        <f>MPA!K496</f>
        <v>572964.27319570747</v>
      </c>
      <c r="K824" s="228">
        <f>I824</f>
        <v>572964.27319570747</v>
      </c>
      <c r="M824" s="180"/>
      <c r="N824" s="239"/>
      <c r="O824" s="228">
        <v>0</v>
      </c>
      <c r="P824" s="172"/>
      <c r="Q824" s="171" t="s">
        <v>138</v>
      </c>
      <c r="R824" s="248">
        <f>(O823+O824)/(K823+K824)-1</f>
        <v>0.15153177467249601</v>
      </c>
    </row>
    <row r="825" spans="1:22">
      <c r="C825" s="163"/>
      <c r="E825" s="163"/>
      <c r="I825" s="171"/>
      <c r="K825" s="171"/>
      <c r="O825" s="171"/>
      <c r="P825" s="172"/>
    </row>
    <row r="826" spans="1:22">
      <c r="A826" s="181" t="s">
        <v>412</v>
      </c>
      <c r="C826" s="163"/>
      <c r="E826" s="163"/>
      <c r="G826" s="269"/>
      <c r="H826" s="267"/>
      <c r="M826" s="270"/>
      <c r="N826" s="267"/>
      <c r="P826" s="172"/>
    </row>
    <row r="827" spans="1:22">
      <c r="A827" s="220" t="s">
        <v>413</v>
      </c>
      <c r="B827" s="164"/>
      <c r="C827" s="186">
        <v>1</v>
      </c>
      <c r="E827" s="260">
        <v>1</v>
      </c>
      <c r="G827" s="187">
        <v>0</v>
      </c>
      <c r="H827" s="188"/>
      <c r="I827" s="172">
        <f>ROUND(G827*$C827,0)</f>
        <v>0</v>
      </c>
      <c r="K827" s="172">
        <f>ROUND(G827*$E827,0)</f>
        <v>0</v>
      </c>
      <c r="M827" s="189">
        <v>0</v>
      </c>
      <c r="N827" s="188"/>
      <c r="O827" s="172">
        <f>ROUND(M827*$E827,0)</f>
        <v>0</v>
      </c>
      <c r="P827" s="218"/>
      <c r="T827" s="190" t="e">
        <f>M827/G827-1</f>
        <v>#DIV/0!</v>
      </c>
    </row>
    <row r="828" spans="1:22">
      <c r="A828" s="220" t="s">
        <v>414</v>
      </c>
      <c r="B828" s="164"/>
      <c r="C828" s="186">
        <v>971.99790718477004</v>
      </c>
      <c r="E828" s="260">
        <f>ROUND(C828*E827/C827,0)</f>
        <v>972</v>
      </c>
      <c r="G828" s="370">
        <v>17.775099999999998</v>
      </c>
      <c r="H828" s="371"/>
      <c r="I828" s="172">
        <f>ROUND(G828*$C828,0)</f>
        <v>17277</v>
      </c>
      <c r="K828" s="172">
        <f>ROUND(G828*$E828,0)</f>
        <v>17277</v>
      </c>
      <c r="M828" s="405">
        <v>17.775099999999998</v>
      </c>
      <c r="N828" s="371"/>
      <c r="O828" s="172">
        <f>ROUND(M828*$E828,0)</f>
        <v>17277</v>
      </c>
      <c r="P828" s="218"/>
      <c r="T828" s="190">
        <f>M828/G828-1</f>
        <v>0</v>
      </c>
    </row>
    <row r="829" spans="1:22">
      <c r="A829" s="220" t="s">
        <v>415</v>
      </c>
      <c r="B829" s="164"/>
      <c r="C829" s="191">
        <v>0</v>
      </c>
      <c r="E829" s="260">
        <f>ROUND(C829*E827/C827,0)</f>
        <v>0</v>
      </c>
      <c r="G829" s="285">
        <v>0</v>
      </c>
      <c r="H829" s="188"/>
      <c r="I829" s="218">
        <f>ROUND(G829*$C829,0)</f>
        <v>0</v>
      </c>
      <c r="K829" s="172">
        <f>ROUND(G829*$E829,0)</f>
        <v>0</v>
      </c>
      <c r="M829" s="188">
        <v>0</v>
      </c>
      <c r="N829" s="188"/>
      <c r="O829" s="172">
        <f>ROUND(M829*$E829,0)</f>
        <v>0</v>
      </c>
      <c r="P829" s="218"/>
      <c r="T829" s="190" t="e">
        <f>M829/G829-1</f>
        <v>#DIV/0!</v>
      </c>
    </row>
    <row r="830" spans="1:22">
      <c r="A830" s="220" t="s">
        <v>149</v>
      </c>
      <c r="B830" s="164"/>
      <c r="C830" s="260">
        <v>140939.69654179199</v>
      </c>
      <c r="E830" s="260">
        <f>E832</f>
        <v>134183</v>
      </c>
      <c r="G830" s="246">
        <v>0</v>
      </c>
      <c r="H830" s="193" t="s">
        <v>108</v>
      </c>
      <c r="I830" s="172">
        <f>ROUND(G830*$C830/100,0)</f>
        <v>0</v>
      </c>
      <c r="K830" s="172">
        <f>ROUND(G830*$E830/100,0)</f>
        <v>0</v>
      </c>
      <c r="M830" s="406">
        <v>0</v>
      </c>
      <c r="N830" s="193" t="s">
        <v>108</v>
      </c>
      <c r="O830" s="172">
        <f>ROUND(M830*$E830/100,0)</f>
        <v>0</v>
      </c>
      <c r="T830" s="190" t="e">
        <f>M830/G830-1</f>
        <v>#DIV/0!</v>
      </c>
    </row>
    <row r="831" spans="1:22">
      <c r="A831" s="161" t="s">
        <v>216</v>
      </c>
      <c r="C831" s="407">
        <v>0</v>
      </c>
      <c r="E831" s="407">
        <v>0</v>
      </c>
      <c r="G831" s="269"/>
      <c r="H831" s="267"/>
      <c r="I831" s="228">
        <v>0</v>
      </c>
      <c r="K831" s="228">
        <v>0</v>
      </c>
      <c r="M831" s="270"/>
      <c r="N831" s="267"/>
      <c r="O831" s="228">
        <v>0</v>
      </c>
      <c r="P831" s="172"/>
    </row>
    <row r="832" spans="1:22" ht="16.5" thickBot="1">
      <c r="A832" s="220" t="s">
        <v>134</v>
      </c>
      <c r="B832" s="164"/>
      <c r="C832" s="265">
        <f>C831+C830</f>
        <v>140939.69654179199</v>
      </c>
      <c r="E832" s="265">
        <v>134183</v>
      </c>
      <c r="G832" s="266"/>
      <c r="H832" s="267"/>
      <c r="I832" s="255">
        <f>SUM(I827:I831)</f>
        <v>17277</v>
      </c>
      <c r="K832" s="255">
        <f>SUM(K827:K831)</f>
        <v>17277</v>
      </c>
      <c r="M832" s="268"/>
      <c r="N832" s="267"/>
      <c r="O832" s="255">
        <f>SUM(O827:O831)</f>
        <v>17277</v>
      </c>
      <c r="P832" s="172"/>
    </row>
    <row r="833" spans="1:20" ht="16.5" thickTop="1">
      <c r="A833" s="220"/>
      <c r="B833" s="164"/>
      <c r="C833" s="328"/>
      <c r="E833" s="328"/>
      <c r="G833" s="408"/>
      <c r="H833" s="267"/>
      <c r="I833" s="218"/>
      <c r="K833" s="218"/>
      <c r="M833" s="267"/>
      <c r="N833" s="267"/>
      <c r="O833" s="218"/>
      <c r="P833" s="218"/>
    </row>
    <row r="834" spans="1:20">
      <c r="A834" s="181" t="s">
        <v>416</v>
      </c>
      <c r="C834" s="163"/>
      <c r="E834" s="163"/>
      <c r="P834" s="218"/>
    </row>
    <row r="835" spans="1:20">
      <c r="A835" s="185" t="s">
        <v>417</v>
      </c>
      <c r="C835" s="186">
        <v>172.14220183486199</v>
      </c>
      <c r="E835" s="260">
        <f>ROUND(C835*($E$839/$C$839),0)</f>
        <v>91</v>
      </c>
      <c r="G835" s="187">
        <v>2.1800000000000002</v>
      </c>
      <c r="H835" s="188"/>
      <c r="I835" s="172">
        <f>ROUND(G835*$C835,0)</f>
        <v>375</v>
      </c>
      <c r="K835" s="172">
        <f>ROUND(G835*$E835,0)</f>
        <v>198</v>
      </c>
      <c r="M835" s="187">
        <v>2.1800000000000002</v>
      </c>
      <c r="N835" s="188"/>
      <c r="O835" s="172">
        <f>ROUND(M835*$E835,0)</f>
        <v>198</v>
      </c>
      <c r="P835" s="164"/>
      <c r="T835" s="190">
        <f>M835/G835-1</f>
        <v>0</v>
      </c>
    </row>
    <row r="836" spans="1:20">
      <c r="A836" s="185" t="s">
        <v>418</v>
      </c>
      <c r="C836" s="186">
        <v>367.53133864031503</v>
      </c>
      <c r="E836" s="260">
        <f>ROUND(C836*($E$839/$C$839),0)</f>
        <v>195</v>
      </c>
      <c r="G836" s="370">
        <v>2.1858</v>
      </c>
      <c r="H836" s="188"/>
      <c r="I836" s="172">
        <f>ROUND(G836*$C836,0)</f>
        <v>803</v>
      </c>
      <c r="K836" s="172">
        <f>ROUND(G836*$E836,0)</f>
        <v>426</v>
      </c>
      <c r="M836" s="370">
        <v>2.1858</v>
      </c>
      <c r="N836" s="188"/>
      <c r="O836" s="172">
        <f>ROUND(M836*$E836,0)</f>
        <v>426</v>
      </c>
      <c r="T836" s="190">
        <f>M836/G836-1</f>
        <v>0</v>
      </c>
    </row>
    <row r="837" spans="1:20">
      <c r="A837" s="185" t="s">
        <v>189</v>
      </c>
      <c r="C837" s="227">
        <v>1.93333333333333</v>
      </c>
      <c r="E837" s="282">
        <f>ROUND(C837*($E$839/$C$839),0)</f>
        <v>1</v>
      </c>
      <c r="G837" s="409">
        <v>4.8</v>
      </c>
      <c r="H837" s="188"/>
      <c r="I837" s="228">
        <f>ROUND(G837*$C837,0)</f>
        <v>9</v>
      </c>
      <c r="K837" s="228">
        <f>ROUND(G837*$E837,0)</f>
        <v>5</v>
      </c>
      <c r="M837" s="409">
        <v>4.8</v>
      </c>
      <c r="N837" s="188"/>
      <c r="O837" s="228">
        <f>ROUND(M837*$E837,0)</f>
        <v>5</v>
      </c>
      <c r="P837" s="218"/>
      <c r="T837" s="190">
        <f>M837/G837-1</f>
        <v>0</v>
      </c>
    </row>
    <row r="838" spans="1:20">
      <c r="A838" s="185" t="s">
        <v>299</v>
      </c>
      <c r="C838" s="321">
        <f>SUM(C835:C837)</f>
        <v>541.60687380851027</v>
      </c>
      <c r="E838" s="321">
        <f>SUM(E835:E837)</f>
        <v>287</v>
      </c>
      <c r="G838" s="323"/>
      <c r="I838" s="228">
        <f>SUM(I835:I837)</f>
        <v>1187</v>
      </c>
      <c r="K838" s="228">
        <f>SUM(K835:K837)</f>
        <v>629</v>
      </c>
      <c r="M838" s="327"/>
      <c r="O838" s="228">
        <f>SUM(O835:O837)</f>
        <v>629</v>
      </c>
      <c r="P838" s="410"/>
    </row>
    <row r="839" spans="1:20" ht="16.5" thickBot="1">
      <c r="A839" s="185" t="s">
        <v>419</v>
      </c>
      <c r="C839" s="377">
        <v>15783.932673780109</v>
      </c>
      <c r="E839" s="411">
        <v>8374.76</v>
      </c>
      <c r="G839" s="254"/>
      <c r="I839" s="256"/>
      <c r="K839" s="256"/>
      <c r="M839" s="256"/>
      <c r="O839" s="256"/>
    </row>
    <row r="840" spans="1:20" ht="16.5" thickTop="1">
      <c r="A840" s="185" t="s">
        <v>11</v>
      </c>
      <c r="C840" s="179">
        <v>4.4166666666666696</v>
      </c>
      <c r="E840" s="412">
        <v>5</v>
      </c>
    </row>
    <row r="841" spans="1:20">
      <c r="A841" s="185" t="s">
        <v>216</v>
      </c>
      <c r="C841" s="376">
        <v>0</v>
      </c>
      <c r="E841" s="407">
        <v>0</v>
      </c>
      <c r="G841" s="323"/>
      <c r="I841" s="228">
        <v>0</v>
      </c>
      <c r="K841" s="228"/>
      <c r="M841" s="327"/>
      <c r="O841" s="228">
        <v>0</v>
      </c>
      <c r="P841" s="172"/>
    </row>
    <row r="842" spans="1:20" ht="16.5" thickBot="1">
      <c r="A842" s="185" t="s">
        <v>300</v>
      </c>
      <c r="C842" s="411">
        <f>C841+C839</f>
        <v>15783.932673780109</v>
      </c>
      <c r="E842" s="411">
        <f>E841+E839</f>
        <v>8374.76</v>
      </c>
      <c r="G842" s="339"/>
      <c r="H842" s="410"/>
      <c r="I842" s="413">
        <f>I841+I838</f>
        <v>1187</v>
      </c>
      <c r="K842" s="413">
        <f>K841+K838</f>
        <v>629</v>
      </c>
      <c r="M842" s="413"/>
      <c r="N842" s="410"/>
      <c r="O842" s="413">
        <f>O841+O838</f>
        <v>629</v>
      </c>
      <c r="P842" s="172"/>
    </row>
    <row r="843" spans="1:20" ht="16.5" thickTop="1">
      <c r="C843" s="163"/>
      <c r="E843" s="163"/>
      <c r="P843" s="172"/>
    </row>
    <row r="844" spans="1:20">
      <c r="A844" s="392" t="s">
        <v>420</v>
      </c>
      <c r="B844" s="164"/>
      <c r="G844" s="269"/>
      <c r="H844" s="267"/>
      <c r="M844" s="270"/>
      <c r="N844" s="267"/>
      <c r="P844" s="172"/>
    </row>
    <row r="845" spans="1:20">
      <c r="A845" s="220" t="s">
        <v>421</v>
      </c>
      <c r="B845" s="164"/>
      <c r="C845" s="30"/>
      <c r="E845" s="30"/>
      <c r="G845" s="269"/>
      <c r="H845" s="267"/>
      <c r="I845" s="172">
        <v>39382.519999999997</v>
      </c>
      <c r="K845" s="172">
        <f t="shared" ref="K845:K851" si="106">I845</f>
        <v>39382.519999999997</v>
      </c>
      <c r="M845" s="270"/>
      <c r="N845" s="267"/>
      <c r="O845" s="172">
        <f t="shared" ref="O845:O851" si="107">K845</f>
        <v>39382.519999999997</v>
      </c>
      <c r="P845" s="172"/>
    </row>
    <row r="846" spans="1:20">
      <c r="A846" s="220" t="s">
        <v>422</v>
      </c>
      <c r="B846" s="164"/>
      <c r="C846" s="30"/>
      <c r="E846" s="30"/>
      <c r="G846" s="269"/>
      <c r="H846" s="267"/>
      <c r="I846" s="172">
        <v>3194756.79</v>
      </c>
      <c r="K846" s="172">
        <f t="shared" si="106"/>
        <v>3194756.79</v>
      </c>
      <c r="M846" s="270"/>
      <c r="N846" s="267"/>
      <c r="O846" s="172">
        <f t="shared" si="107"/>
        <v>3194756.79</v>
      </c>
      <c r="P846" s="218"/>
      <c r="S846" s="414"/>
    </row>
    <row r="847" spans="1:20">
      <c r="A847" s="220" t="s">
        <v>423</v>
      </c>
      <c r="B847" s="164"/>
      <c r="C847" s="30"/>
      <c r="E847" s="30"/>
      <c r="G847" s="269"/>
      <c r="H847" s="267"/>
      <c r="I847" s="172">
        <v>126393.91999999998</v>
      </c>
      <c r="K847" s="172">
        <f t="shared" si="106"/>
        <v>126393.91999999998</v>
      </c>
      <c r="M847" s="270"/>
      <c r="N847" s="267"/>
      <c r="O847" s="172">
        <f t="shared" si="107"/>
        <v>126393.91999999998</v>
      </c>
      <c r="P847" s="172"/>
    </row>
    <row r="848" spans="1:20">
      <c r="A848" s="220" t="s">
        <v>424</v>
      </c>
      <c r="B848" s="164"/>
      <c r="C848" s="30"/>
      <c r="E848" s="30"/>
      <c r="G848" s="269"/>
      <c r="H848" s="267"/>
      <c r="I848" s="172">
        <v>212407.36000000002</v>
      </c>
      <c r="K848" s="172">
        <f t="shared" si="106"/>
        <v>212407.36000000002</v>
      </c>
      <c r="M848" s="270"/>
      <c r="N848" s="267"/>
      <c r="O848" s="172">
        <f t="shared" si="107"/>
        <v>212407.36000000002</v>
      </c>
      <c r="P848" s="172"/>
    </row>
    <row r="849" spans="1:22">
      <c r="A849" s="220" t="s">
        <v>425</v>
      </c>
      <c r="B849" s="164"/>
      <c r="C849" s="30"/>
      <c r="E849" s="30"/>
      <c r="G849" s="269"/>
      <c r="H849" s="267"/>
      <c r="I849" s="172">
        <v>4682.84</v>
      </c>
      <c r="K849" s="172">
        <f t="shared" si="106"/>
        <v>4682.84</v>
      </c>
      <c r="M849" s="270"/>
      <c r="N849" s="267"/>
      <c r="O849" s="172">
        <f t="shared" si="107"/>
        <v>4682.84</v>
      </c>
      <c r="P849" s="172"/>
      <c r="T849" s="414"/>
      <c r="U849" s="415"/>
    </row>
    <row r="850" spans="1:22">
      <c r="A850" s="220" t="s">
        <v>426</v>
      </c>
      <c r="B850" s="164"/>
      <c r="C850" s="30"/>
      <c r="E850" s="30"/>
      <c r="G850" s="269"/>
      <c r="H850" s="267"/>
      <c r="I850" s="172">
        <v>0</v>
      </c>
      <c r="K850" s="172">
        <f t="shared" si="106"/>
        <v>0</v>
      </c>
      <c r="M850" s="270"/>
      <c r="N850" s="267"/>
      <c r="O850" s="172">
        <f t="shared" si="107"/>
        <v>0</v>
      </c>
      <c r="P850" s="218"/>
    </row>
    <row r="851" spans="1:22">
      <c r="A851" s="220" t="s">
        <v>427</v>
      </c>
      <c r="B851" s="164"/>
      <c r="C851" s="47"/>
      <c r="E851" s="47"/>
      <c r="G851" s="416"/>
      <c r="H851" s="267"/>
      <c r="I851" s="326">
        <v>0</v>
      </c>
      <c r="K851" s="326">
        <f t="shared" si="106"/>
        <v>0</v>
      </c>
      <c r="M851" s="417"/>
      <c r="N851" s="267"/>
      <c r="O851" s="326">
        <f t="shared" si="107"/>
        <v>0</v>
      </c>
      <c r="P851" s="172"/>
      <c r="V851" s="414"/>
    </row>
    <row r="852" spans="1:22" ht="16.5" thickBot="1">
      <c r="A852" s="220" t="s">
        <v>428</v>
      </c>
      <c r="B852" s="164"/>
      <c r="C852" s="66"/>
      <c r="E852" s="66"/>
      <c r="G852" s="398"/>
      <c r="H852" s="267"/>
      <c r="I852" s="235">
        <f>SUM(I845:I851)</f>
        <v>3577623.4299999997</v>
      </c>
      <c r="K852" s="235">
        <f>SUM(K845:K851)</f>
        <v>3577623.4299999997</v>
      </c>
      <c r="M852" s="400"/>
      <c r="N852" s="267"/>
      <c r="O852" s="235">
        <f>SUM(O845:O851)</f>
        <v>3577623.4299999997</v>
      </c>
    </row>
    <row r="853" spans="1:22" ht="16.5" thickTop="1">
      <c r="A853" s="245"/>
      <c r="B853" s="164"/>
      <c r="G853" s="269"/>
      <c r="H853" s="267"/>
      <c r="I853" s="172"/>
      <c r="K853" s="172"/>
      <c r="M853" s="270"/>
      <c r="N853" s="267"/>
      <c r="O853" s="172"/>
      <c r="Q853" s="270"/>
      <c r="R853" s="415"/>
    </row>
    <row r="854" spans="1:22" ht="16.5" thickBot="1">
      <c r="A854" s="234" t="s">
        <v>429</v>
      </c>
      <c r="B854" s="236"/>
      <c r="C854" s="66">
        <f>C27+C48+C71+C97+C111+C125+C209+C181+C195+C279+C293+C334+C384+C394+C412+C430+C484+C577+C588+C596+C615+C630+C728+C781+C791+C795+C812+C823+C832+C842+C852</f>
        <v>22211961953.49374</v>
      </c>
      <c r="E854" s="66">
        <f>E27+E48+E71+E97+E111+E125+E209+E181+E195+E279+E293+E334+E384+E394+E412+E430+E484+E577+E588+E596+E615+E630+E728+E781+E791+E795+E812+E823+E832+E842+E852</f>
        <v>24441812591.05917</v>
      </c>
      <c r="G854" s="234"/>
      <c r="I854" s="235">
        <f>I27+I48+I71+I97+I111+I125+I209+I181+I195+I279+I293+I334+I384+I394+I412+I430+I484+I577+I588+I596+I615+I630+I728+I781+I791+I795+I812+I823+I832+I842+I852</f>
        <v>1513396832.726965</v>
      </c>
      <c r="K854" s="235">
        <f>K27+K48+K71+K97+K111+K125+K209+K181+K195+K279+K293+K334+K384+K394+K412+K430+K484+K577+K588+K596+K615+K630+K728+K781+K791+K795+K812+K823+K832+K842+K852</f>
        <v>1638141192.2535269</v>
      </c>
      <c r="M854" s="236"/>
      <c r="O854" s="235">
        <f>O27+O48+O71+O97+O111+O125+O209+O181+O195+O279+O293+O334+O384+O394+O412+O430+O484+O577+O588+O596+O615+O630+O728+O781+O791+O795+O812+O823+O832+O842+O852</f>
        <v>1934654127.2535269</v>
      </c>
      <c r="Q854" s="270"/>
      <c r="R854" s="415"/>
    </row>
    <row r="855" spans="1:22" ht="16.5" thickTop="1">
      <c r="A855" s="161" t="s">
        <v>430</v>
      </c>
      <c r="G855" s="269"/>
      <c r="H855" s="267"/>
      <c r="I855" s="172">
        <f>I28+I49+I72+I83+I126+I210+I182+I196+I280+I294+I335+I385+I395+I413+I431+I485+I578+I589+I597+I616+I631+I729+I782+I813+I824</f>
        <v>64096637.268458903</v>
      </c>
      <c r="K855" s="172">
        <f>K28+K49+K72+K83+K126+K210+K182+K196+K280+K294+K335+K385+K395+K413+K431+K485+K578+K589+K597+K616+K631+K729+K782+K813+K824</f>
        <v>64096637.268458903</v>
      </c>
      <c r="M855" s="270"/>
      <c r="N855" s="267"/>
      <c r="O855" s="172">
        <f>O28+O49+O72+O83+O126+O210+O182+O196+O280+O294+O335+O385+O395+O413+O431+O485+O578+O589+O597+O616+O631+O729+O782+O813+O824</f>
        <v>0</v>
      </c>
    </row>
    <row r="856" spans="1:22" ht="16.5" thickBot="1">
      <c r="A856" s="234" t="s">
        <v>431</v>
      </c>
      <c r="B856" s="236"/>
      <c r="C856" s="66">
        <f>C854+C855</f>
        <v>22211961953.49374</v>
      </c>
      <c r="E856" s="66">
        <f>E854+E855</f>
        <v>24441812591.05917</v>
      </c>
      <c r="G856" s="234"/>
      <c r="I856" s="235">
        <f>I854+I855</f>
        <v>1577493469.9954238</v>
      </c>
      <c r="K856" s="235">
        <f>K854+K855</f>
        <v>1702237829.5219858</v>
      </c>
      <c r="M856" s="236"/>
      <c r="O856" s="235">
        <f>O854+O855</f>
        <v>1934654127.2535269</v>
      </c>
    </row>
    <row r="857" spans="1:22" ht="16.5" thickTop="1"/>
  </sheetData>
  <phoneticPr fontId="67" type="noConversion"/>
  <printOptions horizontalCentered="1"/>
  <pageMargins left="0" right="0" top="1" bottom="0.55000000000000004" header="0.25" footer="0.25"/>
  <pageSetup scale="85" fitToHeight="88" orientation="landscape" r:id="rId1"/>
  <headerFooter alignWithMargins="0">
    <oddFooter>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view="pageBreakPreview" zoomScale="60" zoomScaleNormal="75" workbookViewId="0">
      <selection sqref="A1:IV65536"/>
    </sheetView>
  </sheetViews>
  <sheetFormatPr defaultColWidth="8" defaultRowHeight="12.75"/>
  <cols>
    <col min="1" max="1" width="7" style="435" customWidth="1"/>
    <col min="2" max="2" width="1.75" style="425" customWidth="1"/>
    <col min="3" max="3" width="5.75" style="425" customWidth="1"/>
    <col min="4" max="4" width="2.375" style="425" customWidth="1"/>
    <col min="5" max="5" width="8.375" style="425" customWidth="1"/>
    <col min="6" max="6" width="1.5" style="425" customWidth="1"/>
    <col min="7" max="7" width="8.375" style="425" customWidth="1"/>
    <col min="8" max="8" width="1.75" style="425" customWidth="1"/>
    <col min="9" max="9" width="7.875" style="453" bestFit="1" customWidth="1"/>
    <col min="10" max="10" width="1.5" style="425" customWidth="1"/>
    <col min="11" max="11" width="9" style="453" bestFit="1" customWidth="1"/>
    <col min="12" max="12" width="1.375" style="425" customWidth="1"/>
    <col min="13" max="13" width="8" style="447" bestFit="1" customWidth="1"/>
    <col min="14" max="14" width="1.375" style="425" customWidth="1"/>
    <col min="15" max="15" width="6.25" style="425" bestFit="1" customWidth="1"/>
    <col min="16" max="16" width="2.125" style="425" customWidth="1"/>
    <col min="17" max="17" width="7.875" style="453" bestFit="1" customWidth="1"/>
    <col min="18" max="18" width="0.875" style="425" customWidth="1"/>
    <col min="19" max="19" width="9" style="453" bestFit="1" customWidth="1"/>
    <col min="20" max="20" width="1.875" style="425" customWidth="1"/>
    <col min="21" max="21" width="7.375" style="447" bestFit="1" customWidth="1"/>
    <col min="22" max="22" width="0.75" style="425" customWidth="1"/>
    <col min="23" max="23" width="6.25" style="425" bestFit="1" customWidth="1"/>
    <col min="24" max="24" width="3.125" style="425" customWidth="1"/>
    <col min="25" max="25" width="10" style="425" bestFit="1" customWidth="1"/>
    <col min="26" max="26" width="7.625" style="425" bestFit="1" customWidth="1"/>
    <col min="27" max="27" width="9.75" style="425" customWidth="1"/>
    <col min="28" max="28" width="3" style="425" customWidth="1"/>
    <col min="29" max="29" width="6.875" style="425" bestFit="1" customWidth="1"/>
    <col min="30" max="30" width="8.375" style="425" bestFit="1" customWidth="1"/>
    <col min="31" max="31" width="6.75" style="425" bestFit="1" customWidth="1"/>
    <col min="32" max="32" width="8.25" style="425" bestFit="1" customWidth="1"/>
    <col min="33" max="35" width="8.125" style="425" bestFit="1" customWidth="1"/>
    <col min="36" max="16384" width="8" style="425"/>
  </cols>
  <sheetData>
    <row r="1" spans="1:32" ht="16.5">
      <c r="A1" s="418" t="s">
        <v>1</v>
      </c>
      <c r="B1" s="419"/>
      <c r="C1" s="419"/>
      <c r="D1" s="419"/>
      <c r="E1" s="419"/>
      <c r="F1" s="419"/>
      <c r="G1" s="419"/>
      <c r="H1" s="419"/>
      <c r="I1" s="420"/>
      <c r="J1" s="419"/>
      <c r="K1" s="420"/>
      <c r="L1" s="419"/>
      <c r="M1" s="421"/>
      <c r="N1" s="419"/>
      <c r="O1" s="419"/>
      <c r="P1" s="419"/>
      <c r="Q1" s="420"/>
      <c r="R1" s="419"/>
      <c r="S1" s="420"/>
      <c r="T1" s="419"/>
      <c r="U1" s="421"/>
      <c r="V1" s="419"/>
      <c r="W1" s="422"/>
      <c r="X1" s="423"/>
      <c r="Y1" s="423"/>
      <c r="Z1" s="424"/>
      <c r="AA1" s="155"/>
    </row>
    <row r="2" spans="1:32" ht="16.5">
      <c r="A2" s="418" t="s">
        <v>432</v>
      </c>
      <c r="B2" s="419"/>
      <c r="C2" s="419"/>
      <c r="D2" s="419"/>
      <c r="E2" s="419"/>
      <c r="F2" s="419"/>
      <c r="G2" s="419"/>
      <c r="H2" s="419"/>
      <c r="I2" s="420"/>
      <c r="J2" s="419"/>
      <c r="K2" s="420"/>
      <c r="L2" s="419"/>
      <c r="M2" s="421"/>
      <c r="N2" s="419"/>
      <c r="O2" s="419"/>
      <c r="P2" s="419"/>
      <c r="Q2" s="420"/>
      <c r="R2" s="419"/>
      <c r="S2" s="420"/>
      <c r="T2" s="419"/>
      <c r="U2" s="421"/>
      <c r="V2" s="419"/>
      <c r="W2" s="422"/>
      <c r="X2" s="423"/>
      <c r="Y2" s="423"/>
      <c r="Z2" s="424"/>
      <c r="AA2" s="426"/>
    </row>
    <row r="3" spans="1:32" ht="16.5">
      <c r="A3" s="418" t="s">
        <v>433</v>
      </c>
      <c r="B3" s="419"/>
      <c r="C3" s="419"/>
      <c r="D3" s="419"/>
      <c r="E3" s="419"/>
      <c r="F3" s="419"/>
      <c r="G3" s="419"/>
      <c r="H3" s="419"/>
      <c r="I3" s="420"/>
      <c r="J3" s="419"/>
      <c r="K3" s="420"/>
      <c r="L3" s="419"/>
      <c r="M3" s="421"/>
      <c r="N3" s="419"/>
      <c r="O3" s="419"/>
      <c r="P3" s="419"/>
      <c r="Q3" s="420"/>
      <c r="R3" s="419"/>
      <c r="S3" s="420"/>
      <c r="T3" s="419"/>
      <c r="U3" s="421"/>
      <c r="V3" s="419"/>
      <c r="W3" s="422"/>
      <c r="X3" s="423"/>
      <c r="Y3" s="423"/>
      <c r="Z3" s="424"/>
      <c r="AA3" s="155"/>
    </row>
    <row r="4" spans="1:32" ht="16.5">
      <c r="A4" s="418" t="s">
        <v>434</v>
      </c>
      <c r="B4" s="419"/>
      <c r="C4" s="419"/>
      <c r="D4" s="419"/>
      <c r="E4" s="419"/>
      <c r="F4" s="419"/>
      <c r="G4" s="419"/>
      <c r="H4" s="419"/>
      <c r="I4" s="420"/>
      <c r="J4" s="419"/>
      <c r="K4" s="420"/>
      <c r="L4" s="419"/>
      <c r="M4" s="421"/>
      <c r="N4" s="419"/>
      <c r="O4" s="419"/>
      <c r="P4" s="419"/>
      <c r="Q4" s="420"/>
      <c r="R4" s="419"/>
      <c r="S4" s="420"/>
      <c r="T4" s="419"/>
      <c r="U4" s="421"/>
      <c r="V4" s="419"/>
      <c r="W4" s="422"/>
      <c r="X4" s="423"/>
      <c r="Y4" s="423"/>
      <c r="Z4" s="427"/>
      <c r="AA4" s="166"/>
    </row>
    <row r="5" spans="1:32">
      <c r="A5" s="428"/>
      <c r="B5" s="419"/>
      <c r="C5" s="419"/>
      <c r="D5" s="419"/>
      <c r="E5" s="419"/>
      <c r="F5" s="419"/>
      <c r="G5" s="419"/>
      <c r="H5" s="419"/>
      <c r="I5" s="420"/>
      <c r="J5" s="419"/>
      <c r="K5" s="420"/>
      <c r="L5" s="419"/>
      <c r="M5" s="425"/>
      <c r="P5" s="419"/>
      <c r="Q5" s="420"/>
      <c r="R5" s="419"/>
      <c r="S5" s="420"/>
      <c r="T5" s="419"/>
      <c r="U5" s="425"/>
      <c r="W5" s="423"/>
      <c r="X5" s="423"/>
      <c r="Y5" s="423"/>
      <c r="Z5" s="423"/>
      <c r="AA5" s="423"/>
    </row>
    <row r="6" spans="1:32" ht="17.25">
      <c r="A6" s="429"/>
      <c r="B6" s="422"/>
      <c r="C6" s="422"/>
      <c r="D6" s="422"/>
      <c r="E6" s="422"/>
      <c r="F6" s="422"/>
      <c r="G6" s="422"/>
      <c r="H6" s="422"/>
      <c r="I6" s="430"/>
      <c r="J6" s="431"/>
      <c r="K6" s="432"/>
      <c r="L6" s="431"/>
      <c r="M6" s="431"/>
      <c r="N6" s="433"/>
      <c r="O6" s="433"/>
      <c r="Q6" s="434"/>
      <c r="R6" s="433"/>
      <c r="S6" s="434"/>
      <c r="T6" s="433"/>
      <c r="U6" s="433"/>
      <c r="V6" s="433"/>
      <c r="W6" s="433"/>
    </row>
    <row r="8" spans="1:32" ht="15.75">
      <c r="C8" s="419"/>
      <c r="D8" s="419"/>
      <c r="E8" s="419"/>
      <c r="F8" s="419"/>
      <c r="G8" s="419"/>
      <c r="I8" s="436" t="s">
        <v>435</v>
      </c>
      <c r="J8" s="437"/>
      <c r="K8" s="438"/>
      <c r="L8" s="437"/>
      <c r="M8" s="439"/>
      <c r="N8" s="439"/>
      <c r="O8" s="439"/>
      <c r="P8" s="437"/>
      <c r="Q8" s="438"/>
      <c r="R8" s="437"/>
      <c r="S8" s="438"/>
      <c r="T8" s="437"/>
      <c r="U8" s="439"/>
      <c r="V8" s="439"/>
      <c r="W8" s="439"/>
      <c r="AC8" s="419" t="s">
        <v>436</v>
      </c>
      <c r="AD8" s="419"/>
      <c r="AE8" s="419"/>
      <c r="AF8" s="419"/>
    </row>
    <row r="9" spans="1:32">
      <c r="C9" s="436" t="s">
        <v>437</v>
      </c>
      <c r="D9" s="437"/>
      <c r="E9" s="438"/>
      <c r="F9" s="437"/>
      <c r="G9" s="437"/>
      <c r="I9" s="440" t="s">
        <v>438</v>
      </c>
      <c r="J9" s="441"/>
      <c r="K9" s="442"/>
      <c r="L9" s="443"/>
      <c r="M9" s="444"/>
      <c r="N9" s="443"/>
      <c r="O9" s="443"/>
      <c r="Q9" s="436" t="s">
        <v>439</v>
      </c>
      <c r="R9" s="445"/>
      <c r="S9" s="438"/>
      <c r="T9" s="437"/>
      <c r="U9" s="446"/>
      <c r="V9" s="437"/>
      <c r="W9" s="437"/>
      <c r="Z9" s="447"/>
      <c r="AA9" s="447"/>
      <c r="AC9" s="419" t="s">
        <v>438</v>
      </c>
      <c r="AD9" s="419"/>
      <c r="AE9" s="419" t="s">
        <v>439</v>
      </c>
      <c r="AF9" s="419"/>
    </row>
    <row r="10" spans="1:32">
      <c r="A10" s="448" t="s">
        <v>85</v>
      </c>
      <c r="C10" s="438" t="s">
        <v>81</v>
      </c>
      <c r="E10" s="449" t="s">
        <v>8</v>
      </c>
      <c r="G10" s="450" t="s">
        <v>19</v>
      </c>
      <c r="I10" s="438" t="s">
        <v>81</v>
      </c>
      <c r="K10" s="449" t="s">
        <v>8</v>
      </c>
      <c r="M10" s="451" t="s">
        <v>440</v>
      </c>
      <c r="O10" s="451" t="s">
        <v>441</v>
      </c>
      <c r="Q10" s="438" t="s">
        <v>81</v>
      </c>
      <c r="S10" s="449" t="s">
        <v>8</v>
      </c>
      <c r="U10" s="451" t="s">
        <v>440</v>
      </c>
      <c r="W10" s="451" t="s">
        <v>441</v>
      </c>
      <c r="AC10" s="452" t="s">
        <v>81</v>
      </c>
      <c r="AD10" s="452" t="s">
        <v>8</v>
      </c>
      <c r="AE10" s="452" t="s">
        <v>81</v>
      </c>
      <c r="AF10" s="452" t="s">
        <v>8</v>
      </c>
    </row>
    <row r="11" spans="1:32">
      <c r="A11" s="435">
        <v>100</v>
      </c>
      <c r="C11" s="447">
        <f>$Z$13</f>
        <v>3.75</v>
      </c>
      <c r="E11" s="447">
        <f>$AA$13</f>
        <v>10</v>
      </c>
      <c r="G11" s="447">
        <f>E11-C11</f>
        <v>6.25</v>
      </c>
      <c r="I11" s="453">
        <f t="shared" ref="I11:I17" si="0">ROUND((MIN(400,$A11)*$Z$14+MAX(0,MIN(600,$A11-400))*$Z$15+MAX(0,$A11-1000)*$Z$16)/100*(1+$Z$31)*(1+$Z$19)+$Z$18,2)</f>
        <v>8.31</v>
      </c>
      <c r="K11" s="453">
        <f>ROUND((MIN(400,$A11)*$AA$14+MAX(0,MIN(600,$A11-400))*$AA$15+MAX(0,$A11-1000)*$AA$16)/100*(1+$AA$31)*(1+$AA$19)+$AA$18,2)</f>
        <v>8.8000000000000007</v>
      </c>
      <c r="L11" s="453"/>
      <c r="M11" s="454">
        <f>K11-I11</f>
        <v>0.49000000000000021</v>
      </c>
      <c r="O11" s="455">
        <f>ROUND(IF(I11=0,0,K11/I11-1),3)</f>
        <v>5.8999999999999997E-2</v>
      </c>
      <c r="Q11" s="453">
        <f>ROUND($A11*$Z$22/100*(1+$Z$31)*(1+$Z$25)+$Z$24,2)</f>
        <v>8.6</v>
      </c>
      <c r="S11" s="453">
        <f>ROUND($A11*$AA$22/100*(1+$AA$31)*(1+$AA$25)+$AA$24,2)</f>
        <v>9.11</v>
      </c>
      <c r="T11" s="453"/>
      <c r="U11" s="454">
        <f t="shared" ref="U11:U20" si="1">S11-Q11</f>
        <v>0.50999999999999979</v>
      </c>
      <c r="W11" s="455">
        <f t="shared" ref="W11:W20" si="2">ROUND(IF(Q11=0,0,S11/Q11-1),3)</f>
        <v>5.8999999999999997E-2</v>
      </c>
      <c r="Y11" s="456" t="s">
        <v>125</v>
      </c>
      <c r="Z11" s="457" t="s">
        <v>442</v>
      </c>
      <c r="AA11" s="458" t="s">
        <v>8</v>
      </c>
      <c r="AC11" s="459">
        <f t="shared" ref="AC11:AC23" si="3">I11/$A11*100</f>
        <v>8.31</v>
      </c>
      <c r="AD11" s="459">
        <f t="shared" ref="AD11:AD23" si="4">K11/A11*100</f>
        <v>8.8000000000000007</v>
      </c>
      <c r="AE11" s="459">
        <f t="shared" ref="AE11:AE23" si="5">Q11/$A11*100</f>
        <v>8.6</v>
      </c>
      <c r="AF11" s="459">
        <f t="shared" ref="AF11:AF23" si="6">S11/$A11*100</f>
        <v>9.11</v>
      </c>
    </row>
    <row r="12" spans="1:32" ht="13.5">
      <c r="A12" s="435">
        <v>200</v>
      </c>
      <c r="C12" s="447">
        <f t="shared" ref="C12:C32" si="7">$Z$13</f>
        <v>3.75</v>
      </c>
      <c r="E12" s="447">
        <f t="shared" ref="E12:E32" si="8">$AA$13</f>
        <v>10</v>
      </c>
      <c r="G12" s="447">
        <f t="shared" ref="G12:G32" si="9">E12-C12</f>
        <v>6.25</v>
      </c>
      <c r="I12" s="453">
        <f t="shared" si="0"/>
        <v>16.39</v>
      </c>
      <c r="K12" s="453">
        <f t="shared" ref="K12:K32" si="10">ROUND((MIN(400,$A12)*$AA$14+MAX(0,MIN(600,$A12-400))*$AA$15+MAX(0,$A12-1000)*$AA$16)/100*(1+$AA$31)*(1+$AA$19)+$AA$18,2)</f>
        <v>17.37</v>
      </c>
      <c r="L12" s="453"/>
      <c r="M12" s="454">
        <f t="shared" ref="M12:M17" si="11">K12-I12</f>
        <v>0.98000000000000043</v>
      </c>
      <c r="O12" s="455">
        <f t="shared" ref="O12:O17" si="12">ROUND(IF(I12=0,0,K12/I12-1),3)</f>
        <v>0.06</v>
      </c>
      <c r="Q12" s="453">
        <f t="shared" ref="Q12:Q32" si="13">ROUND($A12*$Z$22/100*(1+$Z$31)*(1+$Z$25)+$Z$24,2)</f>
        <v>16.97</v>
      </c>
      <c r="S12" s="453">
        <f t="shared" ref="S12:S32" si="14">ROUND($A12*$AA$22/100*(1+$AA$31)*(1+$AA$25)+$AA$24,2)</f>
        <v>17.989999999999998</v>
      </c>
      <c r="T12" s="453"/>
      <c r="U12" s="454">
        <f t="shared" si="1"/>
        <v>1.0199999999999996</v>
      </c>
      <c r="W12" s="455">
        <f t="shared" si="2"/>
        <v>0.06</v>
      </c>
      <c r="Y12" s="460" t="s">
        <v>438</v>
      </c>
      <c r="Z12" s="423"/>
      <c r="AA12" s="461"/>
      <c r="AC12" s="459">
        <f t="shared" si="3"/>
        <v>8.1950000000000003</v>
      </c>
      <c r="AD12" s="459">
        <f t="shared" si="4"/>
        <v>8.6850000000000005</v>
      </c>
      <c r="AE12" s="459">
        <f t="shared" si="5"/>
        <v>8.4849999999999994</v>
      </c>
      <c r="AF12" s="459">
        <f t="shared" si="6"/>
        <v>8.9949999999999992</v>
      </c>
    </row>
    <row r="13" spans="1:32">
      <c r="A13" s="435">
        <v>300</v>
      </c>
      <c r="C13" s="447">
        <f t="shared" si="7"/>
        <v>3.75</v>
      </c>
      <c r="E13" s="447">
        <f t="shared" si="8"/>
        <v>10</v>
      </c>
      <c r="G13" s="447">
        <f t="shared" si="9"/>
        <v>6.25</v>
      </c>
      <c r="I13" s="453">
        <f t="shared" si="0"/>
        <v>24.47</v>
      </c>
      <c r="K13" s="453">
        <f t="shared" si="10"/>
        <v>25.94</v>
      </c>
      <c r="L13" s="453"/>
      <c r="M13" s="454">
        <f t="shared" si="11"/>
        <v>1.4700000000000024</v>
      </c>
      <c r="O13" s="455">
        <f t="shared" si="12"/>
        <v>0.06</v>
      </c>
      <c r="Q13" s="453">
        <f t="shared" si="13"/>
        <v>25.34</v>
      </c>
      <c r="S13" s="453">
        <f t="shared" si="14"/>
        <v>26.86</v>
      </c>
      <c r="T13" s="453"/>
      <c r="U13" s="454">
        <f t="shared" si="1"/>
        <v>1.5199999999999996</v>
      </c>
      <c r="W13" s="455">
        <f t="shared" si="2"/>
        <v>0.06</v>
      </c>
      <c r="Y13" s="462" t="s">
        <v>443</v>
      </c>
      <c r="Z13" s="463">
        <f>'Exhibit RMP-(WRG-5)'!G11</f>
        <v>3.75</v>
      </c>
      <c r="AA13" s="464">
        <f>'Exhibit RMP-(WRG-5)'!M12</f>
        <v>10</v>
      </c>
      <c r="AC13" s="459">
        <f t="shared" si="3"/>
        <v>8.1566666666666663</v>
      </c>
      <c r="AD13" s="459">
        <f t="shared" si="4"/>
        <v>8.6466666666666683</v>
      </c>
      <c r="AE13" s="459">
        <f t="shared" si="5"/>
        <v>8.4466666666666654</v>
      </c>
      <c r="AF13" s="459">
        <f t="shared" si="6"/>
        <v>8.9533333333333331</v>
      </c>
    </row>
    <row r="14" spans="1:32">
      <c r="A14" s="435">
        <v>400</v>
      </c>
      <c r="C14" s="447">
        <f t="shared" si="7"/>
        <v>3.75</v>
      </c>
      <c r="E14" s="447">
        <f t="shared" si="8"/>
        <v>10</v>
      </c>
      <c r="G14" s="447">
        <f t="shared" si="9"/>
        <v>6.25</v>
      </c>
      <c r="I14" s="453">
        <f t="shared" si="0"/>
        <v>32.549999999999997</v>
      </c>
      <c r="K14" s="453">
        <f t="shared" si="10"/>
        <v>34.5</v>
      </c>
      <c r="L14" s="453"/>
      <c r="M14" s="454">
        <f t="shared" si="11"/>
        <v>1.9500000000000028</v>
      </c>
      <c r="O14" s="455">
        <f t="shared" si="12"/>
        <v>0.06</v>
      </c>
      <c r="Q14" s="453">
        <f t="shared" si="13"/>
        <v>33.71</v>
      </c>
      <c r="S14" s="453">
        <f t="shared" si="14"/>
        <v>35.74</v>
      </c>
      <c r="T14" s="453"/>
      <c r="U14" s="454">
        <f t="shared" si="1"/>
        <v>2.0300000000000011</v>
      </c>
      <c r="W14" s="455">
        <f t="shared" si="2"/>
        <v>0.06</v>
      </c>
      <c r="Y14" s="462" t="s">
        <v>444</v>
      </c>
      <c r="Z14" s="465">
        <f>'Exhibit RMP-(WRG-5)'!G14</f>
        <v>7.5292000000000003</v>
      </c>
      <c r="AA14" s="466">
        <f>'Exhibit RMP-(WRG-5)'!M14</f>
        <v>8.3117000000000001</v>
      </c>
      <c r="AC14" s="459">
        <f t="shared" si="3"/>
        <v>8.1374999999999993</v>
      </c>
      <c r="AD14" s="459">
        <f t="shared" si="4"/>
        <v>8.625</v>
      </c>
      <c r="AE14" s="459">
        <f t="shared" si="5"/>
        <v>8.4275000000000002</v>
      </c>
      <c r="AF14" s="459">
        <f t="shared" si="6"/>
        <v>8.9350000000000005</v>
      </c>
    </row>
    <row r="15" spans="1:32">
      <c r="A15" s="435">
        <v>500</v>
      </c>
      <c r="C15" s="447">
        <f t="shared" si="7"/>
        <v>3.75</v>
      </c>
      <c r="E15" s="447">
        <f t="shared" si="8"/>
        <v>10</v>
      </c>
      <c r="G15" s="447">
        <f t="shared" si="9"/>
        <v>6.25</v>
      </c>
      <c r="I15" s="453">
        <f t="shared" si="0"/>
        <v>42.5</v>
      </c>
      <c r="K15" s="453">
        <f t="shared" si="10"/>
        <v>45.06</v>
      </c>
      <c r="L15" s="453"/>
      <c r="M15" s="454">
        <f t="shared" si="11"/>
        <v>2.5600000000000023</v>
      </c>
      <c r="O15" s="455">
        <f t="shared" si="12"/>
        <v>0.06</v>
      </c>
      <c r="Q15" s="453">
        <f t="shared" si="13"/>
        <v>42.08</v>
      </c>
      <c r="S15" s="453">
        <f t="shared" si="14"/>
        <v>44.62</v>
      </c>
      <c r="T15" s="453"/>
      <c r="U15" s="454">
        <f t="shared" si="1"/>
        <v>2.5399999999999991</v>
      </c>
      <c r="W15" s="455">
        <f t="shared" si="2"/>
        <v>0.06</v>
      </c>
      <c r="Y15" s="462" t="s">
        <v>445</v>
      </c>
      <c r="Z15" s="465">
        <f>'Exhibit RMP-(WRG-5)'!G15</f>
        <v>9.2749000000000006</v>
      </c>
      <c r="AA15" s="466">
        <f>'Exhibit RMP-(WRG-5)'!M15</f>
        <v>10.238899999999999</v>
      </c>
      <c r="AC15" s="459">
        <f t="shared" si="3"/>
        <v>8.5</v>
      </c>
      <c r="AD15" s="459">
        <f t="shared" si="4"/>
        <v>9.0120000000000005</v>
      </c>
      <c r="AE15" s="459">
        <f t="shared" si="5"/>
        <v>8.4160000000000004</v>
      </c>
      <c r="AF15" s="459">
        <f t="shared" si="6"/>
        <v>8.9239999999999995</v>
      </c>
    </row>
    <row r="16" spans="1:32">
      <c r="A16" s="435">
        <v>600</v>
      </c>
      <c r="C16" s="447">
        <f t="shared" si="7"/>
        <v>3.75</v>
      </c>
      <c r="E16" s="447">
        <f t="shared" si="8"/>
        <v>10</v>
      </c>
      <c r="G16" s="447">
        <f t="shared" si="9"/>
        <v>6.25</v>
      </c>
      <c r="I16" s="453">
        <f t="shared" si="0"/>
        <v>52.45</v>
      </c>
      <c r="K16" s="453">
        <f t="shared" si="10"/>
        <v>55.61</v>
      </c>
      <c r="L16" s="453"/>
      <c r="M16" s="454">
        <f t="shared" si="11"/>
        <v>3.1599999999999966</v>
      </c>
      <c r="O16" s="455">
        <f t="shared" si="12"/>
        <v>0.06</v>
      </c>
      <c r="Q16" s="453">
        <f t="shared" si="13"/>
        <v>50.46</v>
      </c>
      <c r="S16" s="453">
        <f t="shared" si="14"/>
        <v>53.5</v>
      </c>
      <c r="T16" s="453"/>
      <c r="U16" s="454">
        <f t="shared" si="1"/>
        <v>3.0399999999999991</v>
      </c>
      <c r="W16" s="455">
        <f t="shared" si="2"/>
        <v>0.06</v>
      </c>
      <c r="Y16" s="462" t="s">
        <v>446</v>
      </c>
      <c r="Z16" s="465">
        <f>'Exhibit RMP-(WRG-5)'!G16</f>
        <v>11.536099999999999</v>
      </c>
      <c r="AA16" s="466">
        <f>'Exhibit RMP-(WRG-5)'!M16</f>
        <v>12.735099999999999</v>
      </c>
      <c r="AC16" s="459">
        <f t="shared" si="3"/>
        <v>8.7416666666666671</v>
      </c>
      <c r="AD16" s="459">
        <f t="shared" si="4"/>
        <v>9.2683333333333326</v>
      </c>
      <c r="AE16" s="459">
        <f t="shared" si="5"/>
        <v>8.41</v>
      </c>
      <c r="AF16" s="459">
        <f t="shared" si="6"/>
        <v>8.9166666666666679</v>
      </c>
    </row>
    <row r="17" spans="1:32">
      <c r="A17" s="435">
        <v>700</v>
      </c>
      <c r="C17" s="447">
        <f t="shared" si="7"/>
        <v>3.75</v>
      </c>
      <c r="E17" s="447">
        <f t="shared" si="8"/>
        <v>10</v>
      </c>
      <c r="G17" s="447">
        <f t="shared" si="9"/>
        <v>6.25</v>
      </c>
      <c r="I17" s="453">
        <f t="shared" si="0"/>
        <v>62.41</v>
      </c>
      <c r="K17" s="453">
        <f t="shared" si="10"/>
        <v>66.17</v>
      </c>
      <c r="L17" s="453"/>
      <c r="M17" s="454">
        <f t="shared" si="11"/>
        <v>3.7600000000000051</v>
      </c>
      <c r="O17" s="455">
        <f t="shared" si="12"/>
        <v>0.06</v>
      </c>
      <c r="Q17" s="453">
        <f t="shared" si="13"/>
        <v>58.83</v>
      </c>
      <c r="S17" s="453">
        <f t="shared" si="14"/>
        <v>62.37</v>
      </c>
      <c r="T17" s="453"/>
      <c r="U17" s="454">
        <f t="shared" si="1"/>
        <v>3.5399999999999991</v>
      </c>
      <c r="W17" s="455">
        <f t="shared" si="2"/>
        <v>0.06</v>
      </c>
      <c r="Y17" s="462" t="s">
        <v>447</v>
      </c>
      <c r="Z17" s="463">
        <f>'Exhibit RMP-(WRG-5)'!G18</f>
        <v>3.78</v>
      </c>
      <c r="AA17" s="464">
        <f>'Exhibit RMP-(WRG-5)'!M18</f>
        <v>10</v>
      </c>
      <c r="AC17" s="459">
        <f t="shared" si="3"/>
        <v>8.9157142857142855</v>
      </c>
      <c r="AD17" s="459">
        <f t="shared" si="4"/>
        <v>9.4528571428571428</v>
      </c>
      <c r="AE17" s="459">
        <f t="shared" si="5"/>
        <v>8.4042857142857148</v>
      </c>
      <c r="AF17" s="459">
        <f t="shared" si="6"/>
        <v>8.91</v>
      </c>
    </row>
    <row r="18" spans="1:32">
      <c r="A18" s="435">
        <f>AD40</f>
        <v>757.02947122148339</v>
      </c>
      <c r="B18" s="425" t="s">
        <v>448</v>
      </c>
      <c r="C18" s="447">
        <f t="shared" si="7"/>
        <v>3.75</v>
      </c>
      <c r="E18" s="447">
        <f t="shared" si="8"/>
        <v>10</v>
      </c>
      <c r="G18" s="447">
        <f t="shared" si="9"/>
        <v>6.25</v>
      </c>
      <c r="L18" s="453"/>
      <c r="M18" s="454"/>
      <c r="O18" s="455"/>
      <c r="Q18" s="453">
        <f t="shared" si="13"/>
        <v>63.6</v>
      </c>
      <c r="S18" s="453">
        <f t="shared" si="14"/>
        <v>67.44</v>
      </c>
      <c r="T18" s="453"/>
      <c r="U18" s="454">
        <f t="shared" si="1"/>
        <v>3.8399999999999963</v>
      </c>
      <c r="W18" s="455">
        <f t="shared" si="2"/>
        <v>0.06</v>
      </c>
      <c r="Y18" s="462" t="s">
        <v>449</v>
      </c>
      <c r="Z18" s="463">
        <v>0.23</v>
      </c>
      <c r="AA18" s="464">
        <f>Z18</f>
        <v>0.23</v>
      </c>
      <c r="AC18" s="459">
        <f t="shared" si="3"/>
        <v>0</v>
      </c>
      <c r="AD18" s="459">
        <f t="shared" si="4"/>
        <v>0</v>
      </c>
      <c r="AE18" s="459">
        <f t="shared" si="5"/>
        <v>8.4012581303314438</v>
      </c>
      <c r="AF18" s="459">
        <f t="shared" si="6"/>
        <v>8.9085039042382466</v>
      </c>
    </row>
    <row r="19" spans="1:32">
      <c r="A19" s="435">
        <f>AD41</f>
        <v>792.1185278091956</v>
      </c>
      <c r="B19" s="425" t="s">
        <v>450</v>
      </c>
      <c r="C19" s="447">
        <f t="shared" si="7"/>
        <v>3.75</v>
      </c>
      <c r="E19" s="447">
        <f t="shared" si="8"/>
        <v>10</v>
      </c>
      <c r="G19" s="447">
        <f t="shared" si="9"/>
        <v>6.25</v>
      </c>
      <c r="I19" s="453">
        <f t="shared" ref="I19:I32" si="15">ROUND((MIN(400,$A19)*$Z$14+MAX(0,MIN(600,$A19-400))*$Z$15+MAX(0,$A19-1000)*$Z$16)/100*(1+$Z$31)*(1+$Z$19)+$Z$18,2)</f>
        <v>71.569999999999993</v>
      </c>
      <c r="K19" s="453">
        <f t="shared" si="10"/>
        <v>75.89</v>
      </c>
      <c r="L19" s="453"/>
      <c r="M19" s="454">
        <f t="shared" ref="M19:M32" si="16">K19-I19</f>
        <v>4.3200000000000074</v>
      </c>
      <c r="O19" s="455">
        <f t="shared" ref="O19:O32" si="17">ROUND(IF(I19=0,0,K19/I19-1),3)</f>
        <v>0.06</v>
      </c>
      <c r="Q19" s="453">
        <f t="shared" si="13"/>
        <v>66.540000000000006</v>
      </c>
      <c r="S19" s="453">
        <f t="shared" si="14"/>
        <v>70.55</v>
      </c>
      <c r="T19" s="453"/>
      <c r="U19" s="454">
        <f t="shared" si="1"/>
        <v>4.0099999999999909</v>
      </c>
      <c r="W19" s="455">
        <f t="shared" si="2"/>
        <v>0.06</v>
      </c>
      <c r="Y19" s="462" t="s">
        <v>82</v>
      </c>
      <c r="Z19" s="467">
        <f>'Exhibit RMP-(WRG-5)'!G29</f>
        <v>3.9100000000000003E-2</v>
      </c>
      <c r="AA19" s="468">
        <f>'Exhibit RMP-(WRG-5)'!M29</f>
        <v>3.9100000000000003E-2</v>
      </c>
      <c r="AC19" s="459">
        <f t="shared" si="3"/>
        <v>9.0352639772162568</v>
      </c>
      <c r="AD19" s="459">
        <f t="shared" si="4"/>
        <v>9.5806369041629438</v>
      </c>
      <c r="AE19" s="459">
        <f t="shared" si="5"/>
        <v>8.4002579997760218</v>
      </c>
      <c r="AF19" s="459">
        <f t="shared" si="6"/>
        <v>8.9064953694649578</v>
      </c>
    </row>
    <row r="20" spans="1:32" ht="13.5">
      <c r="A20" s="435">
        <v>800</v>
      </c>
      <c r="C20" s="447">
        <f t="shared" si="7"/>
        <v>3.75</v>
      </c>
      <c r="E20" s="447">
        <f t="shared" si="8"/>
        <v>10</v>
      </c>
      <c r="G20" s="447">
        <f t="shared" si="9"/>
        <v>6.25</v>
      </c>
      <c r="I20" s="453">
        <f t="shared" si="15"/>
        <v>72.36</v>
      </c>
      <c r="K20" s="453">
        <f t="shared" si="10"/>
        <v>76.72</v>
      </c>
      <c r="L20" s="453"/>
      <c r="M20" s="454">
        <f t="shared" si="16"/>
        <v>4.3599999999999994</v>
      </c>
      <c r="O20" s="455">
        <f t="shared" si="17"/>
        <v>0.06</v>
      </c>
      <c r="Q20" s="453">
        <f t="shared" si="13"/>
        <v>67.2</v>
      </c>
      <c r="S20" s="453">
        <f t="shared" si="14"/>
        <v>71.25</v>
      </c>
      <c r="T20" s="453"/>
      <c r="U20" s="454">
        <f t="shared" si="1"/>
        <v>4.0499999999999972</v>
      </c>
      <c r="W20" s="455">
        <f t="shared" si="2"/>
        <v>0.06</v>
      </c>
      <c r="Y20" s="460" t="s">
        <v>439</v>
      </c>
      <c r="Z20" s="423"/>
      <c r="AA20" s="461"/>
      <c r="AC20" s="459">
        <f t="shared" si="3"/>
        <v>9.0449999999999999</v>
      </c>
      <c r="AD20" s="459">
        <f t="shared" si="4"/>
        <v>9.59</v>
      </c>
      <c r="AE20" s="459">
        <f t="shared" si="5"/>
        <v>8.4</v>
      </c>
      <c r="AF20" s="459">
        <f t="shared" si="6"/>
        <v>8.90625</v>
      </c>
    </row>
    <row r="21" spans="1:32">
      <c r="A21" s="435">
        <f>AD39</f>
        <v>841.24320703199294</v>
      </c>
      <c r="B21" s="425" t="s">
        <v>451</v>
      </c>
      <c r="C21" s="447">
        <f t="shared" si="7"/>
        <v>3.75</v>
      </c>
      <c r="E21" s="447">
        <f t="shared" si="8"/>
        <v>10</v>
      </c>
      <c r="G21" s="447">
        <f t="shared" si="9"/>
        <v>6.25</v>
      </c>
      <c r="I21" s="453">
        <f t="shared" si="15"/>
        <v>76.459999999999994</v>
      </c>
      <c r="K21" s="453">
        <f t="shared" si="10"/>
        <v>81.08</v>
      </c>
      <c r="L21" s="453"/>
      <c r="M21" s="454">
        <f t="shared" si="16"/>
        <v>4.6200000000000045</v>
      </c>
      <c r="O21" s="455">
        <f t="shared" si="17"/>
        <v>0.06</v>
      </c>
      <c r="T21" s="453"/>
      <c r="U21" s="454"/>
      <c r="W21" s="455"/>
      <c r="Y21" s="462" t="s">
        <v>443</v>
      </c>
      <c r="Z21" s="469">
        <f>Z13</f>
        <v>3.75</v>
      </c>
      <c r="AA21" s="470">
        <f>AA13</f>
        <v>10</v>
      </c>
      <c r="AC21" s="459">
        <f t="shared" si="3"/>
        <v>9.0889292609874435</v>
      </c>
      <c r="AD21" s="459">
        <f t="shared" si="4"/>
        <v>9.6381164593364108</v>
      </c>
      <c r="AE21" s="459">
        <f t="shared" si="5"/>
        <v>0</v>
      </c>
      <c r="AF21" s="459">
        <f t="shared" si="6"/>
        <v>0</v>
      </c>
    </row>
    <row r="22" spans="1:32">
      <c r="A22" s="435">
        <v>900</v>
      </c>
      <c r="C22" s="447">
        <f t="shared" si="7"/>
        <v>3.75</v>
      </c>
      <c r="E22" s="447">
        <f t="shared" si="8"/>
        <v>10</v>
      </c>
      <c r="G22" s="447">
        <f t="shared" si="9"/>
        <v>6.25</v>
      </c>
      <c r="I22" s="453">
        <f t="shared" si="15"/>
        <v>82.31</v>
      </c>
      <c r="K22" s="453">
        <f t="shared" si="10"/>
        <v>87.28</v>
      </c>
      <c r="L22" s="453"/>
      <c r="M22" s="454">
        <f t="shared" si="16"/>
        <v>4.9699999999999989</v>
      </c>
      <c r="O22" s="455">
        <f t="shared" si="17"/>
        <v>0.06</v>
      </c>
      <c r="Q22" s="453">
        <f t="shared" si="13"/>
        <v>75.569999999999993</v>
      </c>
      <c r="S22" s="453">
        <f t="shared" si="14"/>
        <v>80.13</v>
      </c>
      <c r="T22" s="453"/>
      <c r="U22" s="454">
        <f t="shared" ref="U22:U32" si="18">S22-Q22</f>
        <v>4.5600000000000023</v>
      </c>
      <c r="W22" s="455">
        <f t="shared" ref="W22:W32" si="19">ROUND(IF(Q22=0,0,S22/Q22-1),3)</f>
        <v>0.06</v>
      </c>
      <c r="Y22" s="462" t="s">
        <v>85</v>
      </c>
      <c r="Z22" s="471">
        <f>'Exhibit RMP-(WRG-5)'!G17</f>
        <v>7.8009000000000004</v>
      </c>
      <c r="AA22" s="472">
        <f>'Exhibit RMP-(WRG-5)'!M17</f>
        <v>8.6117000000000008</v>
      </c>
      <c r="AC22" s="459">
        <f t="shared" si="3"/>
        <v>9.1455555555555552</v>
      </c>
      <c r="AD22" s="459">
        <f t="shared" si="4"/>
        <v>9.6977777777777767</v>
      </c>
      <c r="AE22" s="459">
        <f t="shared" si="5"/>
        <v>8.3966666666666665</v>
      </c>
      <c r="AF22" s="459">
        <f t="shared" si="6"/>
        <v>8.9033333333333324</v>
      </c>
    </row>
    <row r="23" spans="1:32">
      <c r="A23" s="435">
        <v>1000</v>
      </c>
      <c r="C23" s="447">
        <f t="shared" si="7"/>
        <v>3.75</v>
      </c>
      <c r="E23" s="447">
        <f t="shared" si="8"/>
        <v>10</v>
      </c>
      <c r="G23" s="447">
        <f t="shared" si="9"/>
        <v>6.25</v>
      </c>
      <c r="I23" s="453">
        <f t="shared" si="15"/>
        <v>92.26</v>
      </c>
      <c r="K23" s="453">
        <f t="shared" si="10"/>
        <v>97.83</v>
      </c>
      <c r="L23" s="453"/>
      <c r="M23" s="454">
        <f t="shared" si="16"/>
        <v>5.5699999999999932</v>
      </c>
      <c r="O23" s="455">
        <f t="shared" si="17"/>
        <v>0.06</v>
      </c>
      <c r="Q23" s="453">
        <f t="shared" si="13"/>
        <v>83.94</v>
      </c>
      <c r="S23" s="453">
        <f t="shared" si="14"/>
        <v>89.01</v>
      </c>
      <c r="T23" s="453"/>
      <c r="U23" s="454">
        <f t="shared" si="18"/>
        <v>5.0700000000000074</v>
      </c>
      <c r="W23" s="455">
        <f t="shared" si="19"/>
        <v>0.06</v>
      </c>
      <c r="Y23" s="462" t="s">
        <v>447</v>
      </c>
      <c r="Z23" s="469">
        <f>Z17</f>
        <v>3.78</v>
      </c>
      <c r="AA23" s="470">
        <f>AA17</f>
        <v>10</v>
      </c>
      <c r="AC23" s="459">
        <f t="shared" si="3"/>
        <v>9.2260000000000009</v>
      </c>
      <c r="AD23" s="459">
        <f t="shared" si="4"/>
        <v>9.7829999999999995</v>
      </c>
      <c r="AE23" s="459">
        <f t="shared" si="5"/>
        <v>8.3940000000000001</v>
      </c>
      <c r="AF23" s="459">
        <f t="shared" si="6"/>
        <v>8.9009999999999998</v>
      </c>
    </row>
    <row r="24" spans="1:32">
      <c r="A24" s="435">
        <v>1100</v>
      </c>
      <c r="C24" s="447">
        <f t="shared" si="7"/>
        <v>3.75</v>
      </c>
      <c r="E24" s="447">
        <f t="shared" si="8"/>
        <v>10</v>
      </c>
      <c r="G24" s="447">
        <f t="shared" si="9"/>
        <v>6.25</v>
      </c>
      <c r="I24" s="453">
        <f t="shared" si="15"/>
        <v>104.64</v>
      </c>
      <c r="K24" s="453">
        <f t="shared" si="10"/>
        <v>110.96</v>
      </c>
      <c r="L24" s="453"/>
      <c r="M24" s="454">
        <f t="shared" si="16"/>
        <v>6.3199999999999932</v>
      </c>
      <c r="O24" s="455">
        <f t="shared" si="17"/>
        <v>0.06</v>
      </c>
      <c r="Q24" s="453">
        <f t="shared" si="13"/>
        <v>92.31</v>
      </c>
      <c r="S24" s="453">
        <f t="shared" si="14"/>
        <v>97.88</v>
      </c>
      <c r="T24" s="453"/>
      <c r="U24" s="454">
        <f t="shared" si="18"/>
        <v>5.5699999999999932</v>
      </c>
      <c r="W24" s="455">
        <f t="shared" si="19"/>
        <v>0.06</v>
      </c>
      <c r="Y24" s="462" t="s">
        <v>449</v>
      </c>
      <c r="Z24" s="469">
        <f>Z18</f>
        <v>0.23</v>
      </c>
      <c r="AA24" s="470">
        <f>Z24</f>
        <v>0.23</v>
      </c>
      <c r="AC24" s="459"/>
      <c r="AD24" s="459"/>
      <c r="AE24" s="459"/>
      <c r="AF24" s="459"/>
    </row>
    <row r="25" spans="1:32">
      <c r="A25" s="435">
        <v>1200</v>
      </c>
      <c r="C25" s="447">
        <f t="shared" si="7"/>
        <v>3.75</v>
      </c>
      <c r="E25" s="447">
        <f t="shared" si="8"/>
        <v>10</v>
      </c>
      <c r="G25" s="447">
        <f t="shared" si="9"/>
        <v>6.25</v>
      </c>
      <c r="I25" s="453">
        <f t="shared" si="15"/>
        <v>117.02</v>
      </c>
      <c r="K25" s="453">
        <f t="shared" si="10"/>
        <v>124.09</v>
      </c>
      <c r="L25" s="453"/>
      <c r="M25" s="454">
        <f t="shared" si="16"/>
        <v>7.0700000000000074</v>
      </c>
      <c r="O25" s="455">
        <f t="shared" si="17"/>
        <v>0.06</v>
      </c>
      <c r="Q25" s="453">
        <f t="shared" si="13"/>
        <v>100.68</v>
      </c>
      <c r="S25" s="453">
        <f t="shared" si="14"/>
        <v>106.76</v>
      </c>
      <c r="T25" s="453"/>
      <c r="U25" s="454">
        <f t="shared" si="18"/>
        <v>6.0799999999999983</v>
      </c>
      <c r="W25" s="455">
        <f t="shared" si="19"/>
        <v>0.06</v>
      </c>
      <c r="Y25" s="473" t="s">
        <v>82</v>
      </c>
      <c r="Z25" s="474">
        <f>Z19</f>
        <v>3.9100000000000003E-2</v>
      </c>
      <c r="AA25" s="475">
        <f>Z25</f>
        <v>3.9100000000000003E-2</v>
      </c>
      <c r="AC25" s="459">
        <f>I24/$A24*100</f>
        <v>9.5127272727272718</v>
      </c>
      <c r="AD25" s="459">
        <f>K24/A24*100</f>
        <v>10.087272727272726</v>
      </c>
      <c r="AE25" s="459">
        <f>Q24/$A24*100</f>
        <v>8.3918181818181825</v>
      </c>
      <c r="AF25" s="459">
        <f>S24/$A24*100</f>
        <v>8.8981818181818184</v>
      </c>
    </row>
    <row r="26" spans="1:32">
      <c r="A26" s="435">
        <v>1300</v>
      </c>
      <c r="C26" s="447">
        <f t="shared" si="7"/>
        <v>3.75</v>
      </c>
      <c r="E26" s="447">
        <f t="shared" si="8"/>
        <v>10</v>
      </c>
      <c r="G26" s="447">
        <f t="shared" si="9"/>
        <v>6.25</v>
      </c>
      <c r="I26" s="453">
        <f t="shared" si="15"/>
        <v>129.4</v>
      </c>
      <c r="K26" s="453">
        <f t="shared" si="10"/>
        <v>137.22</v>
      </c>
      <c r="L26" s="453"/>
      <c r="M26" s="454">
        <f t="shared" si="16"/>
        <v>7.8199999999999932</v>
      </c>
      <c r="O26" s="455">
        <f t="shared" si="17"/>
        <v>0.06</v>
      </c>
      <c r="Q26" s="453">
        <f t="shared" si="13"/>
        <v>109.05</v>
      </c>
      <c r="S26" s="453">
        <f t="shared" si="14"/>
        <v>115.64</v>
      </c>
      <c r="T26" s="453"/>
      <c r="U26" s="454">
        <f t="shared" si="18"/>
        <v>6.5900000000000034</v>
      </c>
      <c r="W26" s="455">
        <f t="shared" si="19"/>
        <v>0.06</v>
      </c>
      <c r="AC26" s="459">
        <f>I25/$A25*100</f>
        <v>9.7516666666666669</v>
      </c>
      <c r="AD26" s="459">
        <f>K25/A25*100</f>
        <v>10.340833333333334</v>
      </c>
      <c r="AE26" s="459">
        <f>Q25/$A25*100</f>
        <v>8.39</v>
      </c>
      <c r="AF26" s="459">
        <f>S25/$A25*100</f>
        <v>8.8966666666666665</v>
      </c>
    </row>
    <row r="27" spans="1:32">
      <c r="A27" s="435">
        <v>1400</v>
      </c>
      <c r="C27" s="447">
        <f t="shared" si="7"/>
        <v>3.75</v>
      </c>
      <c r="E27" s="447">
        <f t="shared" si="8"/>
        <v>10</v>
      </c>
      <c r="G27" s="447">
        <f t="shared" si="9"/>
        <v>6.25</v>
      </c>
      <c r="I27" s="453">
        <f t="shared" si="15"/>
        <v>141.78</v>
      </c>
      <c r="K27" s="453">
        <f t="shared" si="10"/>
        <v>150.35</v>
      </c>
      <c r="L27" s="453"/>
      <c r="M27" s="454">
        <f t="shared" si="16"/>
        <v>8.5699999999999932</v>
      </c>
      <c r="O27" s="455">
        <f t="shared" si="17"/>
        <v>0.06</v>
      </c>
      <c r="Q27" s="453">
        <f t="shared" si="13"/>
        <v>117.42</v>
      </c>
      <c r="S27" s="453">
        <f t="shared" si="14"/>
        <v>124.52</v>
      </c>
      <c r="T27" s="453"/>
      <c r="U27" s="454">
        <f t="shared" si="18"/>
        <v>7.0999999999999943</v>
      </c>
      <c r="W27" s="455">
        <f t="shared" si="19"/>
        <v>0.06</v>
      </c>
      <c r="Y27" s="425" t="s">
        <v>452</v>
      </c>
      <c r="Z27" s="423"/>
      <c r="AA27" s="476">
        <f>'Exhibit RMP-(WRG-1)'!S15</f>
        <v>0.14575548609054698</v>
      </c>
      <c r="AC27" s="459">
        <f>I26/$A26*100</f>
        <v>9.953846153846154</v>
      </c>
      <c r="AD27" s="459">
        <f>K26/A26*100</f>
        <v>10.555384615384614</v>
      </c>
      <c r="AE27" s="459">
        <f>Q26/$A26*100</f>
        <v>8.388461538461538</v>
      </c>
      <c r="AF27" s="459">
        <f>S26/$A26*100</f>
        <v>8.8953846153846161</v>
      </c>
    </row>
    <row r="28" spans="1:32">
      <c r="A28" s="435">
        <v>1500</v>
      </c>
      <c r="C28" s="447">
        <f t="shared" si="7"/>
        <v>3.75</v>
      </c>
      <c r="E28" s="447">
        <f t="shared" si="8"/>
        <v>10</v>
      </c>
      <c r="G28" s="447">
        <f t="shared" si="9"/>
        <v>6.25</v>
      </c>
      <c r="I28" s="453">
        <f t="shared" si="15"/>
        <v>154.16</v>
      </c>
      <c r="K28" s="453">
        <f t="shared" si="10"/>
        <v>163.47999999999999</v>
      </c>
      <c r="L28" s="453"/>
      <c r="M28" s="454">
        <f t="shared" si="16"/>
        <v>9.3199999999999932</v>
      </c>
      <c r="O28" s="455">
        <f t="shared" si="17"/>
        <v>0.06</v>
      </c>
      <c r="Q28" s="453">
        <f t="shared" si="13"/>
        <v>125.79</v>
      </c>
      <c r="S28" s="453">
        <f t="shared" si="14"/>
        <v>133.4</v>
      </c>
      <c r="T28" s="453"/>
      <c r="U28" s="454">
        <f t="shared" si="18"/>
        <v>7.6099999999999994</v>
      </c>
      <c r="W28" s="455">
        <f t="shared" si="19"/>
        <v>0.06</v>
      </c>
      <c r="Y28" s="425" t="s">
        <v>374</v>
      </c>
      <c r="Z28" s="476">
        <v>4.0599999999999997E-2</v>
      </c>
      <c r="AA28" s="425">
        <v>0</v>
      </c>
      <c r="AC28" s="459">
        <f>I27/$A27*100</f>
        <v>10.127142857142857</v>
      </c>
      <c r="AD28" s="459">
        <f>K27/A27*100</f>
        <v>10.739285714285714</v>
      </c>
      <c r="AE28" s="459">
        <f>Q27/$A27*100</f>
        <v>8.387142857142857</v>
      </c>
      <c r="AF28" s="459">
        <f>S27/$A27*100</f>
        <v>8.894285714285715</v>
      </c>
    </row>
    <row r="29" spans="1:32">
      <c r="A29" s="435">
        <v>2000</v>
      </c>
      <c r="C29" s="447">
        <f t="shared" si="7"/>
        <v>3.75</v>
      </c>
      <c r="E29" s="447">
        <f t="shared" si="8"/>
        <v>10</v>
      </c>
      <c r="G29" s="447">
        <f t="shared" si="9"/>
        <v>6.25</v>
      </c>
      <c r="I29" s="453">
        <f t="shared" si="15"/>
        <v>216.06</v>
      </c>
      <c r="K29" s="453">
        <f t="shared" si="10"/>
        <v>229.12</v>
      </c>
      <c r="L29" s="453"/>
      <c r="M29" s="454">
        <f t="shared" si="16"/>
        <v>13.060000000000002</v>
      </c>
      <c r="O29" s="455">
        <f t="shared" si="17"/>
        <v>0.06</v>
      </c>
      <c r="Q29" s="453">
        <f t="shared" si="13"/>
        <v>167.65</v>
      </c>
      <c r="S29" s="453">
        <f t="shared" si="14"/>
        <v>177.78</v>
      </c>
      <c r="T29" s="453"/>
      <c r="U29" s="454">
        <f t="shared" si="18"/>
        <v>10.129999999999995</v>
      </c>
      <c r="W29" s="455">
        <f t="shared" si="19"/>
        <v>0.06</v>
      </c>
      <c r="Y29" s="425" t="s">
        <v>453</v>
      </c>
      <c r="Z29" s="476">
        <v>1.49E-2</v>
      </c>
      <c r="AA29" s="477">
        <f>Z29</f>
        <v>1.49E-2</v>
      </c>
      <c r="AC29" s="459">
        <f>I28/$A28*100</f>
        <v>10.277333333333333</v>
      </c>
      <c r="AD29" s="459">
        <f>K28/A28*100</f>
        <v>10.898666666666665</v>
      </c>
      <c r="AE29" s="459">
        <f>Q28/$A28*100</f>
        <v>8.386000000000001</v>
      </c>
      <c r="AF29" s="459">
        <f>S28/$A28*100</f>
        <v>8.8933333333333344</v>
      </c>
    </row>
    <row r="30" spans="1:32">
      <c r="A30" s="435">
        <v>3000</v>
      </c>
      <c r="C30" s="447">
        <f t="shared" si="7"/>
        <v>3.75</v>
      </c>
      <c r="E30" s="447">
        <f t="shared" si="8"/>
        <v>10</v>
      </c>
      <c r="G30" s="447">
        <f t="shared" si="9"/>
        <v>6.25</v>
      </c>
      <c r="I30" s="453">
        <f t="shared" si="15"/>
        <v>339.85</v>
      </c>
      <c r="K30" s="453">
        <f t="shared" si="10"/>
        <v>360.41</v>
      </c>
      <c r="L30" s="453"/>
      <c r="M30" s="454">
        <f t="shared" si="16"/>
        <v>20.560000000000002</v>
      </c>
      <c r="O30" s="455">
        <f t="shared" si="17"/>
        <v>0.06</v>
      </c>
      <c r="Q30" s="453">
        <f t="shared" si="13"/>
        <v>251.36</v>
      </c>
      <c r="S30" s="453">
        <f t="shared" si="14"/>
        <v>266.56</v>
      </c>
      <c r="T30" s="453"/>
      <c r="U30" s="454">
        <f t="shared" si="18"/>
        <v>15.199999999999989</v>
      </c>
      <c r="W30" s="455">
        <f t="shared" si="19"/>
        <v>0.06</v>
      </c>
      <c r="Y30" s="425" t="s">
        <v>454</v>
      </c>
      <c r="Z30" s="476">
        <v>-2.2800000000000001E-2</v>
      </c>
      <c r="AA30" s="477">
        <f>Z30</f>
        <v>-2.2800000000000001E-2</v>
      </c>
      <c r="AC30" s="459"/>
      <c r="AD30" s="459"/>
      <c r="AE30" s="459"/>
      <c r="AF30" s="459"/>
    </row>
    <row r="31" spans="1:32">
      <c r="A31" s="435">
        <v>4000</v>
      </c>
      <c r="C31" s="447">
        <f t="shared" si="7"/>
        <v>3.75</v>
      </c>
      <c r="E31" s="447">
        <f t="shared" si="8"/>
        <v>10</v>
      </c>
      <c r="G31" s="447">
        <f t="shared" si="9"/>
        <v>6.25</v>
      </c>
      <c r="I31" s="453">
        <f t="shared" si="15"/>
        <v>463.64</v>
      </c>
      <c r="K31" s="453">
        <f t="shared" si="10"/>
        <v>491.69</v>
      </c>
      <c r="L31" s="453"/>
      <c r="M31" s="454">
        <f t="shared" si="16"/>
        <v>28.050000000000011</v>
      </c>
      <c r="O31" s="455">
        <f t="shared" si="17"/>
        <v>0.06</v>
      </c>
      <c r="Q31" s="453">
        <f t="shared" si="13"/>
        <v>335.07</v>
      </c>
      <c r="S31" s="453">
        <f t="shared" si="14"/>
        <v>355.34</v>
      </c>
      <c r="T31" s="453"/>
      <c r="U31" s="454">
        <f t="shared" si="18"/>
        <v>20.269999999999982</v>
      </c>
      <c r="W31" s="455">
        <f t="shared" si="19"/>
        <v>0.06</v>
      </c>
      <c r="Y31" s="423" t="s">
        <v>455</v>
      </c>
      <c r="Z31" s="476">
        <f>SUM(Z28:Z30)</f>
        <v>3.2699999999999993E-2</v>
      </c>
      <c r="AA31" s="477">
        <f>SUM(AA28:AA30)</f>
        <v>-7.9000000000000008E-3</v>
      </c>
      <c r="AC31" s="459">
        <f>I29/$A29*100</f>
        <v>10.803000000000001</v>
      </c>
      <c r="AD31" s="459">
        <f>K29/A29*100</f>
        <v>11.456000000000001</v>
      </c>
      <c r="AE31" s="459">
        <f>Q29/$A29*100</f>
        <v>8.3825000000000003</v>
      </c>
      <c r="AF31" s="459">
        <f>S29/$A29*100</f>
        <v>8.8889999999999993</v>
      </c>
    </row>
    <row r="32" spans="1:32">
      <c r="A32" s="435">
        <v>5000</v>
      </c>
      <c r="C32" s="447">
        <f t="shared" si="7"/>
        <v>3.75</v>
      </c>
      <c r="E32" s="447">
        <f t="shared" si="8"/>
        <v>10</v>
      </c>
      <c r="G32" s="447">
        <f t="shared" si="9"/>
        <v>6.25</v>
      </c>
      <c r="I32" s="453">
        <f t="shared" si="15"/>
        <v>587.42999999999995</v>
      </c>
      <c r="K32" s="453">
        <f t="shared" si="10"/>
        <v>622.98</v>
      </c>
      <c r="L32" s="453"/>
      <c r="M32" s="454">
        <f t="shared" si="16"/>
        <v>35.550000000000068</v>
      </c>
      <c r="O32" s="455">
        <f t="shared" si="17"/>
        <v>6.0999999999999999E-2</v>
      </c>
      <c r="Q32" s="453">
        <f t="shared" si="13"/>
        <v>418.78</v>
      </c>
      <c r="S32" s="453">
        <f t="shared" si="14"/>
        <v>444.12</v>
      </c>
      <c r="T32" s="453"/>
      <c r="U32" s="454">
        <f t="shared" si="18"/>
        <v>25.340000000000032</v>
      </c>
      <c r="W32" s="455">
        <f t="shared" si="19"/>
        <v>6.0999999999999999E-2</v>
      </c>
      <c r="AC32" s="459">
        <f>I30/$A30*100</f>
        <v>11.328333333333335</v>
      </c>
      <c r="AD32" s="459">
        <f>K30/A30*100</f>
        <v>12.013666666666667</v>
      </c>
      <c r="AE32" s="459">
        <f>Q30/$A30*100</f>
        <v>8.3786666666666676</v>
      </c>
      <c r="AF32" s="459">
        <f>S30/$A30*100</f>
        <v>8.8853333333333335</v>
      </c>
    </row>
    <row r="33" spans="1:36">
      <c r="X33" s="478"/>
      <c r="AC33" s="459">
        <f>I31/$A31*100</f>
        <v>11.590999999999999</v>
      </c>
      <c r="AD33" s="459">
        <f>K31/A31*100</f>
        <v>12.292250000000001</v>
      </c>
      <c r="AE33" s="459">
        <f>Q31/$A31*100</f>
        <v>8.3767499999999995</v>
      </c>
      <c r="AF33" s="459">
        <f>S31/$A31*100</f>
        <v>8.8834999999999997</v>
      </c>
    </row>
    <row r="34" spans="1:36">
      <c r="Y34" s="479"/>
      <c r="Z34" s="423"/>
      <c r="AA34" s="423"/>
      <c r="AC34" s="459">
        <f>I32/$A32*100</f>
        <v>11.7486</v>
      </c>
      <c r="AD34" s="459">
        <f>K32/A32*100</f>
        <v>12.4596</v>
      </c>
      <c r="AE34" s="459">
        <f>Q32/$A32*100</f>
        <v>8.3756000000000004</v>
      </c>
      <c r="AF34" s="459">
        <f>S32/$A32*100</f>
        <v>8.8824000000000005</v>
      </c>
    </row>
    <row r="35" spans="1:36" ht="15.75">
      <c r="A35" s="480" t="s">
        <v>456</v>
      </c>
      <c r="Y35" s="423"/>
      <c r="Z35" s="423"/>
      <c r="AA35" s="423"/>
      <c r="AC35" s="481"/>
      <c r="AD35" s="430"/>
    </row>
    <row r="36" spans="1:36">
      <c r="A36" s="435" t="s">
        <v>457</v>
      </c>
      <c r="Y36" s="423"/>
      <c r="Z36" s="423"/>
      <c r="AA36" s="423"/>
      <c r="AC36" s="481"/>
      <c r="AD36" s="430"/>
    </row>
    <row r="37" spans="1:36" ht="15.75">
      <c r="A37" s="480"/>
      <c r="AD37" s="482" t="s">
        <v>83</v>
      </c>
      <c r="AE37" s="483"/>
      <c r="AF37" s="483"/>
      <c r="AG37" s="484" t="s">
        <v>19</v>
      </c>
      <c r="AH37" s="485"/>
      <c r="AI37" s="483" t="s">
        <v>81</v>
      </c>
      <c r="AJ37" s="486" t="s">
        <v>458</v>
      </c>
    </row>
    <row r="38" spans="1:36">
      <c r="A38" s="746"/>
      <c r="B38" s="423"/>
      <c r="C38" s="423"/>
      <c r="D38" s="423"/>
      <c r="E38" s="423"/>
      <c r="F38" s="423"/>
      <c r="G38" s="423"/>
      <c r="H38" s="423"/>
      <c r="I38" s="430"/>
      <c r="J38" s="423"/>
      <c r="K38" s="430"/>
      <c r="L38" s="423"/>
      <c r="M38" s="469"/>
      <c r="N38" s="423"/>
      <c r="O38" s="423"/>
      <c r="Z38" s="463"/>
      <c r="AA38" s="463"/>
      <c r="AC38" s="423"/>
      <c r="AD38" s="487" t="s">
        <v>85</v>
      </c>
      <c r="AE38" s="487" t="s">
        <v>81</v>
      </c>
      <c r="AF38" s="487" t="s">
        <v>8</v>
      </c>
      <c r="AG38" s="488" t="s">
        <v>86</v>
      </c>
      <c r="AH38" s="489" t="s">
        <v>48</v>
      </c>
      <c r="AI38" s="490" t="s">
        <v>21</v>
      </c>
      <c r="AJ38" s="490" t="s">
        <v>21</v>
      </c>
    </row>
    <row r="39" spans="1:36">
      <c r="A39" s="746"/>
      <c r="B39" s="423"/>
      <c r="C39" s="423"/>
      <c r="D39" s="423"/>
      <c r="E39" s="423"/>
      <c r="F39" s="423"/>
      <c r="G39" s="423"/>
      <c r="H39" s="423"/>
      <c r="I39" s="432"/>
      <c r="J39" s="747"/>
      <c r="K39" s="505"/>
      <c r="L39" s="422"/>
      <c r="M39" s="748"/>
      <c r="N39" s="422"/>
      <c r="O39" s="422"/>
      <c r="Z39" s="491"/>
      <c r="AC39" s="492" t="s">
        <v>438</v>
      </c>
      <c r="AD39" s="493">
        <f>'Exhibit RMP-(WRG-5)'!R25</f>
        <v>841.24320703199294</v>
      </c>
      <c r="AE39" s="494">
        <f>I21</f>
        <v>76.459999999999994</v>
      </c>
      <c r="AF39" s="494">
        <f>K21</f>
        <v>81.08</v>
      </c>
      <c r="AG39" s="494">
        <f>AF39-AE39</f>
        <v>4.6200000000000045</v>
      </c>
      <c r="AH39" s="495">
        <f>AF39/AE39-1</f>
        <v>6.0423750980905133E-2</v>
      </c>
      <c r="AI39" s="492">
        <f t="shared" ref="AI39:AJ41" si="20">ROUND(AE39/$AD39*100,2)</f>
        <v>9.09</v>
      </c>
      <c r="AJ39" s="496">
        <f t="shared" si="20"/>
        <v>9.64</v>
      </c>
    </row>
    <row r="40" spans="1:36">
      <c r="A40" s="746"/>
      <c r="B40" s="423"/>
      <c r="C40" s="423"/>
      <c r="D40" s="423"/>
      <c r="E40" s="423"/>
      <c r="F40" s="423"/>
      <c r="G40" s="423"/>
      <c r="H40" s="423"/>
      <c r="I40" s="505"/>
      <c r="J40" s="422"/>
      <c r="K40" s="505"/>
      <c r="L40" s="423"/>
      <c r="M40" s="505"/>
      <c r="N40" s="422"/>
      <c r="O40" s="505"/>
      <c r="AC40" s="496" t="s">
        <v>439</v>
      </c>
      <c r="AD40" s="493">
        <f>'Exhibit RMP-(WRG-5)'!R26</f>
        <v>757.02947122148339</v>
      </c>
      <c r="AE40" s="494">
        <f>Q18</f>
        <v>63.6</v>
      </c>
      <c r="AF40" s="494">
        <f>S18</f>
        <v>67.44</v>
      </c>
      <c r="AG40" s="494">
        <f>AF40-AE40</f>
        <v>3.8399999999999963</v>
      </c>
      <c r="AH40" s="497">
        <f>AF40/AE40-1</f>
        <v>6.0377358490566024E-2</v>
      </c>
      <c r="AI40" s="498">
        <f t="shared" si="20"/>
        <v>8.4</v>
      </c>
      <c r="AJ40" s="496">
        <f t="shared" si="20"/>
        <v>8.91</v>
      </c>
    </row>
    <row r="41" spans="1:36">
      <c r="A41" s="749"/>
      <c r="B41" s="423"/>
      <c r="C41" s="423"/>
      <c r="D41" s="423"/>
      <c r="E41" s="423"/>
      <c r="F41" s="423"/>
      <c r="G41" s="423"/>
      <c r="H41" s="423"/>
      <c r="I41" s="505"/>
      <c r="J41" s="423"/>
      <c r="K41" s="750"/>
      <c r="L41" s="423"/>
      <c r="M41" s="751"/>
      <c r="N41" s="423"/>
      <c r="O41" s="532"/>
      <c r="P41" s="455"/>
      <c r="Q41" s="455"/>
      <c r="R41" s="455"/>
      <c r="S41" s="455"/>
      <c r="T41" s="455"/>
      <c r="U41" s="455"/>
      <c r="AA41" s="453"/>
      <c r="AC41" s="501" t="s">
        <v>459</v>
      </c>
      <c r="AD41" s="502">
        <f>'Exhibit RMP-(WRG-5)'!R24</f>
        <v>792.1185278091956</v>
      </c>
      <c r="AE41" s="503">
        <f>(I19*5+Q19*7)/12</f>
        <v>68.635833333333338</v>
      </c>
      <c r="AF41" s="503">
        <f>(K19*5+S19*7)/12</f>
        <v>72.774999999999991</v>
      </c>
      <c r="AG41" s="503">
        <f>AF41-AE41</f>
        <v>4.1391666666666538</v>
      </c>
      <c r="AH41" s="504">
        <f>AF41/AE41-1</f>
        <v>6.0306205456333251E-2</v>
      </c>
      <c r="AI41" s="501">
        <f t="shared" si="20"/>
        <v>8.66</v>
      </c>
      <c r="AJ41" s="501">
        <f t="shared" si="20"/>
        <v>9.19</v>
      </c>
    </row>
    <row r="42" spans="1:36">
      <c r="A42" s="746"/>
      <c r="B42" s="423"/>
      <c r="C42" s="423"/>
      <c r="D42" s="423"/>
      <c r="E42" s="423"/>
      <c r="F42" s="423"/>
      <c r="G42" s="423"/>
      <c r="H42" s="423"/>
      <c r="I42" s="430"/>
      <c r="J42" s="423"/>
      <c r="K42" s="430"/>
      <c r="L42" s="430"/>
      <c r="M42" s="752"/>
      <c r="N42" s="423"/>
      <c r="O42" s="753"/>
      <c r="P42" s="455"/>
      <c r="Q42" s="455"/>
      <c r="R42" s="455"/>
      <c r="S42" s="455"/>
      <c r="T42" s="455"/>
      <c r="U42" s="455"/>
      <c r="AA42" s="453"/>
      <c r="AC42" s="423"/>
      <c r="AD42" s="423"/>
      <c r="AE42" s="423"/>
      <c r="AF42" s="423"/>
      <c r="AG42" s="423"/>
      <c r="AH42" s="423"/>
      <c r="AI42" s="423"/>
      <c r="AJ42" s="423"/>
    </row>
    <row r="43" spans="1:36">
      <c r="A43" s="746"/>
      <c r="B43" s="423"/>
      <c r="C43" s="423"/>
      <c r="D43" s="423"/>
      <c r="E43" s="423"/>
      <c r="F43" s="423"/>
      <c r="G43" s="423"/>
      <c r="H43" s="423"/>
      <c r="I43" s="430"/>
      <c r="J43" s="423"/>
      <c r="K43" s="430"/>
      <c r="L43" s="430"/>
      <c r="M43" s="752"/>
      <c r="N43" s="423"/>
      <c r="O43" s="753"/>
      <c r="P43" s="455"/>
      <c r="Q43" s="455"/>
      <c r="R43" s="455"/>
      <c r="S43" s="455"/>
      <c r="T43" s="455"/>
      <c r="U43" s="455"/>
    </row>
    <row r="44" spans="1:36">
      <c r="A44" s="746"/>
      <c r="B44" s="423"/>
      <c r="C44" s="423"/>
      <c r="D44" s="423"/>
      <c r="E44" s="423"/>
      <c r="F44" s="423"/>
      <c r="G44" s="423"/>
      <c r="H44" s="423"/>
      <c r="I44" s="430"/>
      <c r="J44" s="423"/>
      <c r="K44" s="430"/>
      <c r="L44" s="430"/>
      <c r="M44" s="752"/>
      <c r="N44" s="423"/>
      <c r="O44" s="753"/>
      <c r="P44" s="455"/>
      <c r="Q44" s="455"/>
      <c r="R44" s="455"/>
      <c r="S44" s="455"/>
      <c r="T44" s="455"/>
      <c r="U44" s="455"/>
    </row>
    <row r="45" spans="1:36">
      <c r="A45" s="746"/>
      <c r="B45" s="423"/>
      <c r="C45" s="423"/>
      <c r="D45" s="423"/>
      <c r="E45" s="423"/>
      <c r="F45" s="423"/>
      <c r="G45" s="423"/>
      <c r="H45" s="423"/>
      <c r="I45" s="430"/>
      <c r="J45" s="423"/>
      <c r="K45" s="430"/>
      <c r="L45" s="430"/>
      <c r="M45" s="752"/>
      <c r="N45" s="423"/>
      <c r="O45" s="753"/>
      <c r="P45" s="455"/>
      <c r="Q45" s="455"/>
      <c r="R45" s="455"/>
      <c r="S45" s="455"/>
      <c r="T45" s="455"/>
      <c r="U45" s="455"/>
    </row>
    <row r="46" spans="1:36">
      <c r="A46" s="746"/>
      <c r="B46" s="423"/>
      <c r="C46" s="423"/>
      <c r="D46" s="423"/>
      <c r="E46" s="423"/>
      <c r="F46" s="423"/>
      <c r="G46" s="423"/>
      <c r="H46" s="423"/>
      <c r="I46" s="430"/>
      <c r="J46" s="423"/>
      <c r="K46" s="430"/>
      <c r="L46" s="430"/>
      <c r="M46" s="752"/>
      <c r="N46" s="423"/>
      <c r="O46" s="753"/>
      <c r="P46" s="455"/>
      <c r="Q46" s="455"/>
      <c r="R46" s="455"/>
      <c r="S46" s="455"/>
      <c r="T46" s="455"/>
      <c r="U46" s="455"/>
    </row>
    <row r="47" spans="1:36">
      <c r="A47" s="746"/>
      <c r="B47" s="423"/>
      <c r="C47" s="423"/>
      <c r="D47" s="423"/>
      <c r="E47" s="423"/>
      <c r="F47" s="423"/>
      <c r="G47" s="423"/>
      <c r="H47" s="423"/>
      <c r="I47" s="430"/>
      <c r="J47" s="423"/>
      <c r="K47" s="430"/>
      <c r="L47" s="430"/>
      <c r="M47" s="752"/>
      <c r="N47" s="423"/>
      <c r="O47" s="753"/>
      <c r="P47" s="455"/>
      <c r="Q47" s="455"/>
      <c r="R47" s="455"/>
      <c r="S47" s="455"/>
      <c r="T47" s="455"/>
      <c r="U47" s="455"/>
    </row>
    <row r="48" spans="1:36">
      <c r="A48" s="746"/>
      <c r="B48" s="423"/>
      <c r="C48" s="423"/>
      <c r="D48" s="423"/>
      <c r="E48" s="423"/>
      <c r="F48" s="423"/>
      <c r="G48" s="423"/>
      <c r="H48" s="423"/>
      <c r="I48" s="430"/>
      <c r="J48" s="423"/>
      <c r="K48" s="430"/>
      <c r="L48" s="430"/>
      <c r="M48" s="752"/>
      <c r="N48" s="423"/>
      <c r="O48" s="753"/>
      <c r="P48" s="455"/>
      <c r="Q48" s="455"/>
      <c r="R48" s="455"/>
      <c r="S48" s="455"/>
      <c r="T48" s="455"/>
      <c r="U48" s="455"/>
    </row>
    <row r="49" spans="1:21">
      <c r="A49" s="746"/>
      <c r="B49" s="423"/>
      <c r="C49" s="423"/>
      <c r="D49" s="423"/>
      <c r="E49" s="423"/>
      <c r="F49" s="423"/>
      <c r="G49" s="423"/>
      <c r="H49" s="423"/>
      <c r="I49" s="430"/>
      <c r="J49" s="423"/>
      <c r="K49" s="430"/>
      <c r="L49" s="430"/>
      <c r="M49" s="752"/>
      <c r="N49" s="423"/>
      <c r="O49" s="753"/>
      <c r="P49" s="455"/>
      <c r="Q49" s="455"/>
      <c r="R49" s="455"/>
      <c r="S49" s="455"/>
      <c r="T49" s="455"/>
      <c r="U49" s="455"/>
    </row>
    <row r="50" spans="1:21">
      <c r="A50" s="746"/>
      <c r="B50" s="423"/>
      <c r="C50" s="423"/>
      <c r="D50" s="423"/>
      <c r="E50" s="423"/>
      <c r="F50" s="423"/>
      <c r="G50" s="423"/>
      <c r="H50" s="423"/>
      <c r="I50" s="430"/>
      <c r="J50" s="423"/>
      <c r="K50" s="430"/>
      <c r="L50" s="430"/>
      <c r="M50" s="752"/>
      <c r="N50" s="423"/>
      <c r="O50" s="753"/>
      <c r="P50" s="455"/>
      <c r="Q50" s="455"/>
      <c r="R50" s="455"/>
      <c r="S50" s="455"/>
      <c r="T50" s="455"/>
      <c r="U50" s="455"/>
    </row>
    <row r="51" spans="1:21">
      <c r="A51" s="746"/>
      <c r="B51" s="423"/>
      <c r="C51" s="423"/>
      <c r="D51" s="423"/>
      <c r="E51" s="423"/>
      <c r="F51" s="423"/>
      <c r="G51" s="423"/>
      <c r="H51" s="423"/>
      <c r="I51" s="430"/>
      <c r="J51" s="423"/>
      <c r="K51" s="430"/>
      <c r="L51" s="430"/>
      <c r="M51" s="752"/>
      <c r="N51" s="423"/>
      <c r="O51" s="753"/>
      <c r="P51" s="455"/>
      <c r="Q51" s="455"/>
      <c r="R51" s="455"/>
      <c r="S51" s="455"/>
      <c r="T51" s="455"/>
      <c r="U51" s="455"/>
    </row>
    <row r="52" spans="1:21">
      <c r="A52" s="746"/>
      <c r="B52" s="423"/>
      <c r="C52" s="423"/>
      <c r="D52" s="423"/>
      <c r="E52" s="423"/>
      <c r="F52" s="423"/>
      <c r="G52" s="423"/>
      <c r="H52" s="423"/>
      <c r="I52" s="430"/>
      <c r="J52" s="423"/>
      <c r="K52" s="430"/>
      <c r="L52" s="430"/>
      <c r="M52" s="752"/>
      <c r="N52" s="423"/>
      <c r="O52" s="753"/>
      <c r="P52" s="455"/>
      <c r="Q52" s="455"/>
      <c r="R52" s="455"/>
      <c r="S52" s="455"/>
      <c r="T52" s="455"/>
      <c r="U52" s="455"/>
    </row>
    <row r="53" spans="1:21">
      <c r="A53" s="746"/>
      <c r="B53" s="423"/>
      <c r="C53" s="423"/>
      <c r="D53" s="423"/>
      <c r="E53" s="423"/>
      <c r="F53" s="423"/>
      <c r="G53" s="423"/>
      <c r="H53" s="423"/>
      <c r="I53" s="430"/>
      <c r="J53" s="423"/>
      <c r="K53" s="430"/>
      <c r="L53" s="430"/>
      <c r="M53" s="752"/>
      <c r="N53" s="423"/>
      <c r="O53" s="753"/>
      <c r="P53" s="455"/>
      <c r="Q53" s="455"/>
      <c r="R53" s="455"/>
      <c r="S53" s="455"/>
      <c r="T53" s="455"/>
      <c r="U53" s="455"/>
    </row>
    <row r="54" spans="1:21">
      <c r="A54" s="746"/>
      <c r="B54" s="423"/>
      <c r="C54" s="423"/>
      <c r="D54" s="423"/>
      <c r="E54" s="423"/>
      <c r="F54" s="423"/>
      <c r="G54" s="423"/>
      <c r="H54" s="423"/>
      <c r="I54" s="430"/>
      <c r="J54" s="423"/>
      <c r="K54" s="430"/>
      <c r="L54" s="430"/>
      <c r="M54" s="752"/>
      <c r="N54" s="423"/>
      <c r="O54" s="753"/>
      <c r="P54" s="455"/>
      <c r="Q54" s="455"/>
      <c r="R54" s="455"/>
      <c r="S54" s="455"/>
      <c r="T54" s="455"/>
      <c r="U54" s="455"/>
    </row>
    <row r="55" spans="1:21">
      <c r="A55" s="746"/>
      <c r="B55" s="423"/>
      <c r="C55" s="423"/>
      <c r="D55" s="423"/>
      <c r="E55" s="423"/>
      <c r="F55" s="423"/>
      <c r="G55" s="423"/>
      <c r="H55" s="423"/>
      <c r="I55" s="430"/>
      <c r="J55" s="423"/>
      <c r="K55" s="430"/>
      <c r="L55" s="430"/>
      <c r="M55" s="752"/>
      <c r="N55" s="423"/>
      <c r="O55" s="753"/>
      <c r="P55" s="455"/>
      <c r="Q55" s="455"/>
      <c r="R55" s="455"/>
      <c r="S55" s="455"/>
      <c r="T55" s="455"/>
      <c r="U55" s="455"/>
    </row>
    <row r="56" spans="1:21">
      <c r="A56" s="746"/>
      <c r="B56" s="423"/>
      <c r="C56" s="423"/>
      <c r="D56" s="423"/>
      <c r="E56" s="423"/>
      <c r="F56" s="423"/>
      <c r="G56" s="423"/>
      <c r="H56" s="423"/>
      <c r="I56" s="430"/>
      <c r="J56" s="423"/>
      <c r="K56" s="430"/>
      <c r="L56" s="430"/>
      <c r="M56" s="752"/>
      <c r="N56" s="423"/>
      <c r="O56" s="753"/>
      <c r="P56" s="455"/>
      <c r="Q56" s="455"/>
      <c r="R56" s="455"/>
      <c r="S56" s="455"/>
      <c r="T56" s="455"/>
      <c r="U56" s="455"/>
    </row>
    <row r="57" spans="1:21">
      <c r="A57" s="746"/>
      <c r="B57" s="423"/>
      <c r="C57" s="423"/>
      <c r="D57" s="423"/>
      <c r="E57" s="423"/>
      <c r="F57" s="423"/>
      <c r="G57" s="423"/>
      <c r="H57" s="423"/>
      <c r="I57" s="430"/>
      <c r="J57" s="423"/>
      <c r="K57" s="430"/>
      <c r="L57" s="430"/>
      <c r="M57" s="752"/>
      <c r="N57" s="423"/>
      <c r="O57" s="753"/>
      <c r="P57" s="455"/>
      <c r="Q57" s="455"/>
      <c r="R57" s="455"/>
      <c r="S57" s="455"/>
      <c r="T57" s="455"/>
      <c r="U57" s="455"/>
    </row>
    <row r="58" spans="1:21">
      <c r="A58" s="746"/>
      <c r="B58" s="423"/>
      <c r="C58" s="423"/>
      <c r="D58" s="423"/>
      <c r="E58" s="423"/>
      <c r="F58" s="423"/>
      <c r="G58" s="423"/>
      <c r="H58" s="423"/>
      <c r="I58" s="430"/>
      <c r="J58" s="423"/>
      <c r="K58" s="430"/>
      <c r="L58" s="430"/>
      <c r="M58" s="752"/>
      <c r="N58" s="423"/>
      <c r="O58" s="753"/>
      <c r="P58" s="455"/>
      <c r="Q58" s="455"/>
      <c r="R58" s="455"/>
      <c r="S58" s="455"/>
      <c r="T58" s="455"/>
      <c r="U58" s="455"/>
    </row>
    <row r="59" spans="1:21">
      <c r="A59" s="746"/>
      <c r="B59" s="423"/>
      <c r="C59" s="423"/>
      <c r="D59" s="423"/>
      <c r="E59" s="423"/>
      <c r="F59" s="423"/>
      <c r="G59" s="423"/>
      <c r="H59" s="423"/>
      <c r="I59" s="430"/>
      <c r="J59" s="423"/>
      <c r="K59" s="430"/>
      <c r="L59" s="430"/>
      <c r="M59" s="752"/>
      <c r="N59" s="423"/>
      <c r="O59" s="753"/>
      <c r="P59" s="455"/>
      <c r="Q59" s="455"/>
      <c r="R59" s="455"/>
      <c r="S59" s="455"/>
      <c r="T59" s="455"/>
      <c r="U59" s="455"/>
    </row>
    <row r="60" spans="1:21">
      <c r="A60" s="746"/>
      <c r="B60" s="423"/>
      <c r="C60" s="423"/>
      <c r="D60" s="423"/>
      <c r="E60" s="423"/>
      <c r="F60" s="423"/>
      <c r="G60" s="423"/>
      <c r="H60" s="423"/>
      <c r="I60" s="430"/>
      <c r="J60" s="423"/>
      <c r="K60" s="430"/>
      <c r="L60" s="430"/>
      <c r="M60" s="752"/>
      <c r="N60" s="423"/>
      <c r="O60" s="753"/>
      <c r="P60" s="455"/>
      <c r="Q60" s="455"/>
      <c r="R60" s="455"/>
      <c r="S60" s="455"/>
      <c r="T60" s="455"/>
      <c r="U60" s="455"/>
    </row>
    <row r="61" spans="1:21">
      <c r="A61" s="746"/>
      <c r="B61" s="423"/>
      <c r="C61" s="423"/>
      <c r="D61" s="423"/>
      <c r="E61" s="423"/>
      <c r="F61" s="423"/>
      <c r="G61" s="423"/>
      <c r="H61" s="423"/>
      <c r="I61" s="430"/>
      <c r="J61" s="423"/>
      <c r="K61" s="430"/>
      <c r="L61" s="430"/>
      <c r="M61" s="752"/>
      <c r="N61" s="423"/>
      <c r="O61" s="753"/>
      <c r="P61" s="455"/>
      <c r="Q61" s="455"/>
      <c r="R61" s="455"/>
      <c r="S61" s="455"/>
      <c r="T61" s="455"/>
      <c r="U61" s="455"/>
    </row>
    <row r="62" spans="1:21">
      <c r="A62" s="746"/>
      <c r="B62" s="423"/>
      <c r="C62" s="423"/>
      <c r="D62" s="423"/>
      <c r="E62" s="423"/>
      <c r="F62" s="423"/>
      <c r="G62" s="423"/>
      <c r="H62" s="423"/>
      <c r="I62" s="430"/>
      <c r="J62" s="423"/>
      <c r="K62" s="430"/>
      <c r="L62" s="430"/>
      <c r="M62" s="752"/>
      <c r="N62" s="423"/>
      <c r="O62" s="753"/>
      <c r="P62" s="455"/>
      <c r="Q62" s="455"/>
      <c r="R62" s="455"/>
      <c r="S62" s="455"/>
      <c r="T62" s="455"/>
      <c r="U62" s="455"/>
    </row>
    <row r="63" spans="1:21">
      <c r="A63" s="746"/>
      <c r="B63" s="423"/>
      <c r="C63" s="423"/>
      <c r="D63" s="423"/>
      <c r="E63" s="423"/>
      <c r="F63" s="423"/>
      <c r="G63" s="423"/>
      <c r="H63" s="423"/>
      <c r="I63" s="430"/>
      <c r="J63" s="423"/>
      <c r="K63" s="430"/>
      <c r="L63" s="430"/>
      <c r="M63" s="752"/>
      <c r="N63" s="423"/>
      <c r="O63" s="753"/>
    </row>
  </sheetData>
  <phoneticPr fontId="67" type="noConversion"/>
  <printOptions horizontalCentered="1"/>
  <pageMargins left="0.75" right="0.75" top="1" bottom="0.5" header="0.5" footer="0.2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60" zoomScaleNormal="75" workbookViewId="0">
      <selection activeCell="C71" sqref="C71"/>
    </sheetView>
  </sheetViews>
  <sheetFormatPr defaultColWidth="8" defaultRowHeight="12.75"/>
  <cols>
    <col min="1" max="1" width="8" style="435" customWidth="1"/>
    <col min="2" max="2" width="1.125" style="435" customWidth="1"/>
    <col min="3" max="3" width="6.75" style="435" bestFit="1" customWidth="1"/>
    <col min="4" max="4" width="0.875" style="425" customWidth="1"/>
    <col min="5" max="5" width="8.875" style="453" bestFit="1" customWidth="1"/>
    <col min="6" max="6" width="1" style="425" customWidth="1"/>
    <col min="7" max="7" width="9" style="453" bestFit="1" customWidth="1"/>
    <col min="8" max="8" width="1.25" style="425" customWidth="1"/>
    <col min="9" max="9" width="7.625" style="425" bestFit="1" customWidth="1"/>
    <col min="10" max="10" width="0.875" style="425" customWidth="1"/>
    <col min="11" max="11" width="5.625" style="425" bestFit="1" customWidth="1"/>
    <col min="12" max="12" width="1.75" style="425" customWidth="1"/>
    <col min="13" max="13" width="8.875" style="453" bestFit="1" customWidth="1"/>
    <col min="14" max="14" width="0.875" style="425" customWidth="1"/>
    <col min="15" max="15" width="9" style="453" bestFit="1" customWidth="1"/>
    <col min="16" max="16" width="0.875" style="425" customWidth="1"/>
    <col min="17" max="17" width="8" style="425" bestFit="1" customWidth="1"/>
    <col min="18" max="18" width="0.75" style="425" customWidth="1"/>
    <col min="19" max="19" width="5.625" style="425" bestFit="1" customWidth="1"/>
    <col min="20" max="20" width="2.5" style="425" customWidth="1"/>
    <col min="21" max="21" width="10.625" style="425" bestFit="1" customWidth="1"/>
    <col min="22" max="22" width="7.125" style="425" bestFit="1" customWidth="1"/>
    <col min="23" max="23" width="11.125" style="425" bestFit="1" customWidth="1"/>
    <col min="24" max="16384" width="8" style="425"/>
  </cols>
  <sheetData>
    <row r="1" spans="1:25" ht="16.5">
      <c r="A1" s="418" t="s">
        <v>1</v>
      </c>
      <c r="B1" s="418"/>
      <c r="C1" s="418"/>
      <c r="D1" s="419"/>
      <c r="E1" s="420"/>
      <c r="F1" s="419"/>
      <c r="G1" s="420"/>
      <c r="H1" s="419"/>
      <c r="I1" s="419"/>
      <c r="J1" s="419"/>
      <c r="K1" s="419"/>
      <c r="L1" s="419"/>
      <c r="M1" s="420"/>
      <c r="N1" s="419"/>
      <c r="O1" s="420"/>
      <c r="P1" s="419"/>
      <c r="Q1" s="419"/>
      <c r="R1" s="419"/>
      <c r="S1" s="419"/>
    </row>
    <row r="2" spans="1:25" ht="16.5">
      <c r="A2" s="418" t="s">
        <v>432</v>
      </c>
      <c r="B2" s="418"/>
      <c r="C2" s="418"/>
      <c r="D2" s="419"/>
      <c r="E2" s="420"/>
      <c r="F2" s="419"/>
      <c r="G2" s="420"/>
      <c r="H2" s="419"/>
      <c r="I2" s="419"/>
      <c r="J2" s="419"/>
      <c r="K2" s="419"/>
      <c r="L2" s="419"/>
      <c r="M2" s="420"/>
      <c r="N2" s="419"/>
      <c r="O2" s="420"/>
      <c r="P2" s="419"/>
      <c r="Q2" s="419"/>
      <c r="R2" s="419"/>
      <c r="S2" s="419"/>
    </row>
    <row r="3" spans="1:25" ht="16.5">
      <c r="A3" s="418" t="s">
        <v>460</v>
      </c>
      <c r="B3" s="418"/>
      <c r="C3" s="418"/>
      <c r="D3" s="419"/>
      <c r="E3" s="420"/>
      <c r="F3" s="419"/>
      <c r="G3" s="420"/>
      <c r="H3" s="419"/>
      <c r="I3" s="419"/>
      <c r="J3" s="419"/>
      <c r="K3" s="419"/>
      <c r="L3" s="419"/>
      <c r="M3" s="420"/>
      <c r="N3" s="419"/>
      <c r="O3" s="420"/>
      <c r="P3" s="419"/>
      <c r="Q3" s="419"/>
      <c r="R3" s="419"/>
      <c r="S3" s="419"/>
    </row>
    <row r="4" spans="1:25" ht="16.5">
      <c r="A4" s="418" t="s">
        <v>461</v>
      </c>
      <c r="B4" s="418"/>
      <c r="C4" s="418"/>
      <c r="D4" s="419"/>
      <c r="E4" s="420"/>
      <c r="F4" s="419"/>
      <c r="G4" s="420"/>
      <c r="H4" s="419"/>
      <c r="I4" s="419"/>
      <c r="J4" s="419"/>
      <c r="K4" s="419"/>
      <c r="L4" s="419"/>
      <c r="M4" s="420"/>
      <c r="N4" s="419"/>
      <c r="O4" s="420"/>
      <c r="P4" s="419"/>
      <c r="Q4" s="419"/>
      <c r="R4" s="419"/>
      <c r="S4" s="419"/>
    </row>
    <row r="5" spans="1:25">
      <c r="A5" s="428"/>
      <c r="B5" s="428"/>
      <c r="C5" s="428"/>
      <c r="D5" s="419"/>
      <c r="E5" s="420"/>
      <c r="F5" s="419"/>
      <c r="G5" s="420"/>
      <c r="H5" s="419"/>
      <c r="J5" s="419"/>
      <c r="L5" s="419"/>
      <c r="M5" s="420"/>
      <c r="N5" s="419"/>
      <c r="O5" s="420"/>
      <c r="P5" s="419"/>
      <c r="R5" s="419"/>
    </row>
    <row r="6" spans="1:25" ht="17.25">
      <c r="A6" s="429"/>
      <c r="B6" s="422"/>
      <c r="C6" s="423"/>
      <c r="D6" s="423"/>
      <c r="E6" s="432"/>
      <c r="F6" s="431"/>
      <c r="G6" s="432"/>
      <c r="H6" s="431"/>
      <c r="I6" s="431"/>
      <c r="J6" s="431"/>
      <c r="K6" s="431"/>
      <c r="L6" s="423"/>
      <c r="M6" s="432"/>
      <c r="N6" s="431"/>
      <c r="O6" s="432"/>
      <c r="P6" s="431"/>
      <c r="Q6" s="431"/>
      <c r="R6" s="431"/>
      <c r="S6" s="431"/>
    </row>
    <row r="7" spans="1:25">
      <c r="E7" s="505"/>
      <c r="F7" s="422"/>
      <c r="G7" s="505"/>
      <c r="H7" s="423"/>
      <c r="I7" s="1116"/>
      <c r="J7" s="1116"/>
      <c r="K7" s="1116"/>
      <c r="L7" s="423"/>
      <c r="M7" s="505"/>
      <c r="N7" s="422"/>
      <c r="O7" s="505"/>
      <c r="P7" s="423"/>
      <c r="Q7" s="1116"/>
      <c r="R7" s="1116"/>
      <c r="S7" s="1116"/>
    </row>
    <row r="8" spans="1:25">
      <c r="E8" s="436" t="s">
        <v>438</v>
      </c>
      <c r="F8" s="445"/>
      <c r="G8" s="438"/>
      <c r="H8" s="437"/>
      <c r="I8" s="446"/>
      <c r="J8" s="437"/>
      <c r="K8" s="437"/>
      <c r="M8" s="436" t="s">
        <v>439</v>
      </c>
      <c r="N8" s="445"/>
      <c r="O8" s="438"/>
      <c r="P8" s="437"/>
      <c r="Q8" s="446"/>
      <c r="R8" s="437"/>
      <c r="S8" s="437"/>
    </row>
    <row r="9" spans="1:25" ht="15.75">
      <c r="A9" s="506" t="s">
        <v>462</v>
      </c>
      <c r="E9" s="438" t="s">
        <v>463</v>
      </c>
      <c r="F9" s="437"/>
      <c r="G9" s="438"/>
      <c r="I9" s="438" t="s">
        <v>19</v>
      </c>
      <c r="J9" s="437"/>
      <c r="K9" s="438"/>
      <c r="M9" s="438" t="s">
        <v>463</v>
      </c>
      <c r="N9" s="437"/>
      <c r="O9" s="438"/>
      <c r="Q9" s="438" t="s">
        <v>19</v>
      </c>
      <c r="R9" s="437"/>
      <c r="S9" s="438"/>
    </row>
    <row r="10" spans="1:25">
      <c r="A10" s="500" t="s">
        <v>464</v>
      </c>
      <c r="B10" s="507"/>
      <c r="C10" s="508" t="s">
        <v>85</v>
      </c>
      <c r="E10" s="442" t="s">
        <v>81</v>
      </c>
      <c r="G10" s="499" t="s">
        <v>8</v>
      </c>
      <c r="I10" s="451" t="s">
        <v>86</v>
      </c>
      <c r="K10" s="500" t="s">
        <v>48</v>
      </c>
      <c r="M10" s="442" t="s">
        <v>81</v>
      </c>
      <c r="O10" s="499" t="s">
        <v>8</v>
      </c>
      <c r="Q10" s="451" t="s">
        <v>86</v>
      </c>
      <c r="S10" s="500" t="s">
        <v>48</v>
      </c>
    </row>
    <row r="11" spans="1:25" ht="18" customHeight="1">
      <c r="A11" s="509" t="s">
        <v>465</v>
      </c>
      <c r="C11" s="435">
        <v>200</v>
      </c>
      <c r="E11" s="453">
        <f>ROUND($V$13+(MIN(1500,$C11)*$V$16/100+MAX(0,$C11-1500)*$V$17/100)*(1+$V$33)*(1+$V$19)+$V$18,2)</f>
        <v>29.58</v>
      </c>
      <c r="G11" s="453">
        <f>ROUND($W$13+(MIN(1500,$C11)*$W$16/100+MAX(0,$C11-1500)*$W$17/100)*(1+$W$33)*(1+$W$19)+$W$18,2)</f>
        <v>33.94</v>
      </c>
      <c r="I11" s="447">
        <f>IF(G11="","",G11-E11)</f>
        <v>4.3599999999999994</v>
      </c>
      <c r="K11" s="455">
        <f>IF(E11="","",G11/E11-1)</f>
        <v>0.147396889790399</v>
      </c>
      <c r="M11" s="453">
        <f>ROUND($V$21+(MIN(1500,$C11)*$V$24/100+MAX(0,$C11-1500)*$V$25/100)*(1+$V$33)*(1+$V$27)+$V$26,2)</f>
        <v>27.89</v>
      </c>
      <c r="O11" s="453">
        <f>ROUND($W$21+(MIN(1500,$C11)*$W$24/100+MAX(0,$C11-1500)*$W$25/100)*(1+$W$33)*(1+$W$27)+$W$26,2)</f>
        <v>32.07</v>
      </c>
      <c r="Q11" s="447">
        <f t="shared" ref="Q11:Q18" si="0">IF(O11="","",O11-M11)</f>
        <v>4.18</v>
      </c>
      <c r="S11" s="455">
        <f>IF(M11="","",O11/M11-1)</f>
        <v>0.14987450699175331</v>
      </c>
      <c r="U11" s="510" t="s">
        <v>466</v>
      </c>
      <c r="V11" s="511" t="s">
        <v>81</v>
      </c>
      <c r="W11" s="512" t="s">
        <v>8</v>
      </c>
      <c r="X11" s="513"/>
    </row>
    <row r="12" spans="1:25" ht="13.5">
      <c r="C12" s="435">
        <v>500</v>
      </c>
      <c r="E12" s="453">
        <f>ROUND($V$13+(MIN(1500,$C12)*$V$16/100+MAX(0,$C12-1500)*$V$17/100)*(1+$V$33)*(1+$V$19)+$V$18,2)</f>
        <v>61.31</v>
      </c>
      <c r="G12" s="453">
        <f>ROUND($W$13+(MIN(1500,$C12)*$W$16/100+MAX(0,$C12-1500)*$W$17/100)*(1+$W$33)*(1+$W$19)+$W$18,2)</f>
        <v>69.209999999999994</v>
      </c>
      <c r="I12" s="447">
        <f>IF(G12="","",G12-E12)</f>
        <v>7.8999999999999915</v>
      </c>
      <c r="K12" s="455">
        <f>IF(E12="","",G12/E12-1)</f>
        <v>0.12885336812917947</v>
      </c>
      <c r="M12" s="453">
        <f>ROUND($V$21+(MIN(1500,$C12)*$V$24/100+MAX(0,$C12-1500)*$V$25/100)*(1+$V$33)*(1+$V$27)+$V$26,2)</f>
        <v>57.1</v>
      </c>
      <c r="O12" s="453">
        <f>ROUND($W$21+(MIN(1500,$C12)*$W$24/100+MAX(0,$C12-1500)*$W$25/100)*(1+$W$33)*(1+$W$27)+$W$26,2)</f>
        <v>64.53</v>
      </c>
      <c r="Q12" s="447">
        <f t="shared" si="0"/>
        <v>7.43</v>
      </c>
      <c r="S12" s="455">
        <f>IF(M12="","",O12/M12-1)</f>
        <v>0.13012259194395792</v>
      </c>
      <c r="U12" s="514" t="s">
        <v>438</v>
      </c>
      <c r="V12" s="423"/>
      <c r="W12" s="461"/>
    </row>
    <row r="13" spans="1:25">
      <c r="C13" s="435">
        <v>1000</v>
      </c>
      <c r="E13" s="453">
        <f>ROUND($V$13+(MIN(1500,$C13)*$V$16/100+MAX(0,$C13-1500)*$V$17/100)*(1+$V$33)*(1+$V$19)+$V$18,2)</f>
        <v>114.2</v>
      </c>
      <c r="G13" s="453">
        <f>ROUND($W$13+(MIN(1500,$C13)*$W$16/100+MAX(0,$C13-1500)*$W$17/100)*(1+$W$33)*(1+$W$19)+$W$18,2)</f>
        <v>128</v>
      </c>
      <c r="I13" s="447">
        <f>IF(G13="","",G13-E13)</f>
        <v>13.799999999999997</v>
      </c>
      <c r="K13" s="455">
        <f>IF(E13="","",G13/E13-1)</f>
        <v>0.12084063047285465</v>
      </c>
      <c r="M13" s="453">
        <f>ROUND($V$21+(MIN(1500,$C13)*$V$24/100+MAX(0,$C13-1500)*$V$25/100)*(1+$V$33)*(1+$V$27)+$V$26,2)</f>
        <v>105.78</v>
      </c>
      <c r="O13" s="453">
        <f>ROUND($W$21+(MIN(1500,$C13)*$W$24/100+MAX(0,$C13-1500)*$W$25/100)*(1+$W$33)*(1+$W$27)+$W$26,2)</f>
        <v>118.65</v>
      </c>
      <c r="Q13" s="447">
        <f t="shared" si="0"/>
        <v>12.870000000000005</v>
      </c>
      <c r="S13" s="455">
        <f>IF(M13="","",O13/M13-1)</f>
        <v>0.12166761202495757</v>
      </c>
      <c r="U13" s="462" t="s">
        <v>123</v>
      </c>
      <c r="V13" s="463">
        <f>'Exhibit RMP-(WRG-5)'!G620</f>
        <v>8</v>
      </c>
      <c r="W13" s="464">
        <f>'Exhibit RMP-(WRG-5)'!M620</f>
        <v>10</v>
      </c>
      <c r="X13" s="463"/>
      <c r="Y13" s="515"/>
    </row>
    <row r="14" spans="1:25">
      <c r="C14" s="435">
        <v>2000</v>
      </c>
      <c r="E14" s="453">
        <f>ROUND($V$13+(MIN(1500,$C14)*$V$16/100+MAX(0,$C14-1500)*$V$17/100)*(1+$V$33)*(1+$V$19)+$V$18,2)</f>
        <v>196.74</v>
      </c>
      <c r="G14" s="453">
        <f>ROUND($W$13+(MIN(1500,$C14)*$W$16/100+MAX(0,$C14-1500)*$W$17/100)*(1+$W$33)*(1+$W$19)+$W$18,2)</f>
        <v>219.75</v>
      </c>
      <c r="I14" s="447">
        <f>IF(G14="","",G14-E14)</f>
        <v>23.009999999999991</v>
      </c>
      <c r="K14" s="455">
        <f>IF(E14="","",G14/E14-1)</f>
        <v>0.11695638914303141</v>
      </c>
      <c r="M14" s="453">
        <f>ROUND($V$21+(MIN(1500,$C14)*$V$24/100+MAX(0,$C14-1500)*$V$25/100)*(1+$V$33)*(1+$V$27)+$V$26,2)</f>
        <v>181.76</v>
      </c>
      <c r="O14" s="453">
        <f>ROUND($W$21+(MIN(1500,$C14)*$W$24/100+MAX(0,$C14-1500)*$W$25/100)*(1+$W$33)*(1+$W$27)+$W$26,2)</f>
        <v>203.1</v>
      </c>
      <c r="Q14" s="447">
        <f t="shared" si="0"/>
        <v>21.340000000000003</v>
      </c>
      <c r="S14" s="455">
        <f>IF(M14="","",O14/M14-1)</f>
        <v>0.11740757042253525</v>
      </c>
      <c r="U14" s="462" t="s">
        <v>467</v>
      </c>
      <c r="V14" s="463">
        <f>'Exhibit RMP-(WRG-5)'!G621</f>
        <v>7.25</v>
      </c>
      <c r="W14" s="464">
        <f>'Exhibit RMP-(WRG-5)'!M621</f>
        <v>8.4</v>
      </c>
      <c r="X14" s="463"/>
      <c r="Y14" s="515"/>
    </row>
    <row r="15" spans="1:25">
      <c r="I15" s="447"/>
      <c r="K15" s="516"/>
      <c r="Q15" s="447" t="str">
        <f t="shared" si="0"/>
        <v/>
      </c>
      <c r="S15" s="516"/>
      <c r="U15" s="462" t="s">
        <v>468</v>
      </c>
      <c r="V15" s="463">
        <f>'Exhibit RMP-(WRG-5)'!G623</f>
        <v>-0.41</v>
      </c>
      <c r="W15" s="464">
        <f>'Exhibit RMP-(WRG-5)'!M623</f>
        <v>-0.48</v>
      </c>
      <c r="X15" s="463"/>
      <c r="Y15" s="515"/>
    </row>
    <row r="16" spans="1:25">
      <c r="A16" s="435">
        <v>20</v>
      </c>
      <c r="C16" s="435">
        <v>5000</v>
      </c>
      <c r="E16" s="453">
        <f>ROUND($V$13+(($A$16-15)*$V$14+MIN(1500,$C16)*$V$16/100+MAX(0,$C16-1500)*$V$17/100)*(1+$V$33)*(1+$V$19)+$V$18,2)</f>
        <v>413.7</v>
      </c>
      <c r="G16" s="453">
        <f>ROUND($W$13+(($A$16-15)*$W$14+MIN(1500,$C16)*$W$16/100+MAX(0,$C16-1500)*$W$17/100)*(1+$W$33)*(1+$W$19)+$W$18,2)</f>
        <v>460.79</v>
      </c>
      <c r="I16" s="447">
        <f>IF(G16="","",G16-E16)</f>
        <v>47.090000000000032</v>
      </c>
      <c r="K16" s="455">
        <f>IF(E16="","",G16/E16-1)</f>
        <v>0.11382644428329725</v>
      </c>
      <c r="M16" s="453">
        <f>ROUND($V$21+(($A$16-15)*$V$22+MIN(1500,$C16)*$V$24/100+MAX(0,$C16-1500)*$V$25/100)*(1+$V$33)*(1+$V$27)+$V$26,2)</f>
        <v>384.85</v>
      </c>
      <c r="O16" s="453">
        <f>ROUND($W$21+(($A$16-15)*$W$22+MIN(1500,$C16)*$W$24/100+MAX(0,$C16-1500)*$W$25/100)*(1+$W$33)*(1+$W$27)+$W$26,2)</f>
        <v>428.91</v>
      </c>
      <c r="Q16" s="447">
        <f t="shared" si="0"/>
        <v>44.06</v>
      </c>
      <c r="S16" s="455">
        <f>IF(M16="","",O16/M16-1)</f>
        <v>0.11448616344030138</v>
      </c>
      <c r="U16" s="462" t="s">
        <v>469</v>
      </c>
      <c r="V16" s="517">
        <f>'Exhibit RMP-(WRG-5)'!G624</f>
        <v>9.8214000000000006</v>
      </c>
      <c r="W16" s="518">
        <f>'Exhibit RMP-(WRG-5)'!M624</f>
        <v>11.411799999999999</v>
      </c>
      <c r="X16" s="519"/>
      <c r="Y16" s="515"/>
    </row>
    <row r="17" spans="1:25">
      <c r="A17" s="520"/>
      <c r="B17" s="515"/>
      <c r="C17" s="435">
        <v>7500</v>
      </c>
      <c r="E17" s="453">
        <f>ROUND($V$13+(($A$16-15)*$V$14+MIN(1500,$C17)*$V$16/100+MAX(0,$C17-1500)*$V$17/100)*(1+$V$33)*(1+$V$19)+$V$18,2)</f>
        <v>561.96</v>
      </c>
      <c r="G17" s="453">
        <f>ROUND($W$13+(($A$16-15)*$W$14+MIN(1500,$C17)*$W$16/100+MAX(0,$C17-1500)*$W$17/100)*(1+$W$33)*(1+$W$19)+$W$18,2)</f>
        <v>625.6</v>
      </c>
      <c r="I17" s="447">
        <f>IF(G17="","",G17-E17)</f>
        <v>63.639999999999986</v>
      </c>
      <c r="K17" s="455">
        <f>IF(E17="","",G17/E17-1)</f>
        <v>0.11324649441241363</v>
      </c>
      <c r="M17" s="453">
        <f>ROUND($V$21+(($A$16-15)*$V$22+MIN(1500,$C17)*$V$24/100+MAX(0,$C17-1500)*$V$25/100)*(1+$V$33)*(1+$V$27)+$V$26,2)</f>
        <v>521.33000000000004</v>
      </c>
      <c r="O17" s="453">
        <f>ROUND($W$21+(($A$16-15)*$W$22+MIN(1500,$C17)*$W$24/100+MAX(0,$C17-1500)*$W$25/100)*(1+$W$33)*(1+$W$27)+$W$26,2)</f>
        <v>580.6</v>
      </c>
      <c r="Q17" s="447">
        <f t="shared" si="0"/>
        <v>59.269999999999982</v>
      </c>
      <c r="S17" s="455">
        <f>IF(M17="","",O17/M17-1)</f>
        <v>0.11368998523008456</v>
      </c>
      <c r="U17" s="462" t="s">
        <v>470</v>
      </c>
      <c r="V17" s="517">
        <f>'Exhibit RMP-(WRG-5)'!G625</f>
        <v>5.5063000000000004</v>
      </c>
      <c r="W17" s="518">
        <f>'Exhibit RMP-(WRG-5)'!M625</f>
        <v>6.3979999999999997</v>
      </c>
      <c r="X17" s="519"/>
      <c r="Y17" s="515"/>
    </row>
    <row r="18" spans="1:25">
      <c r="A18" s="520"/>
      <c r="B18" s="515"/>
      <c r="C18" s="435">
        <v>10000</v>
      </c>
      <c r="E18" s="453">
        <f>ROUND($V$13+(($A$16-15)*$V$14+MIN(1500,$C18)*$V$16/100+MAX(0,$C18-1500)*$V$17/100)*(1+$V$33)*(1+$V$19)+$V$18,2)</f>
        <v>710.22</v>
      </c>
      <c r="G18" s="453">
        <f>ROUND($W$13+(($A$16-15)*$W$14+MIN(1500,$C18)*$W$16/100+MAX(0,$C18-1500)*$W$17/100)*(1+$W$33)*(1+$W$19)+$W$18,2)</f>
        <v>790.4</v>
      </c>
      <c r="I18" s="447">
        <f>IF(G18="","",G18-E18)</f>
        <v>80.17999999999995</v>
      </c>
      <c r="K18" s="455">
        <f>IF(E18="","",G18/E18-1)</f>
        <v>0.11289459604066332</v>
      </c>
      <c r="M18" s="453">
        <f>ROUND($V$21+(($A$16-15)*$V$22+MIN(1500,$C18)*$V$24/100+MAX(0,$C18-1500)*$V$25/100)*(1+$V$33)*(1+$V$27)+$V$26,2)</f>
        <v>657.81</v>
      </c>
      <c r="O18" s="453">
        <f>ROUND($W$21+(($A$16-15)*$W$22+MIN(1500,$C18)*$W$24/100+MAX(0,$C18-1500)*$W$25/100)*(1+$W$33)*(1+$W$27)+$W$26,2)</f>
        <v>732.29</v>
      </c>
      <c r="Q18" s="447">
        <f t="shared" si="0"/>
        <v>74.480000000000018</v>
      </c>
      <c r="S18" s="455">
        <f>IF(M18="","",O18/M18-1)</f>
        <v>0.11322418327480577</v>
      </c>
      <c r="U18" s="462" t="s">
        <v>471</v>
      </c>
      <c r="V18" s="463">
        <v>0.42</v>
      </c>
      <c r="W18" s="521">
        <f>V18</f>
        <v>0.42</v>
      </c>
      <c r="X18" s="463"/>
      <c r="Y18" s="515"/>
    </row>
    <row r="19" spans="1:25">
      <c r="A19" s="515"/>
      <c r="B19" s="515"/>
      <c r="C19" s="515"/>
      <c r="I19" s="447"/>
      <c r="K19" s="455"/>
      <c r="Q19" s="447"/>
      <c r="S19" s="459"/>
      <c r="U19" s="462" t="s">
        <v>472</v>
      </c>
      <c r="V19" s="522">
        <f>'Exhibit RMP-(WRG-5)'!G632</f>
        <v>3.95E-2</v>
      </c>
      <c r="W19" s="523">
        <f>'Exhibit RMP-(WRG-5)'!M632</f>
        <v>3.95E-2</v>
      </c>
      <c r="X19" s="522"/>
      <c r="Y19" s="515"/>
    </row>
    <row r="20" spans="1:25" ht="13.5">
      <c r="A20" s="435">
        <v>25</v>
      </c>
      <c r="C20" s="435">
        <v>7500</v>
      </c>
      <c r="D20" s="524"/>
      <c r="E20" s="453">
        <f>ROUND($V$13+(($A$20-15)*$V$14+MIN(1500,$C20)*$V$16/100+MAX(0,$C20-1500)*$V$17/100)*(1+$V$33)*(1+$V$19)+$V$18,2)</f>
        <v>601</v>
      </c>
      <c r="G20" s="453">
        <f>ROUND($W$13+(($A$20-15)*$W$14+MIN(1500,$C20)*$W$16/100+MAX(0,$C20-1500)*$W$17/100)*(1+$W$33)*(1+$W$19)+$W$18,2)</f>
        <v>668.87</v>
      </c>
      <c r="I20" s="447">
        <f>IF(G20="","",G20-E20)</f>
        <v>67.87</v>
      </c>
      <c r="K20" s="455">
        <f>IF(E20="","",G20/E20-1)</f>
        <v>0.11292845257903505</v>
      </c>
      <c r="L20" s="524">
        <f>C20/A20/730</f>
        <v>0.41095890410958902</v>
      </c>
      <c r="M20" s="453">
        <f>ROUND($V$21+(($A$20-15)*$V$22+MIN(1500,$C20)*$V$24/100+MAX(0,$C20-1500)*$V$25/100)*(1+$V$33)*(1+$V$27)+$V$26,2)</f>
        <v>560.64</v>
      </c>
      <c r="O20" s="453">
        <f>ROUND($W$21+(($A$20-15)*$W$22+MIN(1500,$C20)*$W$24/100+MAX(0,$C20-1500)*$W$25/100)*(1+$W$33)*(1+$W$27)+$W$26,2)</f>
        <v>624.39</v>
      </c>
      <c r="Q20" s="447">
        <f>IF(O20="","",O20-M20)</f>
        <v>63.75</v>
      </c>
      <c r="S20" s="455">
        <f>IF(M20="","",O20/M20-1)</f>
        <v>0.11370933219178081</v>
      </c>
      <c r="U20" s="514" t="s">
        <v>439</v>
      </c>
      <c r="V20" s="423"/>
      <c r="W20" s="461"/>
    </row>
    <row r="21" spans="1:25">
      <c r="A21" s="520"/>
      <c r="C21" s="435">
        <v>10000</v>
      </c>
      <c r="D21" s="524"/>
      <c r="E21" s="453">
        <f>ROUND($V$13+(($A$20-15)*$V$14+MIN(1500,$C21)*$V$16/100+MAX(0,$C21-1500)*$V$17/100)*(1+$V$33)*(1+$V$19)+$V$18,2)</f>
        <v>749.26</v>
      </c>
      <c r="G21" s="453">
        <f>ROUND($W$13+(($A$20-15)*$W$14+MIN(1500,$C21)*$W$16/100+MAX(0,$C21-1500)*$W$17/100)*(1+$W$33)*(1+$W$19)+$W$18,2)</f>
        <v>833.68</v>
      </c>
      <c r="I21" s="447">
        <f>IF(G21="","",G21-E21)</f>
        <v>84.419999999999959</v>
      </c>
      <c r="K21" s="455">
        <f>IF(E21="","",G21/E21-1)</f>
        <v>0.11267116888663486</v>
      </c>
      <c r="L21" s="524">
        <f>C21/A20/730</f>
        <v>0.54794520547945202</v>
      </c>
      <c r="M21" s="453">
        <f>ROUND($V$21+(($A$20-15)*$V$22+MIN(1500,$C21)*$V$24/100+MAX(0,$C21-1500)*$V$25/100)*(1+$V$33)*(1+$V$27)+$V$26,2)</f>
        <v>697.12</v>
      </c>
      <c r="O21" s="453">
        <f>ROUND($W$21+(($A$20-15)*$W$22+MIN(1500,$C21)*$W$24/100+MAX(0,$C21-1500)*$W$25/100)*(1+$W$33)*(1+$W$27)+$W$26,2)</f>
        <v>776.08</v>
      </c>
      <c r="Q21" s="447">
        <f>IF(O21="","",O21-M21)</f>
        <v>78.960000000000036</v>
      </c>
      <c r="S21" s="455">
        <f>IF(M21="","",O21/M21-1)</f>
        <v>0.11326600872159753</v>
      </c>
      <c r="U21" s="462" t="s">
        <v>123</v>
      </c>
      <c r="V21" s="469">
        <f>V13</f>
        <v>8</v>
      </c>
      <c r="W21" s="470">
        <f>W13</f>
        <v>10</v>
      </c>
      <c r="X21" s="463"/>
    </row>
    <row r="22" spans="1:25">
      <c r="A22" s="520"/>
      <c r="C22" s="435">
        <v>12500</v>
      </c>
      <c r="D22" s="524"/>
      <c r="E22" s="453">
        <f>ROUND($V$13+(($A$20-15)*$V$14+MIN(1500,$C22)*$V$16/100+MAX(0,$C22-1500)*$V$17/100)*(1+$V$33)*(1+$V$19)+$V$18,2)</f>
        <v>897.52</v>
      </c>
      <c r="G22" s="453">
        <f>ROUND($W$13+(($A$20-15)*$W$14+MIN(1500,$C22)*$W$16/100+MAX(0,$C22-1500)*$W$17/100)*(1+$W$33)*(1+$W$19)+$W$18,2)</f>
        <v>998.48</v>
      </c>
      <c r="I22" s="447">
        <f>IF(G22="","",G22-E22)</f>
        <v>100.96000000000004</v>
      </c>
      <c r="K22" s="455">
        <f>IF(E22="","",G22/E22-1)</f>
        <v>0.1124877440057046</v>
      </c>
      <c r="L22" s="524">
        <f>C22/A20/730</f>
        <v>0.68493150684931503</v>
      </c>
      <c r="M22" s="453">
        <f>ROUND($V$21+(($A$20-15)*$V$22+MIN(1500,$C22)*$V$24/100+MAX(0,$C22-1500)*$V$25/100)*(1+$V$33)*(1+$V$27)+$V$26,2)</f>
        <v>833.6</v>
      </c>
      <c r="O22" s="453">
        <f>ROUND($W$21+(($A$20-15)*$W$22+MIN(1500,$C22)*$W$24/100+MAX(0,$C22-1500)*$W$25/100)*(1+$W$33)*(1+$W$27)+$W$26,2)</f>
        <v>927.77</v>
      </c>
      <c r="Q22" s="447">
        <f>IF(O22="","",O22-M22)</f>
        <v>94.169999999999959</v>
      </c>
      <c r="S22" s="455">
        <f>IF(M22="","",O22/M22-1)</f>
        <v>0.1129678502879079</v>
      </c>
      <c r="U22" s="462" t="s">
        <v>467</v>
      </c>
      <c r="V22" s="463">
        <f>'Exhibit RMP-(WRG-5)'!G622</f>
        <v>7.3</v>
      </c>
      <c r="W22" s="464">
        <f>'Exhibit RMP-(WRG-5)'!M622</f>
        <v>8.5</v>
      </c>
      <c r="X22" s="463"/>
    </row>
    <row r="23" spans="1:25">
      <c r="D23" s="524"/>
      <c r="I23" s="447"/>
      <c r="K23" s="455"/>
      <c r="L23" s="524"/>
      <c r="Q23" s="447"/>
      <c r="S23" s="455"/>
      <c r="U23" s="462" t="s">
        <v>468</v>
      </c>
      <c r="V23" s="469">
        <f>V15</f>
        <v>-0.41</v>
      </c>
      <c r="W23" s="470">
        <f>W15</f>
        <v>-0.48</v>
      </c>
      <c r="X23" s="463"/>
    </row>
    <row r="24" spans="1:25">
      <c r="A24" s="435">
        <v>30</v>
      </c>
      <c r="C24" s="435">
        <v>10000</v>
      </c>
      <c r="D24" s="524"/>
      <c r="E24" s="453">
        <f>ROUND($V$13+(($A$24-15)*$V$14+MIN(1500,$C24)*$V$16/100+MAX(0,$C24-1500)*$V$17/100)*(1+$V$33)*(1+$V$19)+$V$18,2)</f>
        <v>788.3</v>
      </c>
      <c r="G24" s="453">
        <f>ROUND($W$13+(($A$24-15)*$W$14+MIN(1500,$C24)*$W$16/100+MAX(0,$C24-1500)*$W$17/100)*(1+$W$33)*(1+$W$19)+$W$18,2)</f>
        <v>876.95</v>
      </c>
      <c r="I24" s="447">
        <f>IF(G24="","",G24-E24)</f>
        <v>88.650000000000091</v>
      </c>
      <c r="K24" s="455">
        <f>IF(E24="","",G24/E24-1)</f>
        <v>0.11245718635037427</v>
      </c>
      <c r="L24" s="524">
        <f>C24/A24/730</f>
        <v>0.45662100456621002</v>
      </c>
      <c r="M24" s="453">
        <f>ROUND($V$21+(($A$24-15)*$V$22+MIN(1500,$C24)*$V$24/100+MAX(0,$C24-1500)*$V$25/100)*(1+$V$33)*(1+$V$27)+$V$26,2)</f>
        <v>736.43</v>
      </c>
      <c r="O24" s="453">
        <f>ROUND($W$21+(($A$24-15)*$W$22+MIN(1500,$C24)*$W$24/100+MAX(0,$C24-1500)*$W$25/100)*(1+$W$33)*(1+$W$27)+$W$26,2)</f>
        <v>819.87</v>
      </c>
      <c r="Q24" s="447">
        <f>IF(O24="","",O24-M24)</f>
        <v>83.440000000000055</v>
      </c>
      <c r="S24" s="455">
        <f>IF(M24="","",O24/M24-1)</f>
        <v>0.11330336895563731</v>
      </c>
      <c r="U24" s="462" t="s">
        <v>469</v>
      </c>
      <c r="V24" s="517">
        <f>'Exhibit RMP-(WRG-5)'!G626</f>
        <v>9.0399999999999991</v>
      </c>
      <c r="W24" s="518">
        <f>'Exhibit RMP-(WRG-5)'!M626</f>
        <v>10.5039</v>
      </c>
      <c r="X24" s="519"/>
    </row>
    <row r="25" spans="1:25">
      <c r="A25" s="520"/>
      <c r="B25" s="515"/>
      <c r="C25" s="435">
        <v>12500</v>
      </c>
      <c r="D25" s="524"/>
      <c r="E25" s="453">
        <f>ROUND($V$13+(($A$24-15)*$V$14+MIN(1500,$C25)*$V$16/100+MAX(0,$C25-1500)*$V$17/100)*(1+$V$33)*(1+$V$19)+$V$18,2)</f>
        <v>936.56</v>
      </c>
      <c r="G25" s="453">
        <f>ROUND($W$13+(($A$24-15)*$W$14+MIN(1500,$C25)*$W$16/100+MAX(0,$C25-1500)*$W$17/100)*(1+$W$33)*(1+$W$19)+$W$18,2)</f>
        <v>1041.76</v>
      </c>
      <c r="I25" s="447">
        <f>IF(G25="","",G25-E25)</f>
        <v>105.20000000000005</v>
      </c>
      <c r="K25" s="455">
        <f>IF(E25="","",G25/E25-1)</f>
        <v>0.11232595882805163</v>
      </c>
      <c r="L25" s="524">
        <f>C25/A24/730</f>
        <v>0.57077625570776258</v>
      </c>
      <c r="M25" s="453">
        <f>ROUND($V$21+(($A$24-15)*$V$22+MIN(1500,$C25)*$V$24/100+MAX(0,$C25-1500)*$V$25/100)*(1+$V$33)*(1+$V$27)+$V$26,2)</f>
        <v>872.91</v>
      </c>
      <c r="O25" s="453">
        <f>ROUND($W$21+(($A$24-15)*$W$22+MIN(1500,$C25)*$W$24/100+MAX(0,$C25-1500)*$W$25/100)*(1+$W$33)*(1+$W$27)+$W$26,2)</f>
        <v>971.56</v>
      </c>
      <c r="Q25" s="447">
        <f>IF(O25="","",O25-M25)</f>
        <v>98.649999999999977</v>
      </c>
      <c r="S25" s="455">
        <f>IF(M25="","",O25/M25-1)</f>
        <v>0.11301279627911232</v>
      </c>
      <c r="U25" s="462" t="s">
        <v>470</v>
      </c>
      <c r="V25" s="517">
        <f>'Exhibit RMP-(WRG-5)'!G627</f>
        <v>5.0688000000000004</v>
      </c>
      <c r="W25" s="518">
        <f>'Exhibit RMP-(WRG-5)'!M627</f>
        <v>5.8887999999999998</v>
      </c>
      <c r="X25" s="519"/>
    </row>
    <row r="26" spans="1:25">
      <c r="A26" s="520"/>
      <c r="B26" s="515"/>
      <c r="C26" s="435">
        <v>15000</v>
      </c>
      <c r="D26" s="524"/>
      <c r="E26" s="453">
        <f>ROUND($V$13+(($A$24-15)*$V$14+MIN(1500,$C26)*$V$16/100+MAX(0,$C26-1500)*$V$17/100)*(1+$V$33)*(1+$V$19)+$V$18,2)</f>
        <v>1084.82</v>
      </c>
      <c r="G26" s="453">
        <f>ROUND($W$13+(($A$24-15)*$W$14+MIN(1500,$C26)*$W$16/100+MAX(0,$C26-1500)*$W$17/100)*(1+$W$33)*(1+$W$19)+$W$18,2)</f>
        <v>1206.56</v>
      </c>
      <c r="I26" s="447">
        <f>IF(G26="","",G26-E26)</f>
        <v>121.74000000000001</v>
      </c>
      <c r="K26" s="455">
        <f>IF(E26="","",G26/E26-1)</f>
        <v>0.11222138234914558</v>
      </c>
      <c r="L26" s="524">
        <f>C26/A24/730</f>
        <v>0.68493150684931503</v>
      </c>
      <c r="M26" s="453">
        <f>ROUND($V$21+(($A$24-15)*$V$22+MIN(1500,$C26)*$V$24/100+MAX(0,$C26-1500)*$V$25/100)*(1+$V$33)*(1+$V$27)+$V$26,2)</f>
        <v>1009.39</v>
      </c>
      <c r="O26" s="453">
        <f>ROUND($W$21+(($A$24-15)*$W$22+MIN(1500,$C26)*$W$24/100+MAX(0,$C26-1500)*$W$25/100)*(1+$W$33)*(1+$W$27)+$W$26,2)</f>
        <v>1123.25</v>
      </c>
      <c r="Q26" s="447">
        <f>IF(O26="","",O26-M26)</f>
        <v>113.86000000000001</v>
      </c>
      <c r="S26" s="455">
        <f>IF(M26="","",O26/M26-1)</f>
        <v>0.11280080048346042</v>
      </c>
      <c r="U26" s="462" t="s">
        <v>471</v>
      </c>
      <c r="V26" s="469">
        <f>V18</f>
        <v>0.42</v>
      </c>
      <c r="W26" s="470">
        <f>W18</f>
        <v>0.42</v>
      </c>
      <c r="X26" s="463"/>
    </row>
    <row r="27" spans="1:25">
      <c r="A27" s="515"/>
      <c r="B27" s="515"/>
      <c r="C27" s="515"/>
      <c r="D27" s="524"/>
      <c r="I27" s="447"/>
      <c r="K27" s="516"/>
      <c r="L27" s="524"/>
      <c r="Q27" s="447"/>
      <c r="S27" s="516"/>
      <c r="U27" s="473" t="s">
        <v>472</v>
      </c>
      <c r="V27" s="525">
        <f>V19</f>
        <v>3.95E-2</v>
      </c>
      <c r="W27" s="526">
        <f>W19</f>
        <v>3.95E-2</v>
      </c>
      <c r="X27" s="522"/>
    </row>
    <row r="28" spans="1:25" ht="15.75">
      <c r="A28" s="480" t="s">
        <v>456</v>
      </c>
      <c r="D28" s="524"/>
      <c r="I28" s="447"/>
      <c r="K28" s="516"/>
      <c r="L28" s="524"/>
      <c r="Q28" s="447"/>
      <c r="S28" s="516"/>
    </row>
    <row r="29" spans="1:25" ht="15.75">
      <c r="A29" s="480"/>
      <c r="I29" s="447"/>
      <c r="K29" s="516"/>
      <c r="Q29" s="447"/>
      <c r="S29" s="516"/>
      <c r="U29" s="425" t="s">
        <v>452</v>
      </c>
      <c r="W29" s="477">
        <f>'Exhibit RMP-(WRG-1)'!S32</f>
        <v>0.12577468934988309</v>
      </c>
    </row>
    <row r="30" spans="1:25">
      <c r="I30" s="447"/>
      <c r="K30" s="516"/>
      <c r="Q30" s="447"/>
      <c r="S30" s="516"/>
      <c r="U30" s="425" t="s">
        <v>374</v>
      </c>
      <c r="V30" s="476">
        <v>4.4900000000000002E-2</v>
      </c>
      <c r="W30" s="425">
        <v>0</v>
      </c>
      <c r="X30" s="477"/>
    </row>
    <row r="31" spans="1:25">
      <c r="I31" s="447"/>
      <c r="K31" s="516"/>
      <c r="Q31" s="447"/>
      <c r="S31" s="516"/>
      <c r="U31" s="425" t="s">
        <v>453</v>
      </c>
      <c r="V31" s="476">
        <v>1.6400000000000001E-2</v>
      </c>
      <c r="W31" s="477">
        <f>V31</f>
        <v>1.6400000000000001E-2</v>
      </c>
    </row>
    <row r="32" spans="1:25">
      <c r="I32" s="447"/>
      <c r="K32" s="455"/>
      <c r="M32" s="455"/>
      <c r="O32" s="455"/>
      <c r="Q32" s="527"/>
      <c r="S32" s="516"/>
      <c r="U32" s="425" t="s">
        <v>454</v>
      </c>
      <c r="V32" s="476">
        <v>-2.52E-2</v>
      </c>
      <c r="W32" s="477">
        <f>V32</f>
        <v>-2.52E-2</v>
      </c>
    </row>
    <row r="33" spans="11:23">
      <c r="K33" s="455"/>
      <c r="M33" s="455"/>
      <c r="O33" s="455"/>
      <c r="Q33" s="527"/>
      <c r="U33" s="423" t="s">
        <v>455</v>
      </c>
      <c r="V33" s="476">
        <f>SUM(V30:V32)</f>
        <v>3.6100000000000007E-2</v>
      </c>
      <c r="W33" s="477">
        <f>SUM(W30:W32)</f>
        <v>-8.7999999999999988E-3</v>
      </c>
    </row>
    <row r="34" spans="11:23">
      <c r="K34" s="455"/>
      <c r="M34" s="455"/>
      <c r="O34" s="455"/>
      <c r="Q34" s="527"/>
    </row>
    <row r="35" spans="11:23">
      <c r="K35" s="455"/>
      <c r="M35" s="455"/>
      <c r="O35" s="455"/>
      <c r="Q35" s="527"/>
    </row>
    <row r="36" spans="11:23">
      <c r="K36" s="455"/>
      <c r="M36" s="455"/>
      <c r="O36" s="455"/>
      <c r="Q36" s="527"/>
    </row>
    <row r="37" spans="11:23">
      <c r="K37" s="455"/>
      <c r="M37" s="455"/>
      <c r="O37" s="455"/>
      <c r="Q37" s="527"/>
    </row>
    <row r="38" spans="11:23">
      <c r="K38" s="516"/>
      <c r="M38" s="455"/>
      <c r="O38" s="516"/>
      <c r="Q38" s="527"/>
    </row>
    <row r="39" spans="11:23">
      <c r="K39" s="455"/>
      <c r="M39" s="455"/>
      <c r="O39" s="455"/>
      <c r="Q39" s="527"/>
    </row>
    <row r="40" spans="11:23">
      <c r="K40" s="455"/>
      <c r="M40" s="455"/>
      <c r="O40" s="455"/>
      <c r="Q40" s="527"/>
    </row>
    <row r="41" spans="11:23">
      <c r="K41" s="455"/>
      <c r="M41" s="455"/>
      <c r="O41" s="455"/>
      <c r="Q41" s="527"/>
    </row>
    <row r="42" spans="11:23">
      <c r="K42" s="455"/>
      <c r="M42" s="455"/>
      <c r="O42" s="455"/>
      <c r="Q42" s="527"/>
    </row>
    <row r="43" spans="11:23">
      <c r="K43" s="455"/>
      <c r="M43" s="455"/>
      <c r="O43" s="455"/>
      <c r="Q43" s="527"/>
    </row>
    <row r="44" spans="11:23">
      <c r="K44" s="455"/>
      <c r="M44" s="455"/>
      <c r="O44" s="455"/>
      <c r="Q44" s="527"/>
    </row>
    <row r="45" spans="11:23">
      <c r="K45" s="455"/>
      <c r="M45" s="455"/>
      <c r="O45" s="455"/>
      <c r="Q45" s="527"/>
    </row>
    <row r="46" spans="11:23">
      <c r="K46" s="455"/>
      <c r="M46" s="455"/>
      <c r="O46" s="455"/>
      <c r="Q46" s="527"/>
    </row>
    <row r="47" spans="11:23">
      <c r="K47" s="455"/>
      <c r="M47" s="455"/>
      <c r="O47" s="455"/>
      <c r="Q47" s="527"/>
    </row>
    <row r="48" spans="11:23">
      <c r="K48" s="455"/>
      <c r="M48" s="455"/>
      <c r="O48" s="455"/>
      <c r="Q48" s="527"/>
    </row>
    <row r="49" spans="11:17">
      <c r="K49" s="455"/>
      <c r="M49" s="455"/>
      <c r="O49" s="455"/>
      <c r="Q49" s="527"/>
    </row>
  </sheetData>
  <mergeCells count="2">
    <mergeCell ref="I7:K7"/>
    <mergeCell ref="Q7:S7"/>
  </mergeCells>
  <phoneticPr fontId="67" type="noConversion"/>
  <printOptions horizontalCentered="1"/>
  <pageMargins left="0.75" right="0.75" top="1" bottom="0.5" header="0.5" footer="0.25"/>
  <pageSetup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view="pageBreakPreview" zoomScale="60" zoomScaleNormal="75" workbookViewId="0">
      <selection activeCell="C71" sqref="C71"/>
    </sheetView>
  </sheetViews>
  <sheetFormatPr defaultColWidth="8" defaultRowHeight="12.75"/>
  <cols>
    <col min="1" max="1" width="8" style="435" customWidth="1"/>
    <col min="2" max="2" width="2.125" style="435" customWidth="1"/>
    <col min="3" max="3" width="9.625" style="435" bestFit="1" customWidth="1"/>
    <col min="4" max="4" width="1.875" style="425" customWidth="1"/>
    <col min="5" max="5" width="9.25" style="453" bestFit="1" customWidth="1"/>
    <col min="6" max="6" width="1" style="425" customWidth="1"/>
    <col min="7" max="7" width="9.25" style="453" bestFit="1" customWidth="1"/>
    <col min="8" max="8" width="0.875" style="425" customWidth="1"/>
    <col min="9" max="9" width="8.125" style="425" bestFit="1" customWidth="1"/>
    <col min="10" max="10" width="1.125" style="425" customWidth="1"/>
    <col min="11" max="11" width="5.5" style="425" bestFit="1" customWidth="1"/>
    <col min="12" max="12" width="1.5" style="425" customWidth="1"/>
    <col min="13" max="13" width="8.375" style="453" bestFit="1" customWidth="1"/>
    <col min="14" max="14" width="0.625" style="425" customWidth="1"/>
    <col min="15" max="15" width="9" style="453" bestFit="1" customWidth="1"/>
    <col min="16" max="16" width="0.75" style="425" customWidth="1"/>
    <col min="17" max="17" width="8" style="425" bestFit="1" customWidth="1"/>
    <col min="18" max="18" width="0.625" style="425" customWidth="1"/>
    <col min="19" max="19" width="5.5" style="425" bestFit="1" customWidth="1"/>
    <col min="20" max="20" width="3.375" style="425" customWidth="1"/>
    <col min="21" max="21" width="10.375" style="425" customWidth="1"/>
    <col min="22" max="22" width="8.375" style="425" bestFit="1" customWidth="1"/>
    <col min="23" max="23" width="10" style="425" bestFit="1" customWidth="1"/>
    <col min="24" max="16384" width="8" style="425"/>
  </cols>
  <sheetData>
    <row r="1" spans="1:24" ht="16.5">
      <c r="A1" s="418" t="s">
        <v>1</v>
      </c>
      <c r="B1" s="418"/>
      <c r="C1" s="418"/>
      <c r="D1" s="419"/>
      <c r="E1" s="420"/>
      <c r="F1" s="419"/>
      <c r="G1" s="420"/>
      <c r="H1" s="419"/>
      <c r="I1" s="419"/>
      <c r="J1" s="419"/>
      <c r="K1" s="419"/>
      <c r="L1" s="419"/>
      <c r="M1" s="420"/>
      <c r="N1" s="419"/>
      <c r="O1" s="420"/>
      <c r="P1" s="419"/>
      <c r="Q1" s="419"/>
      <c r="R1" s="419"/>
      <c r="S1" s="419"/>
    </row>
    <row r="2" spans="1:24" ht="16.5">
      <c r="A2" s="418" t="s">
        <v>432</v>
      </c>
      <c r="B2" s="418"/>
      <c r="C2" s="418"/>
      <c r="D2" s="419"/>
      <c r="E2" s="420"/>
      <c r="F2" s="419"/>
      <c r="G2" s="420"/>
      <c r="H2" s="419"/>
      <c r="I2" s="419"/>
      <c r="J2" s="419"/>
      <c r="K2" s="419"/>
      <c r="L2" s="419"/>
      <c r="M2" s="420"/>
      <c r="N2" s="419"/>
      <c r="O2" s="420"/>
      <c r="P2" s="419"/>
      <c r="Q2" s="419"/>
      <c r="R2" s="419"/>
      <c r="S2" s="419"/>
    </row>
    <row r="3" spans="1:24" ht="16.5">
      <c r="A3" s="418" t="s">
        <v>473</v>
      </c>
      <c r="B3" s="418"/>
      <c r="C3" s="418"/>
      <c r="D3" s="419"/>
      <c r="E3" s="420"/>
      <c r="F3" s="419"/>
      <c r="G3" s="420"/>
      <c r="H3" s="419"/>
      <c r="I3" s="419"/>
      <c r="J3" s="419"/>
      <c r="K3" s="419"/>
      <c r="L3" s="419"/>
      <c r="M3" s="420"/>
      <c r="N3" s="419"/>
      <c r="O3" s="420"/>
      <c r="P3" s="419"/>
      <c r="Q3" s="419"/>
      <c r="R3" s="419"/>
      <c r="S3" s="419"/>
    </row>
    <row r="4" spans="1:24" ht="16.5">
      <c r="A4" s="418" t="s">
        <v>461</v>
      </c>
      <c r="B4" s="418"/>
      <c r="C4" s="418"/>
      <c r="D4" s="419"/>
      <c r="E4" s="420"/>
      <c r="F4" s="419"/>
      <c r="G4" s="420"/>
      <c r="H4" s="419"/>
      <c r="I4" s="419"/>
      <c r="J4" s="419"/>
      <c r="K4" s="419"/>
      <c r="L4" s="419"/>
      <c r="M4" s="420"/>
      <c r="N4" s="419"/>
      <c r="O4" s="420"/>
      <c r="P4" s="419"/>
      <c r="Q4" s="419"/>
      <c r="R4" s="419"/>
      <c r="S4" s="419"/>
    </row>
    <row r="5" spans="1:24" ht="16.5">
      <c r="A5" s="528"/>
      <c r="B5" s="529"/>
      <c r="C5" s="529"/>
      <c r="D5" s="530"/>
      <c r="E5" s="531"/>
      <c r="F5" s="530"/>
      <c r="G5" s="531"/>
      <c r="H5" s="530"/>
      <c r="I5" s="530"/>
      <c r="J5" s="530"/>
      <c r="K5" s="530"/>
      <c r="L5" s="530"/>
      <c r="M5" s="531"/>
      <c r="N5" s="530"/>
      <c r="O5" s="531"/>
      <c r="P5" s="530"/>
      <c r="Q5" s="530"/>
      <c r="R5" s="530"/>
      <c r="S5" s="530"/>
    </row>
    <row r="6" spans="1:24" ht="17.25">
      <c r="A6" s="429"/>
      <c r="B6" s="422"/>
      <c r="C6" s="422"/>
      <c r="D6" s="422"/>
      <c r="E6" s="432"/>
      <c r="F6" s="431"/>
      <c r="G6" s="432"/>
      <c r="H6" s="431"/>
      <c r="I6" s="431"/>
      <c r="J6" s="431"/>
      <c r="K6" s="431"/>
      <c r="L6" s="422"/>
      <c r="M6" s="432"/>
      <c r="N6" s="431"/>
      <c r="O6" s="432"/>
      <c r="P6" s="431"/>
      <c r="Q6" s="431"/>
      <c r="R6" s="431"/>
      <c r="S6" s="431"/>
    </row>
    <row r="7" spans="1:24">
      <c r="E7" s="505"/>
      <c r="F7" s="423"/>
      <c r="G7" s="505"/>
      <c r="H7" s="423"/>
      <c r="I7" s="532"/>
      <c r="J7" s="423"/>
      <c r="K7" s="532"/>
      <c r="L7" s="423"/>
      <c r="M7" s="505"/>
      <c r="N7" s="423"/>
      <c r="O7" s="505"/>
      <c r="P7" s="423"/>
      <c r="Q7" s="532"/>
      <c r="R7" s="423"/>
      <c r="S7" s="532"/>
    </row>
    <row r="8" spans="1:24">
      <c r="E8" s="436" t="s">
        <v>438</v>
      </c>
      <c r="F8" s="445"/>
      <c r="G8" s="438"/>
      <c r="H8" s="437"/>
      <c r="I8" s="446"/>
      <c r="J8" s="437"/>
      <c r="K8" s="437"/>
      <c r="M8" s="436" t="s">
        <v>439</v>
      </c>
      <c r="N8" s="445"/>
      <c r="O8" s="438"/>
      <c r="P8" s="437"/>
      <c r="Q8" s="446"/>
      <c r="R8" s="437"/>
      <c r="S8" s="437"/>
      <c r="U8" s="510" t="s">
        <v>474</v>
      </c>
      <c r="V8" s="511" t="s">
        <v>81</v>
      </c>
      <c r="W8" s="512" t="s">
        <v>8</v>
      </c>
    </row>
    <row r="9" spans="1:24" ht="16.5">
      <c r="A9" s="506" t="s">
        <v>462</v>
      </c>
      <c r="E9" s="438" t="s">
        <v>463</v>
      </c>
      <c r="F9" s="437"/>
      <c r="G9" s="438"/>
      <c r="I9" s="438" t="s">
        <v>19</v>
      </c>
      <c r="J9" s="437"/>
      <c r="K9" s="438"/>
      <c r="M9" s="438" t="s">
        <v>463</v>
      </c>
      <c r="N9" s="437"/>
      <c r="O9" s="438"/>
      <c r="Q9" s="438" t="s">
        <v>19</v>
      </c>
      <c r="R9" s="437"/>
      <c r="S9" s="438"/>
      <c r="U9" s="514" t="s">
        <v>438</v>
      </c>
      <c r="V9" s="423"/>
      <c r="W9" s="461"/>
    </row>
    <row r="10" spans="1:24">
      <c r="A10" s="500" t="s">
        <v>464</v>
      </c>
      <c r="B10" s="507"/>
      <c r="C10" s="508" t="s">
        <v>85</v>
      </c>
      <c r="E10" s="442" t="s">
        <v>81</v>
      </c>
      <c r="G10" s="499" t="s">
        <v>8</v>
      </c>
      <c r="I10" s="451" t="s">
        <v>86</v>
      </c>
      <c r="K10" s="500" t="s">
        <v>48</v>
      </c>
      <c r="M10" s="442" t="s">
        <v>81</v>
      </c>
      <c r="O10" s="499" t="s">
        <v>8</v>
      </c>
      <c r="Q10" s="451" t="s">
        <v>86</v>
      </c>
      <c r="S10" s="500" t="s">
        <v>48</v>
      </c>
      <c r="U10" s="462" t="s">
        <v>123</v>
      </c>
      <c r="V10" s="463">
        <f>'Exhibit RMP-(WRG-5)'!G116</f>
        <v>45</v>
      </c>
      <c r="W10" s="464">
        <f>'Exhibit RMP-(WRG-5)'!M116</f>
        <v>53</v>
      </c>
      <c r="X10" s="463"/>
    </row>
    <row r="11" spans="1:24" ht="18.75" customHeight="1">
      <c r="A11" s="435">
        <v>50</v>
      </c>
      <c r="C11" s="435">
        <v>5000</v>
      </c>
      <c r="E11" s="533">
        <f>ROUND(($V$10+($V$11*$A11+$V$13/100*$C11)*(1+$V$28)*(1+$V$15))+$V$14,2)</f>
        <v>1041.7</v>
      </c>
      <c r="F11" s="533"/>
      <c r="G11" s="533">
        <f>ROUND(($W$10+($W$11*$A11+$W$13/100*$C11)*(1+$W$28)*(1+$W$15))+$W$14,2)</f>
        <v>1170.01</v>
      </c>
      <c r="H11" s="533"/>
      <c r="I11" s="533">
        <f>IF(G11="","",G11-E11)</f>
        <v>128.30999999999995</v>
      </c>
      <c r="K11" s="455">
        <f>IF(I11="","",G11/E11-1)</f>
        <v>0.12317365844292971</v>
      </c>
      <c r="M11" s="533">
        <f>ROUND(($V$17+($V$18*$A11+$V$20/100*$C11)*(1+$V$28)*(1+$V$22))+$V$21,2)</f>
        <v>867.15</v>
      </c>
      <c r="N11" s="533"/>
      <c r="O11" s="533">
        <f>ROUND(($W$17+($W$18*$A11+$W$20/100*$C11)*(1+$W$28)*(1+$W$22))+$W$21,2)</f>
        <v>974.11</v>
      </c>
      <c r="P11" s="533"/>
      <c r="Q11" s="533">
        <f t="shared" ref="Q11:Q29" si="0">IF(O11="","",O11-M11)</f>
        <v>106.96000000000004</v>
      </c>
      <c r="S11" s="455">
        <f t="shared" ref="S11:S29" si="1">IF(Q11="","",O11/M11-1)</f>
        <v>0.12334659516807944</v>
      </c>
      <c r="U11" s="462" t="s">
        <v>467</v>
      </c>
      <c r="V11" s="463">
        <f>'Exhibit RMP-(WRG-5)'!G117</f>
        <v>15.16</v>
      </c>
      <c r="W11" s="464">
        <f>'Exhibit RMP-(WRG-5)'!M117</f>
        <v>17.829999999999998</v>
      </c>
      <c r="X11" s="463"/>
    </row>
    <row r="12" spans="1:24">
      <c r="A12" s="534">
        <f>A11</f>
        <v>50</v>
      </c>
      <c r="C12" s="435">
        <v>10000</v>
      </c>
      <c r="E12" s="533">
        <f t="shared" ref="E12:E29" si="2">ROUND(($V$10+($V$11*$A12+$V$13/100*$C12)*(1+$V$28)*(1+$V$15))+$V$14,2)</f>
        <v>1213.6400000000001</v>
      </c>
      <c r="F12" s="533"/>
      <c r="G12" s="533">
        <f t="shared" ref="G12:G29" si="3">ROUND(($W$10+($W$11*$A12+$W$13/100*$C12)*(1+$W$28)*(1+$W$15))+$W$14,2)</f>
        <v>1362.88</v>
      </c>
      <c r="H12" s="533"/>
      <c r="I12" s="533">
        <f>IF(G12="","",G12-E12)</f>
        <v>149.24</v>
      </c>
      <c r="K12" s="455">
        <f>IF(I12="","",G12/E12-1)</f>
        <v>0.12296891994331105</v>
      </c>
      <c r="M12" s="533">
        <f>ROUND(($V$17+($V$18*$A12+$V$20/100*$C12)*(1+$V$28)*(1+$V$22))+$V$21,2)</f>
        <v>1025.67</v>
      </c>
      <c r="N12" s="533"/>
      <c r="O12" s="533">
        <f>ROUND(($W$17+($W$18*$A12+$W$20/100*$C12)*(1+$W$28)*(1+$W$22))+$W$21,2)</f>
        <v>1151.98</v>
      </c>
      <c r="P12" s="533"/>
      <c r="Q12" s="533">
        <f t="shared" si="0"/>
        <v>126.30999999999995</v>
      </c>
      <c r="S12" s="455">
        <f t="shared" si="1"/>
        <v>0.12314877104721789</v>
      </c>
      <c r="U12" s="462" t="s">
        <v>468</v>
      </c>
      <c r="V12" s="463">
        <f>'Exhibit RMP-(WRG-5)'!G119</f>
        <v>-0.78</v>
      </c>
      <c r="W12" s="464">
        <f>'Exhibit RMP-(WRG-5)'!M119</f>
        <v>-0.92</v>
      </c>
      <c r="X12" s="463"/>
    </row>
    <row r="13" spans="1:24">
      <c r="A13" s="534">
        <f>A12</f>
        <v>50</v>
      </c>
      <c r="C13" s="435">
        <v>20000</v>
      </c>
      <c r="E13" s="533">
        <f t="shared" si="2"/>
        <v>1557.52</v>
      </c>
      <c r="F13" s="533"/>
      <c r="G13" s="533">
        <f t="shared" si="3"/>
        <v>1748.61</v>
      </c>
      <c r="H13" s="533"/>
      <c r="I13" s="533">
        <f>IF(G13="","",G13-E13)</f>
        <v>191.08999999999992</v>
      </c>
      <c r="K13" s="455">
        <f>IF(I13="","",G13/E13-1)</f>
        <v>0.12268863321177248</v>
      </c>
      <c r="M13" s="533">
        <f>ROUND(($V$17+($V$18*$A13+$V$20/100*$C13)*(1+$V$28)*(1+$V$22))+$V$21,2)</f>
        <v>1342.7</v>
      </c>
      <c r="N13" s="533"/>
      <c r="O13" s="533">
        <f>ROUND(($W$17+($W$18*$A13+$W$20/100*$C13)*(1+$W$28)*(1+$W$22))+$W$21,2)</f>
        <v>1507.72</v>
      </c>
      <c r="P13" s="533"/>
      <c r="Q13" s="533">
        <f t="shared" si="0"/>
        <v>165.01999999999998</v>
      </c>
      <c r="S13" s="455">
        <f t="shared" si="1"/>
        <v>0.12290161614657036</v>
      </c>
      <c r="U13" s="462" t="s">
        <v>475</v>
      </c>
      <c r="V13" s="517">
        <f>'Exhibit RMP-(WRG-5)'!G121</f>
        <v>3.1907000000000001</v>
      </c>
      <c r="W13" s="518">
        <f>'Exhibit RMP-(WRG-5)'!M121</f>
        <v>3.7528000000000001</v>
      </c>
      <c r="X13" s="519"/>
    </row>
    <row r="14" spans="1:24">
      <c r="E14" s="533"/>
      <c r="F14" s="533"/>
      <c r="G14" s="533"/>
      <c r="H14" s="533"/>
      <c r="I14" s="533"/>
      <c r="K14" s="455"/>
      <c r="M14" s="533"/>
      <c r="N14" s="533"/>
      <c r="O14" s="533"/>
      <c r="P14" s="533"/>
      <c r="Q14" s="533" t="str">
        <f t="shared" si="0"/>
        <v/>
      </c>
      <c r="S14" s="455" t="str">
        <f t="shared" si="1"/>
        <v/>
      </c>
      <c r="U14" s="462" t="s">
        <v>449</v>
      </c>
      <c r="V14" s="463">
        <v>7.82</v>
      </c>
      <c r="W14" s="521">
        <f>V14</f>
        <v>7.82</v>
      </c>
      <c r="X14" s="463"/>
    </row>
    <row r="15" spans="1:24">
      <c r="A15" s="435">
        <v>100</v>
      </c>
      <c r="C15" s="435">
        <v>20000</v>
      </c>
      <c r="E15" s="533">
        <f t="shared" si="2"/>
        <v>2374.46</v>
      </c>
      <c r="F15" s="533"/>
      <c r="G15" s="533">
        <f t="shared" si="3"/>
        <v>2664.93</v>
      </c>
      <c r="H15" s="533"/>
      <c r="I15" s="533">
        <f>IF(G15="","",G15-E15)</f>
        <v>290.4699999999998</v>
      </c>
      <c r="K15" s="455">
        <f>IF(I15="","",G15/E15-1)</f>
        <v>0.12233097209470767</v>
      </c>
      <c r="M15" s="533">
        <f>ROUND(($V$17+($V$18*$A15+$V$20/100*$C15)*(1+$V$28)*(1+$V$22))+$V$21,2)</f>
        <v>1998.51</v>
      </c>
      <c r="N15" s="533"/>
      <c r="O15" s="533">
        <f>ROUND(($W$17+($W$18*$A15+$W$20/100*$C15)*(1+$W$28)*(1+$W$22))+$W$21,2)</f>
        <v>2243.14</v>
      </c>
      <c r="P15" s="533"/>
      <c r="Q15" s="533">
        <f t="shared" si="0"/>
        <v>244.62999999999988</v>
      </c>
      <c r="S15" s="455">
        <f t="shared" si="1"/>
        <v>0.12240619261349694</v>
      </c>
      <c r="U15" s="462" t="s">
        <v>82</v>
      </c>
      <c r="V15" s="522">
        <f>'Exhibit RMP-(WRG-5)'!G127</f>
        <v>3.7600000000000001E-2</v>
      </c>
      <c r="W15" s="535">
        <f>V15</f>
        <v>3.7600000000000001E-2</v>
      </c>
      <c r="X15" s="522"/>
    </row>
    <row r="16" spans="1:24" ht="13.5">
      <c r="A16" s="534">
        <f>A15</f>
        <v>100</v>
      </c>
      <c r="C16" s="435">
        <v>40000</v>
      </c>
      <c r="E16" s="533">
        <f t="shared" si="2"/>
        <v>3062.21</v>
      </c>
      <c r="F16" s="533"/>
      <c r="G16" s="533">
        <f t="shared" si="3"/>
        <v>3436.39</v>
      </c>
      <c r="H16" s="533"/>
      <c r="I16" s="533">
        <f>IF(G16="","",G16-E16)</f>
        <v>374.17999999999984</v>
      </c>
      <c r="K16" s="455">
        <f>IF(I16="","",G16/E16-1)</f>
        <v>0.12219279539940109</v>
      </c>
      <c r="M16" s="533">
        <f>ROUND(($V$17+($V$18*$A16+$V$20/100*$C16)*(1+$V$28)*(1+$V$22))+$V$21,2)</f>
        <v>2632.58</v>
      </c>
      <c r="N16" s="533"/>
      <c r="O16" s="533">
        <f>ROUND(($W$17+($W$18*$A16+$W$20/100*$C16)*(1+$W$28)*(1+$W$22))+$W$21,2)</f>
        <v>2954.62</v>
      </c>
      <c r="P16" s="533"/>
      <c r="Q16" s="533">
        <f t="shared" si="0"/>
        <v>322.03999999999996</v>
      </c>
      <c r="S16" s="455">
        <f t="shared" si="1"/>
        <v>0.12232866617538685</v>
      </c>
      <c r="U16" s="514" t="s">
        <v>439</v>
      </c>
      <c r="V16" s="423"/>
      <c r="W16" s="461"/>
    </row>
    <row r="17" spans="1:24">
      <c r="A17" s="534">
        <f>A16</f>
        <v>100</v>
      </c>
      <c r="C17" s="435">
        <v>60000</v>
      </c>
      <c r="E17" s="533">
        <f t="shared" si="2"/>
        <v>3749.97</v>
      </c>
      <c r="F17" s="533"/>
      <c r="G17" s="533">
        <f t="shared" si="3"/>
        <v>4207.8500000000004</v>
      </c>
      <c r="H17" s="533"/>
      <c r="I17" s="533">
        <f>IF(G17="","",G17-E17)</f>
        <v>457.88000000000056</v>
      </c>
      <c r="K17" s="455">
        <f>IF(I17="","",G17/E17-1)</f>
        <v>0.12210231015181461</v>
      </c>
      <c r="M17" s="533">
        <f>ROUND(($V$17+($V$18*$A17+$V$20/100*$C17)*(1+$V$28)*(1+$V$22))+$V$21,2)</f>
        <v>3266.64</v>
      </c>
      <c r="N17" s="533"/>
      <c r="O17" s="533">
        <f>ROUND(($W$17+($W$18*$A17+$W$20/100*$C17)*(1+$W$28)*(1+$W$22))+$W$21,2)</f>
        <v>3666.09</v>
      </c>
      <c r="P17" s="533"/>
      <c r="Q17" s="533">
        <f t="shared" si="0"/>
        <v>399.45000000000027</v>
      </c>
      <c r="S17" s="455">
        <f t="shared" si="1"/>
        <v>0.12228161046212627</v>
      </c>
      <c r="U17" s="462" t="s">
        <v>123</v>
      </c>
      <c r="V17" s="469">
        <f>V10</f>
        <v>45</v>
      </c>
      <c r="W17" s="470">
        <f>W10</f>
        <v>53</v>
      </c>
      <c r="X17" s="463"/>
    </row>
    <row r="18" spans="1:24">
      <c r="E18" s="533"/>
      <c r="F18" s="533"/>
      <c r="G18" s="533"/>
      <c r="H18" s="533"/>
      <c r="I18" s="533"/>
      <c r="K18" s="455"/>
      <c r="M18" s="533"/>
      <c r="N18" s="533"/>
      <c r="O18" s="533"/>
      <c r="P18" s="533"/>
      <c r="Q18" s="533" t="str">
        <f t="shared" si="0"/>
        <v/>
      </c>
      <c r="S18" s="455" t="str">
        <f t="shared" si="1"/>
        <v/>
      </c>
      <c r="U18" s="462" t="s">
        <v>467</v>
      </c>
      <c r="V18" s="463">
        <f>'Exhibit RMP-(WRG-5)'!G118</f>
        <v>12.17</v>
      </c>
      <c r="W18" s="464">
        <f>'Exhibit RMP-(WRG-5)'!M118</f>
        <v>14.31</v>
      </c>
      <c r="X18" s="463"/>
    </row>
    <row r="19" spans="1:24">
      <c r="A19" s="435">
        <v>200</v>
      </c>
      <c r="C19" s="435">
        <v>40000</v>
      </c>
      <c r="E19" s="533">
        <f t="shared" si="2"/>
        <v>4696.09</v>
      </c>
      <c r="F19" s="533"/>
      <c r="G19" s="533">
        <f t="shared" si="3"/>
        <v>5269.04</v>
      </c>
      <c r="H19" s="533"/>
      <c r="I19" s="533">
        <f>IF(G19="","",G19-E19)</f>
        <v>572.94999999999982</v>
      </c>
      <c r="K19" s="455">
        <f>IF(I19="","",G19/E19-1)</f>
        <v>0.12200575372277789</v>
      </c>
      <c r="M19" s="533">
        <f>ROUND(($V$17+($V$18*$A19+$V$20/100*$C19)*(1+$V$28)*(1+$V$22))+$V$21,2)</f>
        <v>3944.21</v>
      </c>
      <c r="N19" s="533"/>
      <c r="O19" s="533">
        <f>ROUND(($W$17+($W$18*$A19+$W$20/100*$C19)*(1+$W$28)*(1+$W$22))+$W$21,2)</f>
        <v>4425.47</v>
      </c>
      <c r="P19" s="533"/>
      <c r="Q19" s="533">
        <f t="shared" si="0"/>
        <v>481.26000000000022</v>
      </c>
      <c r="S19" s="455">
        <f t="shared" si="1"/>
        <v>0.1220168297326969</v>
      </c>
      <c r="U19" s="462" t="s">
        <v>468</v>
      </c>
      <c r="V19" s="469">
        <f>V12</f>
        <v>-0.78</v>
      </c>
      <c r="W19" s="470">
        <f>W12</f>
        <v>-0.92</v>
      </c>
      <c r="X19" s="463"/>
    </row>
    <row r="20" spans="1:24">
      <c r="A20" s="534">
        <f>A19</f>
        <v>200</v>
      </c>
      <c r="C20" s="435">
        <v>80000</v>
      </c>
      <c r="E20" s="533">
        <f t="shared" si="2"/>
        <v>6071.61</v>
      </c>
      <c r="F20" s="533"/>
      <c r="G20" s="533">
        <f t="shared" si="3"/>
        <v>6811.96</v>
      </c>
      <c r="H20" s="533"/>
      <c r="I20" s="533">
        <f>IF(G20="","",G20-E20)</f>
        <v>740.35000000000036</v>
      </c>
      <c r="K20" s="455">
        <f>IF(I20="","",G20/E20-1)</f>
        <v>0.12193635625476618</v>
      </c>
      <c r="M20" s="533">
        <f>ROUND(($V$17+($V$18*$A20+$V$20/100*$C20)*(1+$V$28)*(1+$V$22))+$V$21,2)</f>
        <v>5212.34</v>
      </c>
      <c r="N20" s="533"/>
      <c r="O20" s="533">
        <f>ROUND(($W$17+($W$18*$A20+$W$20/100*$C20)*(1+$W$28)*(1+$W$22))+$W$21,2)</f>
        <v>5848.42</v>
      </c>
      <c r="P20" s="533"/>
      <c r="Q20" s="533">
        <f t="shared" si="0"/>
        <v>636.07999999999993</v>
      </c>
      <c r="S20" s="455">
        <f t="shared" si="1"/>
        <v>0.12203348208290321</v>
      </c>
      <c r="U20" s="462" t="s">
        <v>475</v>
      </c>
      <c r="V20" s="471">
        <f>'Exhibit RMP-(WRG-5)'!G122</f>
        <v>2.9416000000000002</v>
      </c>
      <c r="W20" s="461">
        <f>'Exhibit RMP-(WRG-5)'!M122</f>
        <v>3.4609999999999999</v>
      </c>
      <c r="X20" s="519"/>
    </row>
    <row r="21" spans="1:24">
      <c r="A21" s="534">
        <f>A20</f>
        <v>200</v>
      </c>
      <c r="C21" s="435">
        <v>120000</v>
      </c>
      <c r="E21" s="533">
        <f t="shared" si="2"/>
        <v>7447.13</v>
      </c>
      <c r="F21" s="533"/>
      <c r="G21" s="533">
        <f t="shared" si="3"/>
        <v>8354.8799999999992</v>
      </c>
      <c r="H21" s="533"/>
      <c r="I21" s="533">
        <f>IF(G21="","",G21-E21)</f>
        <v>907.74999999999909</v>
      </c>
      <c r="K21" s="455">
        <f>IF(I21="","",G21/E21-1)</f>
        <v>0.12189259486540438</v>
      </c>
      <c r="M21" s="533">
        <f>ROUND(($V$17+($V$18*$A21+$V$20/100*$C21)*(1+$V$28)*(1+$V$22))+$V$21,2)</f>
        <v>6480.47</v>
      </c>
      <c r="N21" s="533"/>
      <c r="O21" s="533">
        <f>ROUND(($W$17+($W$18*$A21+$W$20/100*$C21)*(1+$W$28)*(1+$W$22))+$W$21,2)</f>
        <v>7271.37</v>
      </c>
      <c r="P21" s="533"/>
      <c r="Q21" s="533">
        <f t="shared" si="0"/>
        <v>790.89999999999964</v>
      </c>
      <c r="S21" s="455">
        <f t="shared" si="1"/>
        <v>0.1220436172067767</v>
      </c>
      <c r="U21" s="462" t="s">
        <v>449</v>
      </c>
      <c r="V21" s="469">
        <f>V14</f>
        <v>7.82</v>
      </c>
      <c r="W21" s="470">
        <f>W14</f>
        <v>7.82</v>
      </c>
      <c r="X21" s="463"/>
    </row>
    <row r="22" spans="1:24">
      <c r="E22" s="533"/>
      <c r="F22" s="533"/>
      <c r="G22" s="533"/>
      <c r="H22" s="533"/>
      <c r="I22" s="533"/>
      <c r="K22" s="455"/>
      <c r="M22" s="533"/>
      <c r="N22" s="533"/>
      <c r="O22" s="533"/>
      <c r="P22" s="533"/>
      <c r="Q22" s="533" t="str">
        <f t="shared" si="0"/>
        <v/>
      </c>
      <c r="S22" s="455" t="str">
        <f t="shared" si="1"/>
        <v/>
      </c>
      <c r="U22" s="473" t="s">
        <v>82</v>
      </c>
      <c r="V22" s="525">
        <f>V15</f>
        <v>3.7600000000000001E-2</v>
      </c>
      <c r="W22" s="526">
        <f>W15</f>
        <v>3.7600000000000001E-2</v>
      </c>
      <c r="X22" s="522"/>
    </row>
    <row r="23" spans="1:24">
      <c r="A23" s="435">
        <v>500</v>
      </c>
      <c r="C23" s="435">
        <v>100000</v>
      </c>
      <c r="E23" s="533">
        <f t="shared" si="2"/>
        <v>11661</v>
      </c>
      <c r="F23" s="533"/>
      <c r="G23" s="533">
        <f t="shared" si="3"/>
        <v>13081.37</v>
      </c>
      <c r="H23" s="533"/>
      <c r="I23" s="533">
        <f>IF(G23="","",G23-E23)</f>
        <v>1420.3700000000008</v>
      </c>
      <c r="K23" s="455">
        <f>IF(I23="","",G23/E23-1)</f>
        <v>0.12180516250750362</v>
      </c>
      <c r="M23" s="533">
        <f>ROUND(($V$17+($V$18*$A23+$V$20/100*$C23)*(1+$V$28)*(1+$V$22))+$V$21,2)</f>
        <v>9781.2800000000007</v>
      </c>
      <c r="N23" s="533"/>
      <c r="O23" s="533">
        <f>ROUND(($W$17+($W$18*$A23+$W$20/100*$C23)*(1+$W$28)*(1+$W$22))+$W$21,2)</f>
        <v>10972.44</v>
      </c>
      <c r="P23" s="533"/>
      <c r="Q23" s="533">
        <f t="shared" si="0"/>
        <v>1191.1599999999999</v>
      </c>
      <c r="S23" s="455">
        <f t="shared" si="1"/>
        <v>0.12177956259303491</v>
      </c>
    </row>
    <row r="24" spans="1:24">
      <c r="A24" s="534">
        <f>A23</f>
        <v>500</v>
      </c>
      <c r="C24" s="435">
        <v>200000</v>
      </c>
      <c r="E24" s="533">
        <f t="shared" si="2"/>
        <v>15099.79</v>
      </c>
      <c r="F24" s="533"/>
      <c r="G24" s="533">
        <f t="shared" si="3"/>
        <v>16938.68</v>
      </c>
      <c r="H24" s="533"/>
      <c r="I24" s="533">
        <f>IF(G24="","",G24-E24)</f>
        <v>1838.8899999999994</v>
      </c>
      <c r="K24" s="455">
        <f>IF(I24="","",G24/E24-1)</f>
        <v>0.12178248836573213</v>
      </c>
      <c r="M24" s="533">
        <f>ROUND(($V$17+($V$18*$A24+$V$20/100*$C24)*(1+$V$28)*(1+$V$22))+$V$21,2)</f>
        <v>12951.61</v>
      </c>
      <c r="N24" s="533"/>
      <c r="O24" s="533">
        <f>ROUND(($W$17+($W$18*$A24+$W$20/100*$C24)*(1+$W$28)*(1+$W$22))+$W$21,2)</f>
        <v>14529.82</v>
      </c>
      <c r="P24" s="533"/>
      <c r="Q24" s="533">
        <f t="shared" si="0"/>
        <v>1578.2099999999991</v>
      </c>
      <c r="S24" s="455">
        <f t="shared" si="1"/>
        <v>0.12185434860994104</v>
      </c>
      <c r="U24" s="425" t="s">
        <v>452</v>
      </c>
      <c r="W24" s="477">
        <f>'Exhibit RMP-(WRG-1)'!S20</f>
        <v>0.12563835984740665</v>
      </c>
    </row>
    <row r="25" spans="1:24">
      <c r="A25" s="534">
        <f>A24</f>
        <v>500</v>
      </c>
      <c r="C25" s="435">
        <v>300000</v>
      </c>
      <c r="E25" s="533">
        <f t="shared" si="2"/>
        <v>18538.580000000002</v>
      </c>
      <c r="F25" s="533"/>
      <c r="G25" s="533">
        <f t="shared" si="3"/>
        <v>20795.98</v>
      </c>
      <c r="H25" s="533"/>
      <c r="I25" s="533">
        <f>IF(G25="","",G25-E25)</f>
        <v>2257.3999999999978</v>
      </c>
      <c r="K25" s="455">
        <f>IF(I25="","",G25/E25-1)</f>
        <v>0.12176768662972015</v>
      </c>
      <c r="M25" s="533">
        <f>ROUND(($V$17+($V$18*$A25+$V$20/100*$C25)*(1+$V$28)*(1+$V$22))+$V$21,2)</f>
        <v>16121.93</v>
      </c>
      <c r="N25" s="533"/>
      <c r="O25" s="533">
        <f>ROUND(($W$17+($W$18*$A25+$W$20/100*$C25)*(1+$W$28)*(1+$W$22))+$W$21,2)</f>
        <v>18087.189999999999</v>
      </c>
      <c r="P25" s="533"/>
      <c r="Q25" s="533">
        <f t="shared" si="0"/>
        <v>1965.2599999999984</v>
      </c>
      <c r="S25" s="455">
        <f t="shared" si="1"/>
        <v>0.12189979735676792</v>
      </c>
      <c r="U25" s="425" t="s">
        <v>374</v>
      </c>
      <c r="V25" s="476">
        <v>4.8099999999999997E-2</v>
      </c>
      <c r="W25" s="425">
        <v>0</v>
      </c>
      <c r="X25" s="477"/>
    </row>
    <row r="26" spans="1:24">
      <c r="E26" s="533"/>
      <c r="F26" s="533"/>
      <c r="G26" s="533"/>
      <c r="H26" s="533"/>
      <c r="I26" s="533"/>
      <c r="K26" s="455"/>
      <c r="M26" s="533"/>
      <c r="N26" s="533"/>
      <c r="O26" s="533"/>
      <c r="P26" s="533"/>
      <c r="Q26" s="533" t="str">
        <f t="shared" si="0"/>
        <v/>
      </c>
      <c r="S26" s="455" t="str">
        <f t="shared" si="1"/>
        <v/>
      </c>
      <c r="U26" s="425" t="s">
        <v>453</v>
      </c>
      <c r="V26" s="476">
        <v>1.7600000000000001E-2</v>
      </c>
      <c r="W26" s="477">
        <f>V26</f>
        <v>1.7600000000000001E-2</v>
      </c>
    </row>
    <row r="27" spans="1:24">
      <c r="A27" s="435">
        <v>1000</v>
      </c>
      <c r="C27" s="435">
        <v>200000</v>
      </c>
      <c r="E27" s="533">
        <f t="shared" si="2"/>
        <v>23269.17</v>
      </c>
      <c r="F27" s="533"/>
      <c r="G27" s="533">
        <f t="shared" si="3"/>
        <v>26101.93</v>
      </c>
      <c r="H27" s="533"/>
      <c r="I27" s="533">
        <f>IF(G27="","",G27-E27)</f>
        <v>2832.760000000002</v>
      </c>
      <c r="K27" s="455">
        <f>IF(I27="","",G27/E27-1)</f>
        <v>0.12173876421032648</v>
      </c>
      <c r="M27" s="533">
        <f>ROUND(($V$17+($V$18*$A27+$V$20/100*$C27)*(1+$V$28)*(1+$V$22))+$V$21,2)</f>
        <v>19509.75</v>
      </c>
      <c r="N27" s="533"/>
      <c r="O27" s="533">
        <f>ROUND(($W$17+($W$18*$A27+$W$20/100*$C27)*(1+$W$28)*(1+$W$22))+$W$21,2)</f>
        <v>21884.06</v>
      </c>
      <c r="P27" s="533"/>
      <c r="Q27" s="533">
        <f t="shared" si="0"/>
        <v>2374.3100000000013</v>
      </c>
      <c r="S27" s="455">
        <f t="shared" si="1"/>
        <v>0.1216986378605569</v>
      </c>
      <c r="U27" s="425" t="s">
        <v>454</v>
      </c>
      <c r="V27" s="476">
        <v>-2.7E-2</v>
      </c>
      <c r="W27" s="477">
        <f>V27</f>
        <v>-2.7E-2</v>
      </c>
    </row>
    <row r="28" spans="1:24">
      <c r="A28" s="534">
        <f>A27</f>
        <v>1000</v>
      </c>
      <c r="C28" s="435">
        <v>400000</v>
      </c>
      <c r="E28" s="533">
        <f t="shared" si="2"/>
        <v>30146.76</v>
      </c>
      <c r="F28" s="533"/>
      <c r="G28" s="533">
        <f t="shared" si="3"/>
        <v>33816.53</v>
      </c>
      <c r="H28" s="533"/>
      <c r="I28" s="533">
        <f>IF(G28="","",G28-E28)</f>
        <v>3669.7700000000004</v>
      </c>
      <c r="K28" s="455">
        <f>IF(I28="","",G28/E28-1)</f>
        <v>0.12173016271068593</v>
      </c>
      <c r="M28" s="533">
        <f>ROUND(($V$17+($V$18*$A28+$V$20/100*$C28)*(1+$V$28)*(1+$V$22))+$V$21,2)</f>
        <v>25850.400000000001</v>
      </c>
      <c r="N28" s="533"/>
      <c r="O28" s="533">
        <f>ROUND(($W$17+($W$18*$A28+$W$20/100*$C28)*(1+$W$28)*(1+$W$22))+$W$21,2)</f>
        <v>28998.81</v>
      </c>
      <c r="P28" s="533"/>
      <c r="Q28" s="533">
        <f t="shared" si="0"/>
        <v>3148.41</v>
      </c>
      <c r="S28" s="455">
        <f t="shared" si="1"/>
        <v>0.12179347321511469</v>
      </c>
      <c r="U28" s="423" t="s">
        <v>455</v>
      </c>
      <c r="V28" s="476">
        <f>SUM(V25:V27)</f>
        <v>3.8699999999999998E-2</v>
      </c>
      <c r="W28" s="477">
        <f>SUM(W25:W27)</f>
        <v>-9.3999999999999986E-3</v>
      </c>
    </row>
    <row r="29" spans="1:24">
      <c r="A29" s="534">
        <f>A28</f>
        <v>1000</v>
      </c>
      <c r="C29" s="435">
        <v>600000</v>
      </c>
      <c r="E29" s="533">
        <f t="shared" si="2"/>
        <v>37024.35</v>
      </c>
      <c r="F29" s="533"/>
      <c r="G29" s="533">
        <f t="shared" si="3"/>
        <v>41531.14</v>
      </c>
      <c r="H29" s="533"/>
      <c r="I29" s="533">
        <f>IF(G29="","",G29-E29)</f>
        <v>4506.7900000000009</v>
      </c>
      <c r="K29" s="455">
        <f>IF(I29="","",G29/E29-1)</f>
        <v>0.12172502690796727</v>
      </c>
      <c r="M29" s="533">
        <f>ROUND(($V$17+($V$18*$A29+$V$20/100*$C29)*(1+$V$28)*(1+$V$22))+$V$21,2)</f>
        <v>32191.05</v>
      </c>
      <c r="N29" s="533"/>
      <c r="O29" s="533">
        <f>ROUND(($W$17+($W$18*$A29+$W$20/100*$C29)*(1+$W$28)*(1+$W$22))+$W$21,2)</f>
        <v>36113.57</v>
      </c>
      <c r="P29" s="533"/>
      <c r="Q29" s="533">
        <f t="shared" si="0"/>
        <v>3922.5200000000004</v>
      </c>
      <c r="S29" s="455">
        <f t="shared" si="1"/>
        <v>0.12185125989987911</v>
      </c>
    </row>
    <row r="31" spans="1:24" ht="15.75">
      <c r="A31" s="480" t="s">
        <v>456</v>
      </c>
    </row>
    <row r="32" spans="1:24" ht="15.75">
      <c r="A32" s="480"/>
    </row>
  </sheetData>
  <phoneticPr fontId="67" type="noConversion"/>
  <printOptions horizontalCentered="1"/>
  <pageMargins left="0.75" right="0.75" top="1" bottom="1" header="0.5" footer="0.5"/>
  <pageSetup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view="pageBreakPreview" zoomScale="60" zoomScaleNormal="75" workbookViewId="0">
      <selection activeCell="C71" sqref="C71"/>
    </sheetView>
  </sheetViews>
  <sheetFormatPr defaultColWidth="8" defaultRowHeight="12.75"/>
  <cols>
    <col min="1" max="1" width="8.375" style="435" bestFit="1" customWidth="1"/>
    <col min="2" max="2" width="0.875" style="435" customWidth="1"/>
    <col min="3" max="3" width="9.625" style="435" bestFit="1" customWidth="1"/>
    <col min="4" max="4" width="1" style="425" customWidth="1"/>
    <col min="5" max="5" width="6.75" style="435" bestFit="1" customWidth="1"/>
    <col min="6" max="6" width="1.25" style="425" customWidth="1"/>
    <col min="7" max="7" width="9.625" style="453" bestFit="1" customWidth="1"/>
    <col min="8" max="8" width="0.875" style="425" customWidth="1"/>
    <col min="9" max="9" width="9.625" style="453" bestFit="1" customWidth="1"/>
    <col min="10" max="10" width="1" style="425" customWidth="1"/>
    <col min="11" max="11" width="8.625" style="425" bestFit="1" customWidth="1"/>
    <col min="12" max="12" width="0.875" style="425" customWidth="1"/>
    <col min="13" max="13" width="5.5" style="425" bestFit="1" customWidth="1"/>
    <col min="14" max="14" width="1.25" style="425" customWidth="1"/>
    <col min="15" max="15" width="9.625" style="453" bestFit="1" customWidth="1"/>
    <col min="16" max="16" width="1" style="425" customWidth="1"/>
    <col min="17" max="17" width="9.625" style="453" bestFit="1" customWidth="1"/>
    <col min="18" max="18" width="0.875" style="425" customWidth="1"/>
    <col min="19" max="19" width="8.5" style="425" bestFit="1" customWidth="1"/>
    <col min="20" max="20" width="0.75" style="425" customWidth="1"/>
    <col min="21" max="21" width="5.5" style="425" bestFit="1" customWidth="1"/>
    <col min="22" max="22" width="2.875" style="425" customWidth="1"/>
    <col min="23" max="23" width="10.625" style="425" customWidth="1"/>
    <col min="24" max="24" width="8.25" style="425" bestFit="1" customWidth="1"/>
    <col min="25" max="25" width="9.875" style="425" bestFit="1" customWidth="1"/>
    <col min="26" max="26" width="9.625" style="425" customWidth="1"/>
    <col min="27" max="16384" width="8" style="425"/>
  </cols>
  <sheetData>
    <row r="1" spans="1:27" ht="16.5">
      <c r="A1" s="418" t="s">
        <v>1</v>
      </c>
      <c r="B1" s="418"/>
      <c r="C1" s="418"/>
      <c r="D1" s="419"/>
      <c r="E1" s="418"/>
      <c r="F1" s="419"/>
      <c r="G1" s="420"/>
      <c r="H1" s="419"/>
      <c r="I1" s="420"/>
      <c r="J1" s="419"/>
      <c r="K1" s="419"/>
      <c r="L1" s="419"/>
      <c r="M1" s="419"/>
      <c r="N1" s="419"/>
      <c r="O1" s="420"/>
      <c r="P1" s="419"/>
      <c r="Q1" s="420"/>
      <c r="R1" s="419"/>
      <c r="S1" s="419"/>
      <c r="T1" s="419"/>
      <c r="U1" s="419"/>
    </row>
    <row r="2" spans="1:27" ht="16.5">
      <c r="A2" s="418" t="s">
        <v>432</v>
      </c>
      <c r="B2" s="418"/>
      <c r="C2" s="418"/>
      <c r="D2" s="419"/>
      <c r="E2" s="418"/>
      <c r="F2" s="419"/>
      <c r="G2" s="420"/>
      <c r="H2" s="419"/>
      <c r="I2" s="420"/>
      <c r="J2" s="419"/>
      <c r="K2" s="419"/>
      <c r="L2" s="419"/>
      <c r="M2" s="419"/>
      <c r="N2" s="419"/>
      <c r="O2" s="420"/>
      <c r="P2" s="419"/>
      <c r="Q2" s="420"/>
      <c r="R2" s="419"/>
      <c r="S2" s="419"/>
      <c r="T2" s="419"/>
      <c r="U2" s="419"/>
    </row>
    <row r="3" spans="1:27" ht="16.5">
      <c r="A3" s="418" t="s">
        <v>476</v>
      </c>
      <c r="B3" s="418"/>
      <c r="C3" s="418"/>
      <c r="D3" s="419"/>
      <c r="E3" s="418"/>
      <c r="F3" s="419"/>
      <c r="G3" s="420"/>
      <c r="H3" s="419"/>
      <c r="I3" s="420"/>
      <c r="J3" s="419"/>
      <c r="K3" s="419"/>
      <c r="L3" s="419"/>
      <c r="M3" s="419"/>
      <c r="N3" s="419"/>
      <c r="O3" s="420"/>
      <c r="P3" s="419"/>
      <c r="Q3" s="420"/>
      <c r="R3" s="419"/>
      <c r="S3" s="419"/>
      <c r="T3" s="419"/>
      <c r="U3" s="419"/>
    </row>
    <row r="4" spans="1:27" ht="16.5">
      <c r="A4" s="418" t="s">
        <v>477</v>
      </c>
      <c r="B4" s="418"/>
      <c r="C4" s="418"/>
      <c r="D4" s="419"/>
      <c r="E4" s="418"/>
      <c r="F4" s="419"/>
      <c r="G4" s="420"/>
      <c r="H4" s="419"/>
      <c r="I4" s="420"/>
      <c r="J4" s="419"/>
      <c r="K4" s="419"/>
      <c r="L4" s="419"/>
      <c r="M4" s="419"/>
      <c r="N4" s="419"/>
      <c r="O4" s="420"/>
      <c r="P4" s="419"/>
      <c r="Q4" s="420"/>
      <c r="R4" s="419"/>
      <c r="S4" s="419"/>
      <c r="T4" s="419"/>
      <c r="U4" s="419"/>
    </row>
    <row r="5" spans="1:27">
      <c r="A5" s="428"/>
      <c r="B5" s="428"/>
      <c r="C5" s="428"/>
      <c r="D5" s="419"/>
      <c r="E5" s="428"/>
      <c r="F5" s="419"/>
      <c r="G5" s="420"/>
      <c r="H5" s="419"/>
      <c r="I5" s="420"/>
      <c r="J5" s="419"/>
      <c r="L5" s="419"/>
      <c r="N5" s="419"/>
      <c r="O5" s="420"/>
      <c r="P5" s="419"/>
      <c r="Q5" s="420"/>
      <c r="R5" s="419"/>
      <c r="T5" s="419"/>
    </row>
    <row r="6" spans="1:27" ht="17.25">
      <c r="A6" s="429"/>
      <c r="B6" s="422"/>
      <c r="C6" s="422"/>
      <c r="D6" s="422"/>
      <c r="E6" s="432"/>
      <c r="F6" s="431"/>
      <c r="G6" s="432"/>
      <c r="H6" s="422"/>
      <c r="I6" s="505"/>
      <c r="J6" s="422"/>
      <c r="K6" s="422"/>
      <c r="L6" s="422"/>
      <c r="M6" s="422"/>
      <c r="N6" s="422"/>
      <c r="O6" s="432"/>
      <c r="P6" s="422"/>
      <c r="Q6" s="505"/>
      <c r="R6" s="422"/>
      <c r="S6" s="422"/>
      <c r="T6" s="422"/>
      <c r="U6" s="422"/>
    </row>
    <row r="7" spans="1:27">
      <c r="G7" s="505"/>
      <c r="H7" s="423"/>
      <c r="I7" s="505"/>
      <c r="J7" s="423"/>
      <c r="K7" s="532"/>
      <c r="L7" s="423"/>
      <c r="M7" s="532"/>
      <c r="N7" s="423"/>
      <c r="O7" s="505"/>
      <c r="P7" s="423"/>
      <c r="Q7" s="505"/>
      <c r="R7" s="423"/>
      <c r="S7" s="532"/>
      <c r="T7" s="423"/>
      <c r="U7" s="532"/>
      <c r="X7" s="447"/>
      <c r="Y7" s="447"/>
      <c r="Z7" s="447"/>
    </row>
    <row r="8" spans="1:27">
      <c r="G8" s="436" t="s">
        <v>438</v>
      </c>
      <c r="H8" s="445"/>
      <c r="I8" s="438"/>
      <c r="J8" s="437"/>
      <c r="K8" s="446"/>
      <c r="L8" s="437"/>
      <c r="M8" s="437"/>
      <c r="O8" s="436" t="s">
        <v>439</v>
      </c>
      <c r="P8" s="445"/>
      <c r="Q8" s="438"/>
      <c r="R8" s="437"/>
      <c r="S8" s="446"/>
      <c r="T8" s="437"/>
      <c r="U8" s="437"/>
      <c r="W8" s="510" t="s">
        <v>478</v>
      </c>
      <c r="X8" s="511" t="s">
        <v>81</v>
      </c>
      <c r="Y8" s="512" t="s">
        <v>8</v>
      </c>
      <c r="Z8" s="447"/>
    </row>
    <row r="9" spans="1:27" ht="16.5">
      <c r="A9" s="506" t="s">
        <v>462</v>
      </c>
      <c r="E9" s="506" t="s">
        <v>479</v>
      </c>
      <c r="G9" s="438" t="s">
        <v>463</v>
      </c>
      <c r="H9" s="437"/>
      <c r="I9" s="438"/>
      <c r="K9" s="438" t="s">
        <v>19</v>
      </c>
      <c r="L9" s="437"/>
      <c r="M9" s="438"/>
      <c r="O9" s="438" t="s">
        <v>463</v>
      </c>
      <c r="P9" s="437"/>
      <c r="Q9" s="438"/>
      <c r="S9" s="438" t="s">
        <v>19</v>
      </c>
      <c r="T9" s="437"/>
      <c r="U9" s="438"/>
      <c r="W9" s="536" t="s">
        <v>438</v>
      </c>
      <c r="X9" s="537"/>
      <c r="Y9" s="538"/>
      <c r="Z9" s="505"/>
    </row>
    <row r="10" spans="1:27" ht="15.75">
      <c r="A10" s="500" t="s">
        <v>480</v>
      </c>
      <c r="B10" s="507"/>
      <c r="C10" s="508" t="s">
        <v>85</v>
      </c>
      <c r="E10" s="508" t="s">
        <v>481</v>
      </c>
      <c r="G10" s="442" t="s">
        <v>81</v>
      </c>
      <c r="I10" s="499" t="s">
        <v>8</v>
      </c>
      <c r="K10" s="451" t="s">
        <v>86</v>
      </c>
      <c r="M10" s="500" t="s">
        <v>48</v>
      </c>
      <c r="O10" s="442" t="s">
        <v>81</v>
      </c>
      <c r="Q10" s="499" t="s">
        <v>8</v>
      </c>
      <c r="S10" s="451" t="s">
        <v>86</v>
      </c>
      <c r="U10" s="500" t="s">
        <v>48</v>
      </c>
      <c r="W10" s="462" t="s">
        <v>123</v>
      </c>
      <c r="X10" s="463">
        <f>'Exhibit RMP-(WRG-5)'!G284</f>
        <v>55</v>
      </c>
      <c r="Y10" s="464">
        <f>'Exhibit RMP-(WRG-5)'!M284</f>
        <v>66</v>
      </c>
      <c r="Z10" s="463"/>
    </row>
    <row r="11" spans="1:27" ht="16.5" customHeight="1">
      <c r="A11" s="435">
        <v>1000</v>
      </c>
      <c r="C11" s="435">
        <f>A11*0.5*730</f>
        <v>365000</v>
      </c>
      <c r="E11" s="478">
        <v>0.6</v>
      </c>
      <c r="G11" s="533">
        <f>ROUND(($X$10+(($X$12*(1+$X$32)+$X$11+$X$13)*$A11+($X$14*$E11+$X$15*(1-$E11))/100*$C11*(1+$X$32))*(1+$X$17))+$X$16,2)</f>
        <v>30207.82</v>
      </c>
      <c r="H11" s="533"/>
      <c r="I11" s="533">
        <f>ROUND(($Y$10+(($Y$12*(1+$Y$32)+$Y$11+$Y$13)*$A11+($Y$14*$E11+$Y$15*(1-$E11))/100*$C11*(1+$Y$32))*(1+$Y$17))+$Y$16,2)</f>
        <v>34377.68</v>
      </c>
      <c r="J11" s="533"/>
      <c r="K11" s="533">
        <f t="shared" ref="K11:K59" si="0">IF(I11="","",I11-G11)</f>
        <v>4169.8600000000006</v>
      </c>
      <c r="M11" s="539">
        <f t="shared" ref="M11:M59" si="1">IF(K11="","",I11/G11-1)</f>
        <v>0.13803909054013164</v>
      </c>
      <c r="O11" s="533">
        <f>ROUND(($X$19+(($X$21*(1+$X$32)+$X$20+$X$22)*$A11+($X$23*$E11+$X$24*(1-$E11))/100*$C11*(1+$X$32))*(1+$X$26))+$X$25,2)</f>
        <v>24406.69</v>
      </c>
      <c r="P11" s="533"/>
      <c r="Q11" s="533">
        <f>ROUND(($Y$19+(($Y$21*(1+$Y$32)+$Y$20+$Y$22)*$A11+($Y$23*$E11+$Y$24*(1-$E11))/100*$C11*(1+$Y$32))*(1+$Y$26))+$Y$25,2)</f>
        <v>27815.71</v>
      </c>
      <c r="R11" s="533"/>
      <c r="S11" s="533">
        <f t="shared" ref="S11:S59" si="2">IF(Q11="","",Q11-O11)</f>
        <v>3409.0200000000004</v>
      </c>
      <c r="U11" s="539">
        <f t="shared" ref="U11:U59" si="3">IF(S11="","",Q11/O11-1)</f>
        <v>0.1396756381139761</v>
      </c>
      <c r="W11" s="462" t="s">
        <v>482</v>
      </c>
      <c r="X11" s="463">
        <f>'Exhibit RMP-(WRG-5)'!G285</f>
        <v>3.77</v>
      </c>
      <c r="Y11" s="464">
        <f>'Exhibit RMP-(WRG-5)'!M285</f>
        <v>4.51</v>
      </c>
      <c r="Z11" s="463"/>
      <c r="AA11" s="447"/>
    </row>
    <row r="12" spans="1:27">
      <c r="A12" s="540">
        <f>A11</f>
        <v>1000</v>
      </c>
      <c r="C12" s="540">
        <f>C11</f>
        <v>365000</v>
      </c>
      <c r="E12" s="478">
        <v>0.5</v>
      </c>
      <c r="G12" s="533">
        <f t="shared" ref="G12:G19" si="4">ROUND(($X$10+(($X$12*(1+$X$32)+$X$11+$X$13)*$A12+($X$14*$E12+$X$15*(1-$E12))/100*$C12*(1+$X$32))*(1+$X$17))+$X$16,2)</f>
        <v>29692.33</v>
      </c>
      <c r="H12" s="533"/>
      <c r="I12" s="533">
        <f t="shared" ref="I12:I19" si="5">ROUND(($Y$10+(($Y$12*(1+$Y$32)+$Y$11+$Y$13)*$A12+($Y$14*$E12+$Y$15*(1-$E12))/100*$C12*(1+$Y$32))*(1+$Y$17))+$Y$16,2)</f>
        <v>33793.910000000003</v>
      </c>
      <c r="J12" s="533"/>
      <c r="K12" s="533">
        <f t="shared" si="0"/>
        <v>4101.5800000000017</v>
      </c>
      <c r="M12" s="539">
        <f t="shared" si="1"/>
        <v>0.13813601020869704</v>
      </c>
      <c r="O12" s="533">
        <f t="shared" ref="O12:O19" si="6">ROUND(($X$19+(($X$21*(1+$X$32)+$X$20+$X$22)*$A12+($X$23*$E12+$X$24*(1-$E12))/100*$C12*(1+$X$32))*(1+$X$26))+$X$25,2)</f>
        <v>24235</v>
      </c>
      <c r="P12" s="533"/>
      <c r="Q12" s="533">
        <f t="shared" ref="Q12:Q19" si="7">ROUND(($Y$19+(($Y$21*(1+$Y$32)+$Y$20+$Y$22)*$A12+($Y$23*$E12+$Y$24*(1-$E12))/100*$C12*(1+$Y$32))*(1+$Y$26))+$Y$25,2)</f>
        <v>27621.14</v>
      </c>
      <c r="R12" s="533"/>
      <c r="S12" s="533">
        <f t="shared" si="2"/>
        <v>3386.1399999999994</v>
      </c>
      <c r="U12" s="539">
        <f t="shared" si="3"/>
        <v>0.13972106457602629</v>
      </c>
      <c r="W12" s="462" t="s">
        <v>483</v>
      </c>
      <c r="X12" s="463">
        <f>'Exhibit RMP-(WRG-5)'!G286</f>
        <v>12.33</v>
      </c>
      <c r="Y12" s="464">
        <f>'Exhibit RMP-(WRG-5)'!M286</f>
        <v>14.74</v>
      </c>
      <c r="Z12" s="463"/>
      <c r="AA12" s="447"/>
    </row>
    <row r="13" spans="1:27">
      <c r="A13" s="540">
        <f>A12</f>
        <v>1000</v>
      </c>
      <c r="C13" s="540">
        <f>C12</f>
        <v>365000</v>
      </c>
      <c r="E13" s="478">
        <v>0.4</v>
      </c>
      <c r="G13" s="533">
        <f t="shared" si="4"/>
        <v>29176.83</v>
      </c>
      <c r="H13" s="533"/>
      <c r="I13" s="533">
        <f t="shared" si="5"/>
        <v>33210.129999999997</v>
      </c>
      <c r="J13" s="533"/>
      <c r="K13" s="533">
        <f t="shared" si="0"/>
        <v>4033.2999999999956</v>
      </c>
      <c r="M13" s="539">
        <f t="shared" si="1"/>
        <v>0.13823640196690312</v>
      </c>
      <c r="O13" s="533">
        <f t="shared" si="6"/>
        <v>24063.32</v>
      </c>
      <c r="P13" s="533"/>
      <c r="Q13" s="533">
        <f t="shared" si="7"/>
        <v>27426.57</v>
      </c>
      <c r="R13" s="533"/>
      <c r="S13" s="533">
        <f t="shared" si="2"/>
        <v>3363.25</v>
      </c>
      <c r="U13" s="539">
        <f t="shared" si="3"/>
        <v>0.13976666561388873</v>
      </c>
      <c r="W13" s="462" t="s">
        <v>468</v>
      </c>
      <c r="X13" s="463">
        <f>'Exhibit RMP-(WRG-5)'!G288</f>
        <v>-0.9</v>
      </c>
      <c r="Y13" s="464">
        <f>'Exhibit RMP-(WRG-5)'!M288</f>
        <v>-1.08</v>
      </c>
      <c r="Z13" s="463"/>
      <c r="AA13" s="447"/>
    </row>
    <row r="14" spans="1:27">
      <c r="A14" s="540">
        <f>A13</f>
        <v>1000</v>
      </c>
      <c r="C14" s="435">
        <f>A11*0.7*730</f>
        <v>511000</v>
      </c>
      <c r="E14" s="478">
        <f t="shared" ref="E14:E19" si="8">E11</f>
        <v>0.6</v>
      </c>
      <c r="G14" s="533">
        <f t="shared" si="4"/>
        <v>35714.35</v>
      </c>
      <c r="H14" s="533"/>
      <c r="I14" s="533">
        <f t="shared" si="5"/>
        <v>40610.86</v>
      </c>
      <c r="J14" s="533"/>
      <c r="K14" s="533">
        <f t="shared" si="0"/>
        <v>4896.510000000002</v>
      </c>
      <c r="M14" s="539">
        <f t="shared" si="1"/>
        <v>0.13710203321634018</v>
      </c>
      <c r="O14" s="533">
        <f t="shared" si="6"/>
        <v>29088.080000000002</v>
      </c>
      <c r="P14" s="533"/>
      <c r="Q14" s="533">
        <f t="shared" si="7"/>
        <v>33114.78</v>
      </c>
      <c r="R14" s="533"/>
      <c r="S14" s="533">
        <f t="shared" si="2"/>
        <v>4026.6999999999971</v>
      </c>
      <c r="U14" s="539">
        <f t="shared" si="3"/>
        <v>0.13843127494148799</v>
      </c>
      <c r="W14" s="462" t="s">
        <v>484</v>
      </c>
      <c r="X14" s="517">
        <f>'Exhibit RMP-(WRG-5)'!G289</f>
        <v>4.0021000000000004</v>
      </c>
      <c r="Y14" s="518">
        <f>'Exhibit RMP-(WRG-5)'!M289</f>
        <v>4.7850999999999999</v>
      </c>
      <c r="Z14" s="519"/>
      <c r="AA14" s="541"/>
    </row>
    <row r="15" spans="1:27">
      <c r="A15" s="540">
        <f>A14</f>
        <v>1000</v>
      </c>
      <c r="C15" s="540">
        <f>C14</f>
        <v>511000</v>
      </c>
      <c r="E15" s="478">
        <f t="shared" si="8"/>
        <v>0.5</v>
      </c>
      <c r="G15" s="533">
        <f t="shared" si="4"/>
        <v>34992.660000000003</v>
      </c>
      <c r="H15" s="533"/>
      <c r="I15" s="533">
        <f t="shared" si="5"/>
        <v>39793.57</v>
      </c>
      <c r="J15" s="533"/>
      <c r="K15" s="533">
        <f t="shared" si="0"/>
        <v>4800.9099999999962</v>
      </c>
      <c r="M15" s="539">
        <f t="shared" si="1"/>
        <v>0.13719762944571801</v>
      </c>
      <c r="O15" s="533">
        <f t="shared" si="6"/>
        <v>28847.72</v>
      </c>
      <c r="P15" s="533"/>
      <c r="Q15" s="533">
        <f t="shared" si="7"/>
        <v>32842.39</v>
      </c>
      <c r="R15" s="533"/>
      <c r="S15" s="533">
        <f t="shared" si="2"/>
        <v>3994.6699999999983</v>
      </c>
      <c r="U15" s="539">
        <f t="shared" si="3"/>
        <v>0.13847437509792804</v>
      </c>
      <c r="W15" s="462" t="s">
        <v>485</v>
      </c>
      <c r="X15" s="517">
        <f>'Exhibit RMP-(WRG-5)'!G291</f>
        <v>2.6987000000000001</v>
      </c>
      <c r="Y15" s="518">
        <f>'Exhibit RMP-(WRG-5)'!M291</f>
        <v>3.2261000000000002</v>
      </c>
      <c r="Z15" s="519"/>
      <c r="AA15" s="541"/>
    </row>
    <row r="16" spans="1:27">
      <c r="A16" s="540">
        <f>A15</f>
        <v>1000</v>
      </c>
      <c r="C16" s="540">
        <f>C15</f>
        <v>511000</v>
      </c>
      <c r="E16" s="478">
        <f t="shared" si="8"/>
        <v>0.4</v>
      </c>
      <c r="G16" s="533">
        <f t="shared" si="4"/>
        <v>34270.97</v>
      </c>
      <c r="H16" s="533"/>
      <c r="I16" s="533">
        <f t="shared" si="5"/>
        <v>38976.29</v>
      </c>
      <c r="J16" s="533"/>
      <c r="K16" s="533">
        <f t="shared" si="0"/>
        <v>4705.32</v>
      </c>
      <c r="M16" s="539">
        <f t="shared" si="1"/>
        <v>0.13729754366450675</v>
      </c>
      <c r="O16" s="533">
        <f t="shared" si="6"/>
        <v>28607.360000000001</v>
      </c>
      <c r="P16" s="533"/>
      <c r="Q16" s="533">
        <f t="shared" si="7"/>
        <v>32570</v>
      </c>
      <c r="R16" s="533"/>
      <c r="S16" s="533">
        <f t="shared" si="2"/>
        <v>3962.6399999999994</v>
      </c>
      <c r="U16" s="539">
        <f t="shared" si="3"/>
        <v>0.13851819951229327</v>
      </c>
      <c r="W16" s="462" t="s">
        <v>449</v>
      </c>
      <c r="X16" s="463">
        <v>50</v>
      </c>
      <c r="Y16" s="521">
        <f>X16</f>
        <v>50</v>
      </c>
      <c r="Z16" s="463"/>
      <c r="AA16" s="447"/>
    </row>
    <row r="17" spans="1:27">
      <c r="A17" s="540">
        <f>A14</f>
        <v>1000</v>
      </c>
      <c r="C17" s="435">
        <f>A11*0.9*730</f>
        <v>657000</v>
      </c>
      <c r="E17" s="478">
        <f t="shared" si="8"/>
        <v>0.6</v>
      </c>
      <c r="G17" s="533">
        <f t="shared" si="4"/>
        <v>41220.879999999997</v>
      </c>
      <c r="H17" s="533"/>
      <c r="I17" s="533">
        <f t="shared" si="5"/>
        <v>46844.04</v>
      </c>
      <c r="J17" s="533"/>
      <c r="K17" s="533">
        <f t="shared" si="0"/>
        <v>5623.1600000000035</v>
      </c>
      <c r="M17" s="539">
        <f t="shared" si="1"/>
        <v>0.13641533125930372</v>
      </c>
      <c r="O17" s="533">
        <f t="shared" si="6"/>
        <v>33769.47</v>
      </c>
      <c r="P17" s="533"/>
      <c r="Q17" s="533">
        <f t="shared" si="7"/>
        <v>38413.86</v>
      </c>
      <c r="R17" s="533"/>
      <c r="S17" s="533">
        <f t="shared" si="2"/>
        <v>4644.3899999999994</v>
      </c>
      <c r="U17" s="539">
        <f t="shared" si="3"/>
        <v>0.13753221474900257</v>
      </c>
      <c r="W17" s="462" t="s">
        <v>82</v>
      </c>
      <c r="X17" s="522">
        <f>'Exhibit RMP-(WRG-5)'!G295</f>
        <v>3.6999999999999998E-2</v>
      </c>
      <c r="Y17" s="535">
        <f>X17</f>
        <v>3.6999999999999998E-2</v>
      </c>
      <c r="Z17" s="522"/>
      <c r="AA17" s="447"/>
    </row>
    <row r="18" spans="1:27" ht="13.5">
      <c r="A18" s="540">
        <f>A15</f>
        <v>1000</v>
      </c>
      <c r="C18" s="540">
        <f>C17</f>
        <v>657000</v>
      </c>
      <c r="E18" s="478">
        <f t="shared" si="8"/>
        <v>0.5</v>
      </c>
      <c r="G18" s="533">
        <f t="shared" si="4"/>
        <v>40292.99</v>
      </c>
      <c r="H18" s="533"/>
      <c r="I18" s="533">
        <f t="shared" si="5"/>
        <v>45793.24</v>
      </c>
      <c r="J18" s="533"/>
      <c r="K18" s="533">
        <f t="shared" si="0"/>
        <v>5500.25</v>
      </c>
      <c r="M18" s="539">
        <f t="shared" si="1"/>
        <v>0.13650637493022977</v>
      </c>
      <c r="O18" s="533">
        <f t="shared" si="6"/>
        <v>33460.43</v>
      </c>
      <c r="P18" s="533"/>
      <c r="Q18" s="533">
        <f t="shared" si="7"/>
        <v>38063.64</v>
      </c>
      <c r="R18" s="533"/>
      <c r="S18" s="533">
        <f t="shared" si="2"/>
        <v>4603.2099999999991</v>
      </c>
      <c r="U18" s="539">
        <f t="shared" si="3"/>
        <v>0.13757175266426636</v>
      </c>
      <c r="W18" s="514" t="s">
        <v>439</v>
      </c>
      <c r="X18" s="423"/>
      <c r="Y18" s="461"/>
      <c r="Z18" s="463"/>
      <c r="AA18" s="447"/>
    </row>
    <row r="19" spans="1:27">
      <c r="A19" s="540">
        <f>A16</f>
        <v>1000</v>
      </c>
      <c r="C19" s="540">
        <f>C18</f>
        <v>657000</v>
      </c>
      <c r="E19" s="478">
        <f t="shared" si="8"/>
        <v>0.4</v>
      </c>
      <c r="G19" s="533">
        <f t="shared" si="4"/>
        <v>39365.1</v>
      </c>
      <c r="H19" s="533"/>
      <c r="I19" s="533">
        <f t="shared" si="5"/>
        <v>44742.45</v>
      </c>
      <c r="J19" s="533"/>
      <c r="K19" s="533">
        <f t="shared" si="0"/>
        <v>5377.3499999999985</v>
      </c>
      <c r="M19" s="539">
        <f t="shared" si="1"/>
        <v>0.13660196468445407</v>
      </c>
      <c r="O19" s="533">
        <f t="shared" si="6"/>
        <v>33151.4</v>
      </c>
      <c r="P19" s="533"/>
      <c r="Q19" s="533">
        <f t="shared" si="7"/>
        <v>37713.42</v>
      </c>
      <c r="R19" s="533"/>
      <c r="S19" s="533">
        <f t="shared" si="2"/>
        <v>4562.0199999999968</v>
      </c>
      <c r="U19" s="539">
        <f t="shared" si="3"/>
        <v>0.13761168457440709</v>
      </c>
      <c r="W19" s="462" t="s">
        <v>123</v>
      </c>
      <c r="X19" s="469">
        <f>X10</f>
        <v>55</v>
      </c>
      <c r="Y19" s="470">
        <f>Y10</f>
        <v>66</v>
      </c>
      <c r="Z19" s="469"/>
      <c r="AA19" s="447"/>
    </row>
    <row r="20" spans="1:27">
      <c r="G20" s="533"/>
      <c r="H20" s="533"/>
      <c r="I20" s="533"/>
      <c r="J20" s="533"/>
      <c r="K20" s="533" t="str">
        <f t="shared" si="0"/>
        <v/>
      </c>
      <c r="M20" s="539" t="str">
        <f t="shared" si="1"/>
        <v/>
      </c>
      <c r="O20" s="533"/>
      <c r="P20" s="533"/>
      <c r="Q20" s="533"/>
      <c r="R20" s="533"/>
      <c r="S20" s="533" t="str">
        <f t="shared" si="2"/>
        <v/>
      </c>
      <c r="U20" s="539" t="str">
        <f t="shared" si="3"/>
        <v/>
      </c>
      <c r="W20" s="462" t="s">
        <v>482</v>
      </c>
      <c r="X20" s="469">
        <f>X11</f>
        <v>3.77</v>
      </c>
      <c r="Y20" s="470">
        <f>Y11</f>
        <v>4.51</v>
      </c>
      <c r="Z20" s="469"/>
      <c r="AA20" s="447"/>
    </row>
    <row r="21" spans="1:27">
      <c r="A21" s="435">
        <v>2000</v>
      </c>
      <c r="C21" s="435">
        <f>A21*0.5*730</f>
        <v>730000</v>
      </c>
      <c r="E21" s="478">
        <v>0.6</v>
      </c>
      <c r="G21" s="533">
        <f t="shared" ref="G21:G29" si="9">ROUND(($X$10+(($X$12*(1+$X$32)+$X$11+$X$13)*$A21+($X$14*$E21+$X$15*(1-$E21))/100*$C21*(1+$X$32))*(1+$X$17))+$X$16,2)</f>
        <v>60310.65</v>
      </c>
      <c r="H21" s="533"/>
      <c r="I21" s="533">
        <f t="shared" ref="I21:I29" si="10">ROUND(($Y$10+(($Y$12*(1+$Y$32)+$Y$11+$Y$13)*$A21+($Y$14*$E21+$Y$15*(1-$E21))/100*$C21*(1+$Y$32))*(1+$Y$17))+$Y$16,2)</f>
        <v>68639.360000000001</v>
      </c>
      <c r="J21" s="533"/>
      <c r="K21" s="533">
        <f t="shared" si="0"/>
        <v>8328.7099999999991</v>
      </c>
      <c r="M21" s="539">
        <f t="shared" si="1"/>
        <v>0.1380968369599731</v>
      </c>
      <c r="O21" s="533">
        <f>ROUND(($X$19+(($X$21*(1+$X$32)+$X$20+$X$22)*$A21+($X$23*$E21+$X$24*(1-$E21))/100*$C21*(1+$X$32))*(1+$X$26))+$X$25,2)</f>
        <v>48708.38</v>
      </c>
      <c r="P21" s="533"/>
      <c r="Q21" s="533">
        <f t="shared" ref="Q21:Q29" si="11">ROUND(($Y$19+(($Y$21*(1+$Y$32)+$Y$20+$Y$22)*$A21+($Y$23*$E21+$Y$24*(1-$E21))/100*$C21*(1+$Y$32))*(1+$Y$26))+$Y$25,2)</f>
        <v>55515.41</v>
      </c>
      <c r="R21" s="533"/>
      <c r="S21" s="533">
        <f t="shared" si="2"/>
        <v>6807.0300000000061</v>
      </c>
      <c r="U21" s="539">
        <f t="shared" si="3"/>
        <v>0.13975069587615119</v>
      </c>
      <c r="W21" s="462" t="s">
        <v>483</v>
      </c>
      <c r="X21" s="463">
        <f>'Exhibit RMP-(WRG-5)'!G287</f>
        <v>8.8800000000000008</v>
      </c>
      <c r="Y21" s="464">
        <f>'Exhibit RMP-(WRG-5)'!M287</f>
        <v>10.62</v>
      </c>
      <c r="Z21" s="463"/>
      <c r="AA21" s="447"/>
    </row>
    <row r="22" spans="1:27">
      <c r="A22" s="540">
        <f>A21</f>
        <v>2000</v>
      </c>
      <c r="C22" s="540">
        <f>C21</f>
        <v>730000</v>
      </c>
      <c r="E22" s="478">
        <v>0.5</v>
      </c>
      <c r="G22" s="533">
        <f t="shared" si="9"/>
        <v>59279.66</v>
      </c>
      <c r="H22" s="533"/>
      <c r="I22" s="533">
        <f t="shared" si="10"/>
        <v>67471.81</v>
      </c>
      <c r="J22" s="533"/>
      <c r="K22" s="533">
        <f t="shared" si="0"/>
        <v>8192.1499999999942</v>
      </c>
      <c r="M22" s="539">
        <f t="shared" si="1"/>
        <v>0.13819495590899122</v>
      </c>
      <c r="O22" s="533">
        <f t="shared" ref="O22:O29" si="12">ROUND(($X$19+(($X$21*(1+$X$32)+$X$20+$X$22)*$A22+($X$23*$E22+$X$24*(1-$E22))/100*$C22*(1+$X$32))*(1+$X$26))+$X$25,2)</f>
        <v>48365</v>
      </c>
      <c r="P22" s="533"/>
      <c r="Q22" s="533">
        <f t="shared" si="11"/>
        <v>55126.28</v>
      </c>
      <c r="R22" s="533"/>
      <c r="S22" s="533">
        <f t="shared" si="2"/>
        <v>6761.2799999999988</v>
      </c>
      <c r="U22" s="539">
        <f t="shared" si="3"/>
        <v>0.13979696061201285</v>
      </c>
      <c r="W22" s="462" t="s">
        <v>468</v>
      </c>
      <c r="X22" s="469">
        <f>X13</f>
        <v>-0.9</v>
      </c>
      <c r="Y22" s="470">
        <f>Y13</f>
        <v>-1.08</v>
      </c>
      <c r="Z22" s="469"/>
      <c r="AA22" s="447"/>
    </row>
    <row r="23" spans="1:27">
      <c r="A23" s="540">
        <f>A22</f>
        <v>2000</v>
      </c>
      <c r="C23" s="540">
        <f>C22</f>
        <v>730000</v>
      </c>
      <c r="E23" s="478">
        <v>0.4</v>
      </c>
      <c r="G23" s="533">
        <f t="shared" si="9"/>
        <v>58248.67</v>
      </c>
      <c r="H23" s="533"/>
      <c r="I23" s="533">
        <f t="shared" si="10"/>
        <v>66304.259999999995</v>
      </c>
      <c r="J23" s="533"/>
      <c r="K23" s="533">
        <f t="shared" si="0"/>
        <v>8055.5899999999965</v>
      </c>
      <c r="M23" s="539">
        <f t="shared" si="1"/>
        <v>0.13829654823019988</v>
      </c>
      <c r="O23" s="533">
        <f t="shared" si="12"/>
        <v>48021.63</v>
      </c>
      <c r="P23" s="533"/>
      <c r="Q23" s="533">
        <f t="shared" si="11"/>
        <v>54737.14</v>
      </c>
      <c r="R23" s="533"/>
      <c r="S23" s="533">
        <f t="shared" si="2"/>
        <v>6715.510000000002</v>
      </c>
      <c r="U23" s="539">
        <f t="shared" si="3"/>
        <v>0.13984344138256044</v>
      </c>
      <c r="W23" s="462" t="s">
        <v>484</v>
      </c>
      <c r="X23" s="517">
        <f>'Exhibit RMP-(WRG-5)'!G290</f>
        <v>3.1328</v>
      </c>
      <c r="Y23" s="518">
        <f>'Exhibit RMP-(WRG-5)'!M290</f>
        <v>3.7456999999999998</v>
      </c>
      <c r="Z23" s="519"/>
      <c r="AA23" s="542"/>
    </row>
    <row r="24" spans="1:27">
      <c r="A24" s="540">
        <f>A23</f>
        <v>2000</v>
      </c>
      <c r="C24" s="435">
        <f>A21*0.7*730</f>
        <v>1022000</v>
      </c>
      <c r="E24" s="478">
        <f t="shared" ref="E24:E29" si="13">E21</f>
        <v>0.6</v>
      </c>
      <c r="G24" s="533">
        <f t="shared" si="9"/>
        <v>71323.7</v>
      </c>
      <c r="H24" s="533"/>
      <c r="I24" s="533">
        <f t="shared" si="10"/>
        <v>81105.72</v>
      </c>
      <c r="J24" s="533"/>
      <c r="K24" s="533">
        <f t="shared" si="0"/>
        <v>9782.0200000000041</v>
      </c>
      <c r="M24" s="539">
        <f t="shared" si="1"/>
        <v>0.13714964310600841</v>
      </c>
      <c r="O24" s="533">
        <f>ROUND(($X$19+(($X$21*(1+$X$32)+$X$20+$X$22)*$A24+($X$23*$E24+$X$24*(1-$E24))/100*$C24*(1+$X$32))*(1+$X$26))+$X$25,2)</f>
        <v>58071.16</v>
      </c>
      <c r="P24" s="533"/>
      <c r="Q24" s="533">
        <f t="shared" si="11"/>
        <v>66113.56</v>
      </c>
      <c r="R24" s="533"/>
      <c r="S24" s="533">
        <f t="shared" si="2"/>
        <v>8042.3999999999942</v>
      </c>
      <c r="U24" s="539">
        <f t="shared" si="3"/>
        <v>0.13849215342004517</v>
      </c>
      <c r="W24" s="462" t="s">
        <v>485</v>
      </c>
      <c r="X24" s="517">
        <f>'Exhibit RMP-(WRG-5)'!G291</f>
        <v>2.6987000000000001</v>
      </c>
      <c r="Y24" s="543">
        <f>Y15</f>
        <v>3.2261000000000002</v>
      </c>
      <c r="Z24" s="519"/>
      <c r="AA24" s="542"/>
    </row>
    <row r="25" spans="1:27">
      <c r="A25" s="540">
        <f>A24</f>
        <v>2000</v>
      </c>
      <c r="C25" s="540">
        <f>C24</f>
        <v>1022000</v>
      </c>
      <c r="E25" s="478">
        <f t="shared" si="13"/>
        <v>0.5</v>
      </c>
      <c r="G25" s="533">
        <f t="shared" si="9"/>
        <v>69880.320000000007</v>
      </c>
      <c r="H25" s="533"/>
      <c r="I25" s="533">
        <f t="shared" si="10"/>
        <v>79471.149999999994</v>
      </c>
      <c r="J25" s="533"/>
      <c r="K25" s="533">
        <f t="shared" si="0"/>
        <v>9590.8299999999872</v>
      </c>
      <c r="M25" s="539">
        <f t="shared" si="1"/>
        <v>0.13724650946074646</v>
      </c>
      <c r="O25" s="533">
        <f t="shared" si="12"/>
        <v>57590.43</v>
      </c>
      <c r="P25" s="533"/>
      <c r="Q25" s="533">
        <f t="shared" si="11"/>
        <v>65568.78</v>
      </c>
      <c r="R25" s="533"/>
      <c r="S25" s="533">
        <f t="shared" si="2"/>
        <v>7978.3499999999985</v>
      </c>
      <c r="U25" s="539">
        <f t="shared" si="3"/>
        <v>0.13853603801881653</v>
      </c>
      <c r="W25" s="462" t="s">
        <v>449</v>
      </c>
      <c r="X25" s="469">
        <f>X16</f>
        <v>50</v>
      </c>
      <c r="Y25" s="470">
        <f>Y16</f>
        <v>50</v>
      </c>
      <c r="Z25" s="469"/>
      <c r="AA25" s="447"/>
    </row>
    <row r="26" spans="1:27">
      <c r="A26" s="540">
        <f>A25</f>
        <v>2000</v>
      </c>
      <c r="C26" s="540">
        <f>C25</f>
        <v>1022000</v>
      </c>
      <c r="E26" s="478">
        <f t="shared" si="13"/>
        <v>0.4</v>
      </c>
      <c r="G26" s="533">
        <f t="shared" si="9"/>
        <v>68436.929999999993</v>
      </c>
      <c r="H26" s="533"/>
      <c r="I26" s="533">
        <f t="shared" si="10"/>
        <v>77836.58</v>
      </c>
      <c r="J26" s="533"/>
      <c r="K26" s="533">
        <f t="shared" si="0"/>
        <v>9399.6500000000087</v>
      </c>
      <c r="M26" s="539">
        <f t="shared" si="1"/>
        <v>0.13734762795467326</v>
      </c>
      <c r="O26" s="533">
        <f t="shared" si="12"/>
        <v>57109.71</v>
      </c>
      <c r="P26" s="533"/>
      <c r="Q26" s="533">
        <f t="shared" si="11"/>
        <v>65023.99</v>
      </c>
      <c r="R26" s="533"/>
      <c r="S26" s="533">
        <f t="shared" si="2"/>
        <v>7914.2799999999988</v>
      </c>
      <c r="U26" s="539">
        <f t="shared" si="3"/>
        <v>0.13858028695995839</v>
      </c>
      <c r="W26" s="473" t="s">
        <v>82</v>
      </c>
      <c r="X26" s="525">
        <f>X17</f>
        <v>3.6999999999999998E-2</v>
      </c>
      <c r="Y26" s="526">
        <f>Y17</f>
        <v>3.6999999999999998E-2</v>
      </c>
      <c r="Z26" s="476"/>
      <c r="AA26" s="447"/>
    </row>
    <row r="27" spans="1:27">
      <c r="A27" s="540">
        <f>A24</f>
        <v>2000</v>
      </c>
      <c r="C27" s="435">
        <f>A21*0.9*730</f>
        <v>1314000</v>
      </c>
      <c r="E27" s="478">
        <f t="shared" si="13"/>
        <v>0.6</v>
      </c>
      <c r="G27" s="533">
        <f t="shared" si="9"/>
        <v>82336.759999999995</v>
      </c>
      <c r="H27" s="533"/>
      <c r="I27" s="533">
        <f t="shared" si="10"/>
        <v>93572.07</v>
      </c>
      <c r="J27" s="533"/>
      <c r="K27" s="533">
        <f t="shared" si="0"/>
        <v>11235.310000000012</v>
      </c>
      <c r="M27" s="539">
        <f t="shared" si="1"/>
        <v>0.13645557585700496</v>
      </c>
      <c r="O27" s="533">
        <f t="shared" si="12"/>
        <v>67433.94</v>
      </c>
      <c r="P27" s="533"/>
      <c r="Q27" s="533">
        <f t="shared" si="11"/>
        <v>76711.72</v>
      </c>
      <c r="R27" s="533"/>
      <c r="S27" s="533">
        <f t="shared" si="2"/>
        <v>9277.7799999999988</v>
      </c>
      <c r="U27" s="539">
        <f t="shared" si="3"/>
        <v>0.13758324072418127</v>
      </c>
    </row>
    <row r="28" spans="1:27">
      <c r="A28" s="540">
        <f>A25</f>
        <v>2000</v>
      </c>
      <c r="C28" s="540">
        <f>C27</f>
        <v>1314000</v>
      </c>
      <c r="E28" s="478">
        <f t="shared" si="13"/>
        <v>0.5</v>
      </c>
      <c r="G28" s="533">
        <f t="shared" si="9"/>
        <v>80480.98</v>
      </c>
      <c r="H28" s="533"/>
      <c r="I28" s="533">
        <f t="shared" si="10"/>
        <v>91470.48</v>
      </c>
      <c r="J28" s="533"/>
      <c r="K28" s="533">
        <f t="shared" si="0"/>
        <v>10989.5</v>
      </c>
      <c r="M28" s="539">
        <f t="shared" si="1"/>
        <v>0.13654779054628818</v>
      </c>
      <c r="O28" s="533">
        <f t="shared" si="12"/>
        <v>66815.86</v>
      </c>
      <c r="P28" s="533"/>
      <c r="Q28" s="533">
        <f t="shared" si="11"/>
        <v>76011.28</v>
      </c>
      <c r="R28" s="533"/>
      <c r="S28" s="533">
        <f t="shared" si="2"/>
        <v>9195.4199999999983</v>
      </c>
      <c r="U28" s="539">
        <f t="shared" si="3"/>
        <v>0.13762331278831108</v>
      </c>
      <c r="W28" s="425" t="s">
        <v>452</v>
      </c>
      <c r="Y28" s="477">
        <f>'Exhibit RMP-(WRG-1)'!S24</f>
        <v>0.1457654315095987</v>
      </c>
    </row>
    <row r="29" spans="1:27">
      <c r="A29" s="540">
        <f>A26</f>
        <v>2000</v>
      </c>
      <c r="C29" s="540">
        <f>C28</f>
        <v>1314000</v>
      </c>
      <c r="E29" s="478">
        <f t="shared" si="13"/>
        <v>0.4</v>
      </c>
      <c r="G29" s="533">
        <f t="shared" si="9"/>
        <v>78625.2</v>
      </c>
      <c r="H29" s="533"/>
      <c r="I29" s="533">
        <f t="shared" si="10"/>
        <v>89368.89</v>
      </c>
      <c r="J29" s="533"/>
      <c r="K29" s="533">
        <f t="shared" si="0"/>
        <v>10743.690000000002</v>
      </c>
      <c r="M29" s="539">
        <f t="shared" si="1"/>
        <v>0.13664435829733979</v>
      </c>
      <c r="O29" s="533">
        <f t="shared" si="12"/>
        <v>66197.789999999994</v>
      </c>
      <c r="P29" s="533"/>
      <c r="Q29" s="533">
        <f t="shared" si="11"/>
        <v>75310.84</v>
      </c>
      <c r="R29" s="533"/>
      <c r="S29" s="533">
        <f t="shared" si="2"/>
        <v>9113.0500000000029</v>
      </c>
      <c r="U29" s="539">
        <f t="shared" si="3"/>
        <v>0.13766396128934222</v>
      </c>
      <c r="W29" s="425" t="s">
        <v>374</v>
      </c>
      <c r="X29" s="476">
        <v>5.5599999999999997E-2</v>
      </c>
      <c r="Y29" s="425">
        <v>0</v>
      </c>
    </row>
    <row r="30" spans="1:27">
      <c r="G30" s="533"/>
      <c r="H30" s="533"/>
      <c r="I30" s="533"/>
      <c r="J30" s="533"/>
      <c r="K30" s="533" t="str">
        <f t="shared" si="0"/>
        <v/>
      </c>
      <c r="M30" s="539" t="str">
        <f t="shared" si="1"/>
        <v/>
      </c>
      <c r="O30" s="533"/>
      <c r="P30" s="533"/>
      <c r="Q30" s="533"/>
      <c r="R30" s="533"/>
      <c r="S30" s="533" t="str">
        <f t="shared" si="2"/>
        <v/>
      </c>
      <c r="U30" s="539" t="str">
        <f t="shared" si="3"/>
        <v/>
      </c>
      <c r="W30" s="425" t="s">
        <v>453</v>
      </c>
      <c r="X30" s="476">
        <v>2.0500000000000001E-2</v>
      </c>
      <c r="Y30" s="477">
        <f>X30</f>
        <v>2.0500000000000001E-2</v>
      </c>
      <c r="Z30" s="477"/>
    </row>
    <row r="31" spans="1:27">
      <c r="A31" s="435">
        <v>4000</v>
      </c>
      <c r="C31" s="435">
        <f>A31*0.5*730</f>
        <v>1460000</v>
      </c>
      <c r="E31" s="478">
        <v>0.6</v>
      </c>
      <c r="G31" s="533">
        <f>ROUND(($X$10+(($X$12*(1+$X$32)+$X$11+$X$13)*$A31+($X$14*$E31+$X$15*(1-$E31))/100*$C31*(1+$X$32))*(1+$X$17))+$X$16,2)</f>
        <v>120516.29</v>
      </c>
      <c r="H31" s="533"/>
      <c r="I31" s="533">
        <f t="shared" ref="I31:I59" si="14">ROUND(($Y$10+(($Y$12*(1+$Y$32)+$Y$11+$Y$13)*$A31+($Y$14*$E31+$Y$15*(1-$E31))/100*$C31*(1+$Y$32))*(1+$Y$17))+$Y$16,2)</f>
        <v>137162.72</v>
      </c>
      <c r="J31" s="533"/>
      <c r="K31" s="533">
        <f t="shared" si="0"/>
        <v>16646.430000000008</v>
      </c>
      <c r="M31" s="539">
        <f t="shared" si="1"/>
        <v>0.13812597450518926</v>
      </c>
      <c r="O31" s="533">
        <f t="shared" ref="O31:O39" si="15">ROUND(($X$19+(($X$21*(1+$X$32)+$X$20+$X$22)*$A31+($X$23*$E31+$X$24*(1-$E31))/100*$C31*(1+$X$32))*(1+$X$26))+$X$25,2)</f>
        <v>97311.75</v>
      </c>
      <c r="P31" s="533"/>
      <c r="Q31" s="533">
        <f t="shared" ref="Q31:Q39" si="16">ROUND(($Y$19+(($Y$21*(1+$Y$32)+$Y$20+$Y$22)*$A31+($Y$23*$E31+$Y$24*(1-$E31))/100*$C31*(1+$Y$32))*(1+$Y$26))+$Y$25,2)</f>
        <v>110914.82</v>
      </c>
      <c r="R31" s="533"/>
      <c r="S31" s="533">
        <f t="shared" si="2"/>
        <v>13603.070000000007</v>
      </c>
      <c r="U31" s="539">
        <f t="shared" si="3"/>
        <v>0.13978856612896196</v>
      </c>
      <c r="W31" s="425" t="s">
        <v>454</v>
      </c>
      <c r="X31" s="476">
        <v>-3.1199999999999999E-2</v>
      </c>
      <c r="Y31" s="477">
        <f>X31</f>
        <v>-3.1199999999999999E-2</v>
      </c>
    </row>
    <row r="32" spans="1:27">
      <c r="A32" s="540">
        <f>A31</f>
        <v>4000</v>
      </c>
      <c r="C32" s="540">
        <f>C31</f>
        <v>1460000</v>
      </c>
      <c r="E32" s="478">
        <v>0.5</v>
      </c>
      <c r="G32" s="533">
        <f t="shared" ref="G32:G59" si="17">ROUND(($X$10+(($X$12*(1+$X$32)+$X$11+$X$13)*$A32+($X$14*$E32+$X$15*(1-$E32))/100*$C32*(1+$X$32))*(1+$X$17))+$X$16,2)</f>
        <v>118454.31</v>
      </c>
      <c r="H32" s="533"/>
      <c r="I32" s="533">
        <f t="shared" si="14"/>
        <v>134827.62</v>
      </c>
      <c r="J32" s="533"/>
      <c r="K32" s="533">
        <f t="shared" si="0"/>
        <v>16373.309999999998</v>
      </c>
      <c r="M32" s="539">
        <f t="shared" si="1"/>
        <v>0.13822468764538831</v>
      </c>
      <c r="O32" s="533">
        <f t="shared" si="15"/>
        <v>96625.01</v>
      </c>
      <c r="P32" s="533"/>
      <c r="Q32" s="533">
        <f t="shared" si="16"/>
        <v>110136.55</v>
      </c>
      <c r="R32" s="533"/>
      <c r="S32" s="533">
        <f t="shared" si="2"/>
        <v>13511.540000000008</v>
      </c>
      <c r="U32" s="539">
        <f t="shared" si="3"/>
        <v>0.13983481088384897</v>
      </c>
      <c r="W32" s="423" t="s">
        <v>455</v>
      </c>
      <c r="X32" s="476">
        <f>SUM(X29:X31)</f>
        <v>4.4900000000000002E-2</v>
      </c>
      <c r="Y32" s="477">
        <f>SUM(Y29:Y31)</f>
        <v>-1.0699999999999998E-2</v>
      </c>
    </row>
    <row r="33" spans="1:21">
      <c r="A33" s="540">
        <f>A32</f>
        <v>4000</v>
      </c>
      <c r="C33" s="540">
        <f>C32</f>
        <v>1460000</v>
      </c>
      <c r="E33" s="478">
        <v>0.4</v>
      </c>
      <c r="G33" s="533">
        <f t="shared" si="17"/>
        <v>116392.34</v>
      </c>
      <c r="H33" s="533"/>
      <c r="I33" s="533">
        <f t="shared" si="14"/>
        <v>132492.51999999999</v>
      </c>
      <c r="J33" s="533"/>
      <c r="K33" s="533">
        <f t="shared" si="0"/>
        <v>16100.179999999993</v>
      </c>
      <c r="M33" s="539">
        <f t="shared" si="1"/>
        <v>0.13832680054374702</v>
      </c>
      <c r="O33" s="533">
        <f t="shared" si="15"/>
        <v>95938.26</v>
      </c>
      <c r="P33" s="533"/>
      <c r="Q33" s="533">
        <f t="shared" si="16"/>
        <v>109358.29</v>
      </c>
      <c r="R33" s="533"/>
      <c r="S33" s="533">
        <f t="shared" si="2"/>
        <v>13420.029999999999</v>
      </c>
      <c r="U33" s="539">
        <f t="shared" si="3"/>
        <v>0.13988194073980487</v>
      </c>
    </row>
    <row r="34" spans="1:21">
      <c r="A34" s="540">
        <f>A33</f>
        <v>4000</v>
      </c>
      <c r="C34" s="435">
        <f>A31*0.7*730</f>
        <v>2044000</v>
      </c>
      <c r="E34" s="478">
        <f t="shared" ref="E34:E39" si="18">E31</f>
        <v>0.6</v>
      </c>
      <c r="G34" s="533">
        <f t="shared" si="17"/>
        <v>142542.41</v>
      </c>
      <c r="H34" s="533"/>
      <c r="I34" s="533">
        <f t="shared" si="14"/>
        <v>162095.44</v>
      </c>
      <c r="J34" s="533"/>
      <c r="K34" s="533">
        <f t="shared" si="0"/>
        <v>19553.03</v>
      </c>
      <c r="M34" s="539">
        <f t="shared" si="1"/>
        <v>0.13717342087874052</v>
      </c>
      <c r="O34" s="533">
        <f t="shared" si="15"/>
        <v>116037.31</v>
      </c>
      <c r="P34" s="533"/>
      <c r="Q34" s="533">
        <f t="shared" si="16"/>
        <v>132111.13</v>
      </c>
      <c r="R34" s="533"/>
      <c r="S34" s="533">
        <f t="shared" si="2"/>
        <v>16073.820000000007</v>
      </c>
      <c r="U34" s="539">
        <f t="shared" si="3"/>
        <v>0.13852285958714483</v>
      </c>
    </row>
    <row r="35" spans="1:21">
      <c r="A35" s="540">
        <f>A34</f>
        <v>4000</v>
      </c>
      <c r="C35" s="540">
        <f>C34</f>
        <v>2044000</v>
      </c>
      <c r="E35" s="478">
        <f t="shared" si="18"/>
        <v>0.5</v>
      </c>
      <c r="G35" s="533">
        <f t="shared" si="17"/>
        <v>139655.64000000001</v>
      </c>
      <c r="H35" s="533"/>
      <c r="I35" s="533">
        <f t="shared" si="14"/>
        <v>158826.29</v>
      </c>
      <c r="J35" s="533"/>
      <c r="K35" s="533">
        <f t="shared" si="0"/>
        <v>19170.649999999994</v>
      </c>
      <c r="M35" s="539">
        <f t="shared" si="1"/>
        <v>0.13727086138447397</v>
      </c>
      <c r="O35" s="533">
        <f t="shared" si="15"/>
        <v>115075.87</v>
      </c>
      <c r="P35" s="533"/>
      <c r="Q35" s="533">
        <f t="shared" si="16"/>
        <v>131021.56</v>
      </c>
      <c r="R35" s="533"/>
      <c r="S35" s="533">
        <f t="shared" si="2"/>
        <v>15945.690000000002</v>
      </c>
      <c r="U35" s="539">
        <f t="shared" si="3"/>
        <v>0.13856675600193169</v>
      </c>
    </row>
    <row r="36" spans="1:21">
      <c r="A36" s="540">
        <f>A35</f>
        <v>4000</v>
      </c>
      <c r="C36" s="540">
        <f>C35</f>
        <v>2044000</v>
      </c>
      <c r="E36" s="478">
        <f t="shared" si="18"/>
        <v>0.4</v>
      </c>
      <c r="G36" s="533">
        <f t="shared" si="17"/>
        <v>136768.87</v>
      </c>
      <c r="H36" s="533"/>
      <c r="I36" s="533">
        <f t="shared" si="14"/>
        <v>155557.15</v>
      </c>
      <c r="J36" s="533"/>
      <c r="K36" s="533">
        <f t="shared" si="0"/>
        <v>18788.28</v>
      </c>
      <c r="M36" s="539">
        <f t="shared" si="1"/>
        <v>0.13737248834475269</v>
      </c>
      <c r="O36" s="533">
        <f t="shared" si="15"/>
        <v>114114.42</v>
      </c>
      <c r="P36" s="533"/>
      <c r="Q36" s="533">
        <f t="shared" si="16"/>
        <v>129931.98</v>
      </c>
      <c r="R36" s="533"/>
      <c r="S36" s="533">
        <f t="shared" si="2"/>
        <v>15817.559999999998</v>
      </c>
      <c r="U36" s="539">
        <f t="shared" si="3"/>
        <v>0.13861140423795693</v>
      </c>
    </row>
    <row r="37" spans="1:21">
      <c r="A37" s="540">
        <f>A34</f>
        <v>4000</v>
      </c>
      <c r="C37" s="435">
        <f>A31*0.9*730</f>
        <v>2628000</v>
      </c>
      <c r="E37" s="478">
        <f t="shared" si="18"/>
        <v>0.6</v>
      </c>
      <c r="G37" s="533">
        <f t="shared" si="17"/>
        <v>164568.51999999999</v>
      </c>
      <c r="H37" s="533"/>
      <c r="I37" s="533">
        <f t="shared" si="14"/>
        <v>187028.15</v>
      </c>
      <c r="J37" s="533"/>
      <c r="K37" s="533">
        <f t="shared" si="0"/>
        <v>22459.630000000005</v>
      </c>
      <c r="M37" s="539">
        <f t="shared" si="1"/>
        <v>0.13647585820179953</v>
      </c>
      <c r="O37" s="533">
        <f t="shared" si="15"/>
        <v>134762.87</v>
      </c>
      <c r="P37" s="533"/>
      <c r="Q37" s="533">
        <f t="shared" si="16"/>
        <v>153307.44</v>
      </c>
      <c r="R37" s="533"/>
      <c r="S37" s="533">
        <f t="shared" si="2"/>
        <v>18544.570000000007</v>
      </c>
      <c r="U37" s="539">
        <f t="shared" si="3"/>
        <v>0.13760889776241791</v>
      </c>
    </row>
    <row r="38" spans="1:21">
      <c r="A38" s="540">
        <f>A35</f>
        <v>4000</v>
      </c>
      <c r="C38" s="540">
        <f>C37</f>
        <v>2628000</v>
      </c>
      <c r="E38" s="478">
        <f t="shared" si="18"/>
        <v>0.5</v>
      </c>
      <c r="G38" s="533">
        <f t="shared" si="17"/>
        <v>160856.95999999999</v>
      </c>
      <c r="H38" s="533"/>
      <c r="I38" s="533">
        <f t="shared" si="14"/>
        <v>182824.95999999999</v>
      </c>
      <c r="J38" s="533"/>
      <c r="K38" s="533">
        <f t="shared" si="0"/>
        <v>21968</v>
      </c>
      <c r="M38" s="539">
        <f t="shared" si="1"/>
        <v>0.13656853890562148</v>
      </c>
      <c r="O38" s="533">
        <f t="shared" si="15"/>
        <v>133526.73000000001</v>
      </c>
      <c r="P38" s="533"/>
      <c r="Q38" s="533">
        <f t="shared" si="16"/>
        <v>151906.56</v>
      </c>
      <c r="R38" s="533"/>
      <c r="S38" s="533">
        <f t="shared" si="2"/>
        <v>18379.829999999987</v>
      </c>
      <c r="U38" s="539">
        <f t="shared" si="3"/>
        <v>0.13764906846741454</v>
      </c>
    </row>
    <row r="39" spans="1:21">
      <c r="A39" s="540">
        <f>A36</f>
        <v>4000</v>
      </c>
      <c r="C39" s="540">
        <f>C38</f>
        <v>2628000</v>
      </c>
      <c r="E39" s="478">
        <f t="shared" si="18"/>
        <v>0.4</v>
      </c>
      <c r="G39" s="533">
        <f t="shared" si="17"/>
        <v>157145.4</v>
      </c>
      <c r="H39" s="533"/>
      <c r="I39" s="533">
        <f t="shared" si="14"/>
        <v>178621.78</v>
      </c>
      <c r="J39" s="533"/>
      <c r="K39" s="533">
        <f t="shared" si="0"/>
        <v>21476.380000000005</v>
      </c>
      <c r="M39" s="539">
        <f t="shared" si="1"/>
        <v>0.13666566122839097</v>
      </c>
      <c r="O39" s="533">
        <f t="shared" si="15"/>
        <v>132290.59</v>
      </c>
      <c r="P39" s="533"/>
      <c r="Q39" s="533">
        <f t="shared" si="16"/>
        <v>150505.68</v>
      </c>
      <c r="R39" s="533"/>
      <c r="S39" s="533">
        <f t="shared" si="2"/>
        <v>18215.089999999997</v>
      </c>
      <c r="U39" s="539">
        <f t="shared" si="3"/>
        <v>0.13768998989270509</v>
      </c>
    </row>
    <row r="40" spans="1:21">
      <c r="G40" s="533"/>
      <c r="H40" s="533"/>
      <c r="I40" s="533"/>
      <c r="J40" s="533"/>
      <c r="K40" s="533" t="str">
        <f t="shared" si="0"/>
        <v/>
      </c>
      <c r="M40" s="539" t="str">
        <f t="shared" si="1"/>
        <v/>
      </c>
      <c r="O40" s="533"/>
      <c r="P40" s="533"/>
      <c r="Q40" s="533"/>
      <c r="R40" s="533"/>
      <c r="S40" s="533" t="str">
        <f t="shared" si="2"/>
        <v/>
      </c>
      <c r="U40" s="539" t="str">
        <f t="shared" si="3"/>
        <v/>
      </c>
    </row>
    <row r="41" spans="1:21">
      <c r="A41" s="435">
        <v>6000</v>
      </c>
      <c r="C41" s="435">
        <f>A41*0.5*730</f>
        <v>2190000</v>
      </c>
      <c r="E41" s="478">
        <v>0.6</v>
      </c>
      <c r="G41" s="533">
        <f t="shared" si="17"/>
        <v>180721.94</v>
      </c>
      <c r="H41" s="533"/>
      <c r="I41" s="533">
        <f t="shared" si="14"/>
        <v>205686.09</v>
      </c>
      <c r="J41" s="533"/>
      <c r="K41" s="533">
        <f t="shared" si="0"/>
        <v>24964.149999999994</v>
      </c>
      <c r="M41" s="539">
        <f t="shared" si="1"/>
        <v>0.13813569066378983</v>
      </c>
      <c r="O41" s="533">
        <f>ROUND(($X$19+(($X$21*(1+$X$32)+$X$20+$X$22)*$A41+($X$23*$E41+$X$24*(1-$E41))/100*$C41*(1+$X$32))*(1+$X$26))+$X$25,2)</f>
        <v>145915.13</v>
      </c>
      <c r="P41" s="533"/>
      <c r="Q41" s="533">
        <f t="shared" ref="Q41:Q48" si="19">ROUND(($Y$19+(($Y$21*(1+$Y$32)+$Y$20+$Y$22)*$A41+($Y$23*$E41+$Y$24*(1-$E41))/100*$C41*(1+$Y$32))*(1+$Y$26))+$Y$25,2)</f>
        <v>166314.23000000001</v>
      </c>
      <c r="R41" s="533"/>
      <c r="S41" s="533">
        <f t="shared" si="2"/>
        <v>20399.100000000006</v>
      </c>
      <c r="U41" s="539">
        <f t="shared" si="3"/>
        <v>0.13980112960184465</v>
      </c>
    </row>
    <row r="42" spans="1:21">
      <c r="A42" s="540">
        <f>A41</f>
        <v>6000</v>
      </c>
      <c r="C42" s="540">
        <f>C41</f>
        <v>2190000</v>
      </c>
      <c r="E42" s="478">
        <v>0.5</v>
      </c>
      <c r="G42" s="533">
        <f t="shared" si="17"/>
        <v>177628.97</v>
      </c>
      <c r="H42" s="533"/>
      <c r="I42" s="533">
        <f t="shared" si="14"/>
        <v>202183.43</v>
      </c>
      <c r="J42" s="533"/>
      <c r="K42" s="533">
        <f t="shared" si="0"/>
        <v>24554.459999999992</v>
      </c>
      <c r="M42" s="539">
        <f t="shared" si="1"/>
        <v>0.13823454586264838</v>
      </c>
      <c r="O42" s="533">
        <f t="shared" ref="O42:O48" si="20">ROUND(($X$19+(($X$21*(1+$X$32)+$X$20+$X$22)*$A42+($X$23*$E42+$X$24*(1-$E42))/100*$C42*(1+$X$32))*(1+$X$26))+$X$25,2)</f>
        <v>144885.01</v>
      </c>
      <c r="P42" s="533"/>
      <c r="Q42" s="533">
        <f t="shared" si="19"/>
        <v>165146.82999999999</v>
      </c>
      <c r="R42" s="533"/>
      <c r="S42" s="533">
        <f t="shared" si="2"/>
        <v>20261.819999999978</v>
      </c>
      <c r="U42" s="539">
        <f t="shared" si="3"/>
        <v>0.13984759361924315</v>
      </c>
    </row>
    <row r="43" spans="1:21">
      <c r="A43" s="540">
        <f>A42</f>
        <v>6000</v>
      </c>
      <c r="C43" s="540">
        <f>C42</f>
        <v>2190000</v>
      </c>
      <c r="E43" s="478">
        <v>0.4</v>
      </c>
      <c r="G43" s="533">
        <f t="shared" si="17"/>
        <v>174536</v>
      </c>
      <c r="H43" s="533"/>
      <c r="I43" s="533">
        <f t="shared" si="14"/>
        <v>198680.78</v>
      </c>
      <c r="J43" s="533"/>
      <c r="K43" s="533">
        <f t="shared" si="0"/>
        <v>24144.78</v>
      </c>
      <c r="M43" s="539">
        <f t="shared" si="1"/>
        <v>0.13833696200210843</v>
      </c>
      <c r="O43" s="533">
        <f t="shared" si="20"/>
        <v>143854.89000000001</v>
      </c>
      <c r="P43" s="533"/>
      <c r="Q43" s="533">
        <f t="shared" si="19"/>
        <v>163979.43</v>
      </c>
      <c r="R43" s="533"/>
      <c r="S43" s="533">
        <f t="shared" si="2"/>
        <v>20124.539999999979</v>
      </c>
      <c r="U43" s="539">
        <f t="shared" si="3"/>
        <v>0.13989472307823503</v>
      </c>
    </row>
    <row r="44" spans="1:21">
      <c r="A44" s="540">
        <f>A43</f>
        <v>6000</v>
      </c>
      <c r="C44" s="435">
        <f>A41*0.7*730</f>
        <v>3066000</v>
      </c>
      <c r="E44" s="478">
        <f t="shared" ref="E44:E49" si="21">E41</f>
        <v>0.6</v>
      </c>
      <c r="G44" s="533">
        <f t="shared" si="17"/>
        <v>213761.11</v>
      </c>
      <c r="H44" s="533"/>
      <c r="I44" s="533">
        <f t="shared" si="14"/>
        <v>243085.15</v>
      </c>
      <c r="J44" s="533"/>
      <c r="K44" s="533">
        <f t="shared" si="0"/>
        <v>29324.040000000008</v>
      </c>
      <c r="M44" s="539">
        <f t="shared" si="1"/>
        <v>0.13718136100621869</v>
      </c>
      <c r="O44" s="533">
        <f t="shared" si="20"/>
        <v>174003.47</v>
      </c>
      <c r="P44" s="533"/>
      <c r="Q44" s="533">
        <f t="shared" si="19"/>
        <v>198108.69</v>
      </c>
      <c r="R44" s="533"/>
      <c r="S44" s="533">
        <f t="shared" si="2"/>
        <v>24105.22</v>
      </c>
      <c r="U44" s="539">
        <f t="shared" si="3"/>
        <v>0.138532984428414</v>
      </c>
    </row>
    <row r="45" spans="1:21">
      <c r="A45" s="540">
        <f>A44</f>
        <v>6000</v>
      </c>
      <c r="C45" s="540">
        <f>C44</f>
        <v>3066000</v>
      </c>
      <c r="E45" s="478">
        <f t="shared" si="21"/>
        <v>0.5</v>
      </c>
      <c r="G45" s="533">
        <f t="shared" si="17"/>
        <v>209430.96</v>
      </c>
      <c r="H45" s="533"/>
      <c r="I45" s="533">
        <f t="shared" si="14"/>
        <v>238181.44</v>
      </c>
      <c r="J45" s="533"/>
      <c r="K45" s="533">
        <f t="shared" si="0"/>
        <v>28750.48000000001</v>
      </c>
      <c r="M45" s="539">
        <f t="shared" si="1"/>
        <v>0.13727903458017865</v>
      </c>
      <c r="O45" s="533">
        <f t="shared" si="20"/>
        <v>172561.3</v>
      </c>
      <c r="P45" s="533"/>
      <c r="Q45" s="533">
        <f t="shared" si="19"/>
        <v>196474.33</v>
      </c>
      <c r="R45" s="533"/>
      <c r="S45" s="533">
        <f t="shared" si="2"/>
        <v>23913.03</v>
      </c>
      <c r="U45" s="539">
        <f t="shared" si="3"/>
        <v>0.13857701581988535</v>
      </c>
    </row>
    <row r="46" spans="1:21">
      <c r="A46" s="540">
        <f>A45</f>
        <v>6000</v>
      </c>
      <c r="C46" s="540">
        <f>C45</f>
        <v>3066000</v>
      </c>
      <c r="E46" s="478">
        <f t="shared" si="21"/>
        <v>0.4</v>
      </c>
      <c r="G46" s="533">
        <f t="shared" si="17"/>
        <v>205100.79999999999</v>
      </c>
      <c r="H46" s="533"/>
      <c r="I46" s="533">
        <f t="shared" si="14"/>
        <v>233277.73</v>
      </c>
      <c r="J46" s="533"/>
      <c r="K46" s="533">
        <f t="shared" si="0"/>
        <v>28176.930000000022</v>
      </c>
      <c r="M46" s="539">
        <f t="shared" si="1"/>
        <v>0.13738088783661517</v>
      </c>
      <c r="O46" s="533">
        <f t="shared" si="20"/>
        <v>171119.14</v>
      </c>
      <c r="P46" s="533"/>
      <c r="Q46" s="533">
        <f t="shared" si="19"/>
        <v>194839.97</v>
      </c>
      <c r="R46" s="533"/>
      <c r="S46" s="533">
        <f t="shared" si="2"/>
        <v>23720.829999999987</v>
      </c>
      <c r="U46" s="539">
        <f t="shared" si="3"/>
        <v>0.13862172285344587</v>
      </c>
    </row>
    <row r="47" spans="1:21">
      <c r="A47" s="540">
        <f>A44</f>
        <v>6000</v>
      </c>
      <c r="C47" s="435">
        <f>A41*0.9*730</f>
        <v>3942000</v>
      </c>
      <c r="E47" s="478">
        <f t="shared" si="21"/>
        <v>0.6</v>
      </c>
      <c r="G47" s="533">
        <f t="shared" si="17"/>
        <v>246800.29</v>
      </c>
      <c r="H47" s="533"/>
      <c r="I47" s="533">
        <f t="shared" si="14"/>
        <v>280484.21999999997</v>
      </c>
      <c r="J47" s="533"/>
      <c r="K47" s="533">
        <f t="shared" si="0"/>
        <v>33683.929999999964</v>
      </c>
      <c r="M47" s="539">
        <f t="shared" si="1"/>
        <v>0.13648253816881639</v>
      </c>
      <c r="O47" s="533">
        <f t="shared" si="20"/>
        <v>202091.81</v>
      </c>
      <c r="P47" s="533"/>
      <c r="Q47" s="533">
        <f t="shared" si="19"/>
        <v>229903.16</v>
      </c>
      <c r="R47" s="533"/>
      <c r="S47" s="533">
        <f t="shared" si="2"/>
        <v>27811.350000000006</v>
      </c>
      <c r="U47" s="539">
        <f t="shared" si="3"/>
        <v>0.13761740270424627</v>
      </c>
    </row>
    <row r="48" spans="1:21">
      <c r="A48" s="540">
        <f>A45</f>
        <v>6000</v>
      </c>
      <c r="C48" s="540">
        <f>C47</f>
        <v>3942000</v>
      </c>
      <c r="E48" s="478">
        <f t="shared" si="21"/>
        <v>0.5</v>
      </c>
      <c r="G48" s="533">
        <f t="shared" si="17"/>
        <v>241232.95</v>
      </c>
      <c r="H48" s="533"/>
      <c r="I48" s="533">
        <f t="shared" si="14"/>
        <v>274179.45</v>
      </c>
      <c r="J48" s="533"/>
      <c r="K48" s="533">
        <f t="shared" si="0"/>
        <v>32946.5</v>
      </c>
      <c r="M48" s="539">
        <f t="shared" si="1"/>
        <v>0.13657545538451532</v>
      </c>
      <c r="O48" s="533">
        <f t="shared" si="20"/>
        <v>200237.59</v>
      </c>
      <c r="P48" s="533"/>
      <c r="Q48" s="533">
        <f t="shared" si="19"/>
        <v>227801.84</v>
      </c>
      <c r="R48" s="533"/>
      <c r="S48" s="533">
        <f t="shared" si="2"/>
        <v>27564.25</v>
      </c>
      <c r="U48" s="539">
        <f t="shared" si="3"/>
        <v>0.13765771951210559</v>
      </c>
    </row>
    <row r="49" spans="1:21">
      <c r="A49" s="540">
        <f>A46</f>
        <v>6000</v>
      </c>
      <c r="C49" s="540">
        <f>C48</f>
        <v>3942000</v>
      </c>
      <c r="E49" s="478">
        <f t="shared" si="21"/>
        <v>0.4</v>
      </c>
      <c r="G49" s="533">
        <f t="shared" si="17"/>
        <v>235665.6</v>
      </c>
      <c r="H49" s="533"/>
      <c r="I49" s="533">
        <f t="shared" si="14"/>
        <v>267874.67</v>
      </c>
      <c r="J49" s="533"/>
      <c r="K49" s="533">
        <f t="shared" si="0"/>
        <v>32209.069999999978</v>
      </c>
      <c r="M49" s="539">
        <f t="shared" si="1"/>
        <v>0.13667276853304</v>
      </c>
      <c r="O49" s="533">
        <f>ROUND(($X$19+(($X$21*(1+$X$32)+$X$20+$X$22)*$A49+($X$23*$E49+$X$24*(1-$E49))/100*$C49*(1+$X$32))*(1+$X$26))+$X$25,2)</f>
        <v>198383.38</v>
      </c>
      <c r="P49" s="533"/>
      <c r="Q49" s="533">
        <f>ROUND(($Y$19+(($Y$21*(1+$Y$32)+$Y$20+$Y$22)*$A49+($Y$23*$E49+$Y$24*(1-$E49))/100*$C49*(1+$Y$32))*(1+$Y$26))+$Y$25,2)</f>
        <v>225700.52</v>
      </c>
      <c r="R49" s="533"/>
      <c r="S49" s="533">
        <f t="shared" si="2"/>
        <v>27317.139999999985</v>
      </c>
      <c r="U49" s="539">
        <f t="shared" si="3"/>
        <v>0.13769873262568666</v>
      </c>
    </row>
    <row r="50" spans="1:21">
      <c r="G50" s="533"/>
      <c r="H50" s="533"/>
      <c r="I50" s="533"/>
      <c r="J50" s="533"/>
      <c r="K50" s="533" t="str">
        <f t="shared" si="0"/>
        <v/>
      </c>
      <c r="M50" s="539" t="str">
        <f t="shared" si="1"/>
        <v/>
      </c>
      <c r="O50" s="533"/>
      <c r="P50" s="533"/>
      <c r="Q50" s="533"/>
      <c r="R50" s="533"/>
      <c r="S50" s="533" t="str">
        <f t="shared" si="2"/>
        <v/>
      </c>
      <c r="U50" s="539" t="str">
        <f t="shared" si="3"/>
        <v/>
      </c>
    </row>
    <row r="51" spans="1:21">
      <c r="A51" s="435">
        <v>10000</v>
      </c>
      <c r="C51" s="435">
        <f>A51*0.5*730</f>
        <v>3650000</v>
      </c>
      <c r="E51" s="478">
        <v>0.6</v>
      </c>
      <c r="G51" s="533">
        <f>ROUND(($X$10+(($X$12*(1+$X$32)+$X$11+$X$13)*$A51+($X$14*$E51+$X$15*(1-$E51))/100*$C51*(1+$X$32))*(1+$X$17))+$X$16,2)</f>
        <v>301133.23</v>
      </c>
      <c r="H51" s="533"/>
      <c r="I51" s="533">
        <f t="shared" si="14"/>
        <v>342732.81</v>
      </c>
      <c r="J51" s="533"/>
      <c r="K51" s="533">
        <f t="shared" si="0"/>
        <v>41599.580000000016</v>
      </c>
      <c r="M51" s="539">
        <f t="shared" si="1"/>
        <v>0.1381434390352736</v>
      </c>
      <c r="O51" s="533">
        <f t="shared" ref="O51:O58" si="22">ROUND(($X$19+(($X$21*(1+$X$32)+$X$20+$X$22)*$A51+($X$23*$E51+$X$24*(1-$E51))/100*$C51*(1+$X$32))*(1+$X$26))+$X$25,2)</f>
        <v>243121.88</v>
      </c>
      <c r="P51" s="533"/>
      <c r="Q51" s="533">
        <f t="shared" ref="Q51:Q58" si="23">ROUND(($Y$19+(($Y$21*(1+$Y$32)+$Y$20+$Y$22)*$A51+($Y$23*$E51+$Y$24*(1-$E51))/100*$C51*(1+$Y$32))*(1+$Y$26))+$Y$25,2)</f>
        <v>277113.05</v>
      </c>
      <c r="R51" s="533"/>
      <c r="S51" s="533">
        <f t="shared" si="2"/>
        <v>33991.169999999984</v>
      </c>
      <c r="U51" s="539">
        <f t="shared" si="3"/>
        <v>0.13981123377295357</v>
      </c>
    </row>
    <row r="52" spans="1:21">
      <c r="A52" s="540">
        <f>A51</f>
        <v>10000</v>
      </c>
      <c r="C52" s="540">
        <f>C51</f>
        <v>3650000</v>
      </c>
      <c r="E52" s="478">
        <v>0.5</v>
      </c>
      <c r="G52" s="533">
        <f t="shared" si="17"/>
        <v>295978.28999999998</v>
      </c>
      <c r="H52" s="533"/>
      <c r="I52" s="533">
        <f t="shared" si="14"/>
        <v>336895.06</v>
      </c>
      <c r="J52" s="533"/>
      <c r="K52" s="533">
        <f t="shared" si="0"/>
        <v>40916.770000000019</v>
      </c>
      <c r="M52" s="539">
        <f t="shared" si="1"/>
        <v>0.13824247041902971</v>
      </c>
      <c r="O52" s="533">
        <f t="shared" si="22"/>
        <v>241405.02</v>
      </c>
      <c r="P52" s="533"/>
      <c r="Q52" s="533">
        <f t="shared" si="23"/>
        <v>275167.38</v>
      </c>
      <c r="R52" s="533"/>
      <c r="S52" s="533">
        <f t="shared" si="2"/>
        <v>33762.360000000015</v>
      </c>
      <c r="U52" s="539">
        <f t="shared" si="3"/>
        <v>0.13985773783826039</v>
      </c>
    </row>
    <row r="53" spans="1:21">
      <c r="A53" s="540">
        <f>A52</f>
        <v>10000</v>
      </c>
      <c r="C53" s="540">
        <f>C52</f>
        <v>3650000</v>
      </c>
      <c r="E53" s="478">
        <v>0.4</v>
      </c>
      <c r="G53" s="533">
        <f t="shared" si="17"/>
        <v>290823.34000000003</v>
      </c>
      <c r="H53" s="533"/>
      <c r="I53" s="533">
        <f t="shared" si="14"/>
        <v>331057.3</v>
      </c>
      <c r="J53" s="533"/>
      <c r="K53" s="533">
        <f t="shared" si="0"/>
        <v>40233.959999999963</v>
      </c>
      <c r="M53" s="539">
        <f t="shared" si="1"/>
        <v>0.13834501728781445</v>
      </c>
      <c r="O53" s="533">
        <f t="shared" si="22"/>
        <v>239688.15</v>
      </c>
      <c r="P53" s="533"/>
      <c r="Q53" s="533">
        <f t="shared" si="23"/>
        <v>273221.71000000002</v>
      </c>
      <c r="R53" s="533"/>
      <c r="S53" s="533">
        <f t="shared" si="2"/>
        <v>33533.560000000027</v>
      </c>
      <c r="U53" s="539">
        <f t="shared" si="3"/>
        <v>0.13990495566843841</v>
      </c>
    </row>
    <row r="54" spans="1:21">
      <c r="A54" s="540">
        <f>A53</f>
        <v>10000</v>
      </c>
      <c r="C54" s="435">
        <f>A51*0.7*730</f>
        <v>5110000</v>
      </c>
      <c r="E54" s="478">
        <f t="shared" ref="E54:E59" si="24">E51</f>
        <v>0.6</v>
      </c>
      <c r="G54" s="533">
        <f t="shared" si="17"/>
        <v>356198.52</v>
      </c>
      <c r="H54" s="533"/>
      <c r="I54" s="533">
        <f t="shared" si="14"/>
        <v>405064.59</v>
      </c>
      <c r="J54" s="533"/>
      <c r="K54" s="533">
        <f t="shared" si="0"/>
        <v>48866.070000000007</v>
      </c>
      <c r="M54" s="539">
        <f t="shared" si="1"/>
        <v>0.1371877401399646</v>
      </c>
      <c r="O54" s="533">
        <f t="shared" si="22"/>
        <v>289935.78000000003</v>
      </c>
      <c r="P54" s="533"/>
      <c r="Q54" s="533">
        <f t="shared" si="23"/>
        <v>330103.82</v>
      </c>
      <c r="R54" s="533"/>
      <c r="S54" s="533">
        <f t="shared" si="2"/>
        <v>40168.039999999979</v>
      </c>
      <c r="U54" s="539">
        <f t="shared" si="3"/>
        <v>0.13854116246018333</v>
      </c>
    </row>
    <row r="55" spans="1:21">
      <c r="A55" s="540">
        <f>A54</f>
        <v>10000</v>
      </c>
      <c r="C55" s="540">
        <f>C54</f>
        <v>5110000</v>
      </c>
      <c r="E55" s="478">
        <f t="shared" si="24"/>
        <v>0.5</v>
      </c>
      <c r="G55" s="533">
        <f t="shared" si="17"/>
        <v>348981.6</v>
      </c>
      <c r="H55" s="533"/>
      <c r="I55" s="533">
        <f t="shared" si="14"/>
        <v>396891.74</v>
      </c>
      <c r="J55" s="533"/>
      <c r="K55" s="533">
        <f t="shared" si="0"/>
        <v>47910.140000000014</v>
      </c>
      <c r="M55" s="539">
        <f t="shared" si="1"/>
        <v>0.13728557608767922</v>
      </c>
      <c r="O55" s="533">
        <f t="shared" si="22"/>
        <v>287532.17</v>
      </c>
      <c r="P55" s="533"/>
      <c r="Q55" s="533">
        <f t="shared" si="23"/>
        <v>327379.89</v>
      </c>
      <c r="R55" s="533"/>
      <c r="S55" s="533">
        <f t="shared" si="2"/>
        <v>39847.72000000003</v>
      </c>
      <c r="U55" s="539">
        <f t="shared" si="3"/>
        <v>0.13858525812955125</v>
      </c>
    </row>
    <row r="56" spans="1:21">
      <c r="A56" s="540">
        <f>A55</f>
        <v>10000</v>
      </c>
      <c r="C56" s="540">
        <f>C55</f>
        <v>5110000</v>
      </c>
      <c r="E56" s="478">
        <f t="shared" si="24"/>
        <v>0.4</v>
      </c>
      <c r="G56" s="533">
        <f t="shared" si="17"/>
        <v>341764.67</v>
      </c>
      <c r="H56" s="533"/>
      <c r="I56" s="533">
        <f t="shared" si="14"/>
        <v>388718.88</v>
      </c>
      <c r="J56" s="533"/>
      <c r="K56" s="533">
        <f t="shared" si="0"/>
        <v>46954.210000000021</v>
      </c>
      <c r="M56" s="539">
        <f t="shared" si="1"/>
        <v>0.13738754798733299</v>
      </c>
      <c r="O56" s="533">
        <f t="shared" si="22"/>
        <v>285128.56</v>
      </c>
      <c r="P56" s="533"/>
      <c r="Q56" s="533">
        <f t="shared" si="23"/>
        <v>324655.95</v>
      </c>
      <c r="R56" s="533"/>
      <c r="S56" s="533">
        <f t="shared" si="2"/>
        <v>39527.390000000014</v>
      </c>
      <c r="U56" s="539">
        <f t="shared" si="3"/>
        <v>0.13863006217265639</v>
      </c>
    </row>
    <row r="57" spans="1:21">
      <c r="A57" s="540">
        <f>A54</f>
        <v>10000</v>
      </c>
      <c r="C57" s="435">
        <f>A51*0.9*730</f>
        <v>6570000</v>
      </c>
      <c r="E57" s="478">
        <f t="shared" si="24"/>
        <v>0.6</v>
      </c>
      <c r="G57" s="533">
        <f t="shared" si="17"/>
        <v>411263.81</v>
      </c>
      <c r="H57" s="533"/>
      <c r="I57" s="533">
        <f t="shared" si="14"/>
        <v>467396.37</v>
      </c>
      <c r="J57" s="533"/>
      <c r="K57" s="533">
        <f t="shared" si="0"/>
        <v>56132.56</v>
      </c>
      <c r="M57" s="539">
        <f t="shared" si="1"/>
        <v>0.13648796377196426</v>
      </c>
      <c r="O57" s="533">
        <f t="shared" si="22"/>
        <v>336749.68</v>
      </c>
      <c r="P57" s="533"/>
      <c r="Q57" s="533">
        <f t="shared" si="23"/>
        <v>383094.6</v>
      </c>
      <c r="R57" s="533"/>
      <c r="S57" s="533">
        <f t="shared" si="2"/>
        <v>46344.919999999984</v>
      </c>
      <c r="U57" s="539">
        <f t="shared" si="3"/>
        <v>0.13762424362214687</v>
      </c>
    </row>
    <row r="58" spans="1:21">
      <c r="A58" s="540">
        <f>A55</f>
        <v>10000</v>
      </c>
      <c r="C58" s="540">
        <f>C57</f>
        <v>6570000</v>
      </c>
      <c r="E58" s="478">
        <f t="shared" si="24"/>
        <v>0.5</v>
      </c>
      <c r="G58" s="533">
        <f t="shared" si="17"/>
        <v>401984.91</v>
      </c>
      <c r="H58" s="533"/>
      <c r="I58" s="533">
        <f t="shared" si="14"/>
        <v>456888.41</v>
      </c>
      <c r="J58" s="533"/>
      <c r="K58" s="533">
        <f t="shared" si="0"/>
        <v>54903.5</v>
      </c>
      <c r="M58" s="539">
        <f t="shared" si="1"/>
        <v>0.13658099753047948</v>
      </c>
      <c r="O58" s="533">
        <f t="shared" si="22"/>
        <v>333659.32</v>
      </c>
      <c r="P58" s="533"/>
      <c r="Q58" s="533">
        <f t="shared" si="23"/>
        <v>379592.4</v>
      </c>
      <c r="R58" s="533"/>
      <c r="S58" s="533">
        <f t="shared" si="2"/>
        <v>45933.080000000016</v>
      </c>
      <c r="U58" s="539">
        <f t="shared" si="3"/>
        <v>0.13766460951847526</v>
      </c>
    </row>
    <row r="59" spans="1:21">
      <c r="A59" s="540">
        <f>A56</f>
        <v>10000</v>
      </c>
      <c r="C59" s="540">
        <f>C58</f>
        <v>6570000</v>
      </c>
      <c r="E59" s="478">
        <f t="shared" si="24"/>
        <v>0.4</v>
      </c>
      <c r="G59" s="533">
        <f t="shared" si="17"/>
        <v>392706.01</v>
      </c>
      <c r="H59" s="533"/>
      <c r="I59" s="533">
        <f t="shared" si="14"/>
        <v>446380.46</v>
      </c>
      <c r="J59" s="533"/>
      <c r="K59" s="533">
        <f t="shared" si="0"/>
        <v>53674.450000000012</v>
      </c>
      <c r="M59" s="539">
        <f t="shared" si="1"/>
        <v>0.13667845317671601</v>
      </c>
      <c r="O59" s="533">
        <f>ROUND(($X$19+(($X$21*(1+$X$32)+$X$20+$X$22)*$A59+($X$23*$E59+$X$24*(1-$E59))/100*$C59*(1+$X$32))*(1+$X$26))+$X$25,2)</f>
        <v>330568.96000000002</v>
      </c>
      <c r="P59" s="533"/>
      <c r="Q59" s="533">
        <f>ROUND(($Y$19+(($Y$21*(1+$Y$32)+$Y$20+$Y$22)*$A59+($Y$23*$E59+$Y$24*(1-$E59))/100*$C59*(1+$Y$32))*(1+$Y$26))+$Y$25,2)</f>
        <v>376090.19</v>
      </c>
      <c r="R59" s="533"/>
      <c r="S59" s="533">
        <f t="shared" si="2"/>
        <v>45521.229999999981</v>
      </c>
      <c r="U59" s="539">
        <f t="shared" si="3"/>
        <v>0.13770569989390413</v>
      </c>
    </row>
    <row r="60" spans="1:21">
      <c r="K60" s="447"/>
      <c r="S60" s="447"/>
    </row>
    <row r="61" spans="1:21" ht="15.75">
      <c r="A61" s="480" t="s">
        <v>456</v>
      </c>
      <c r="K61" s="447"/>
      <c r="S61" s="447"/>
    </row>
    <row r="62" spans="1:21" ht="15.75">
      <c r="A62" s="480" t="s">
        <v>486</v>
      </c>
      <c r="K62" s="447"/>
      <c r="S62" s="447"/>
    </row>
    <row r="63" spans="1:21" ht="15.75">
      <c r="A63" s="480"/>
      <c r="K63" s="447"/>
      <c r="S63" s="447"/>
    </row>
    <row r="64" spans="1:21">
      <c r="K64" s="447"/>
      <c r="S64" s="447"/>
    </row>
    <row r="65" spans="11:19">
      <c r="K65" s="447"/>
      <c r="S65" s="447"/>
    </row>
    <row r="66" spans="11:19">
      <c r="K66" s="447"/>
      <c r="S66" s="447"/>
    </row>
    <row r="67" spans="11:19">
      <c r="K67" s="447"/>
      <c r="S67" s="447"/>
    </row>
    <row r="68" spans="11:19">
      <c r="K68" s="447"/>
      <c r="S68" s="447"/>
    </row>
  </sheetData>
  <phoneticPr fontId="67" type="noConversion"/>
  <printOptions horizontalCentered="1"/>
  <pageMargins left="0.75" right="0.75" top="1" bottom="0.5" header="0.5" footer="0.25"/>
  <pageSetup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view="pageBreakPreview" zoomScale="60" zoomScaleNormal="75" workbookViewId="0">
      <selection activeCell="C71" sqref="C71"/>
    </sheetView>
  </sheetViews>
  <sheetFormatPr defaultColWidth="8" defaultRowHeight="12.75"/>
  <cols>
    <col min="1" max="1" width="8" style="435" customWidth="1"/>
    <col min="2" max="2" width="0.875" style="435" customWidth="1"/>
    <col min="3" max="3" width="9.625" style="435" bestFit="1" customWidth="1"/>
    <col min="4" max="4" width="0.625" style="425" customWidth="1"/>
    <col min="5" max="5" width="6.75" style="435" bestFit="1" customWidth="1"/>
    <col min="6" max="6" width="0.875" style="425" customWidth="1"/>
    <col min="7" max="7" width="9.25" style="453" bestFit="1" customWidth="1"/>
    <col min="8" max="8" width="0.625" style="425" customWidth="1"/>
    <col min="9" max="9" width="9.25" style="453" bestFit="1" customWidth="1"/>
    <col min="10" max="10" width="1" style="425" customWidth="1"/>
    <col min="11" max="11" width="8.125" style="425" bestFit="1" customWidth="1"/>
    <col min="12" max="12" width="1.125" style="425" customWidth="1"/>
    <col min="13" max="13" width="5.625" style="425" bestFit="1" customWidth="1"/>
    <col min="14" max="14" width="1.125" style="425" customWidth="1"/>
    <col min="15" max="15" width="9.25" style="453" bestFit="1" customWidth="1"/>
    <col min="16" max="16" width="0.875" style="425" customWidth="1"/>
    <col min="17" max="17" width="9.25" style="453" bestFit="1" customWidth="1"/>
    <col min="18" max="18" width="1.125" style="425" customWidth="1"/>
    <col min="19" max="19" width="8.125" style="425" bestFit="1" customWidth="1"/>
    <col min="20" max="20" width="0.75" style="425" customWidth="1"/>
    <col min="21" max="21" width="5.625" style="425" bestFit="1" customWidth="1"/>
    <col min="22" max="22" width="3.125" style="425" customWidth="1"/>
    <col min="23" max="23" width="10.25" style="425" customWidth="1"/>
    <col min="24" max="24" width="8.5" style="425" bestFit="1" customWidth="1"/>
    <col min="25" max="25" width="10" style="425" bestFit="1" customWidth="1"/>
    <col min="26" max="26" width="9.75" style="425" bestFit="1" customWidth="1"/>
    <col min="27" max="16384" width="8" style="425"/>
  </cols>
  <sheetData>
    <row r="1" spans="1:27" ht="16.5">
      <c r="A1" s="418" t="s">
        <v>1</v>
      </c>
      <c r="B1" s="418"/>
      <c r="C1" s="418"/>
      <c r="D1" s="419"/>
      <c r="E1" s="418"/>
      <c r="F1" s="419"/>
      <c r="G1" s="420"/>
      <c r="H1" s="419"/>
      <c r="I1" s="420"/>
      <c r="J1" s="419"/>
      <c r="K1" s="419"/>
      <c r="L1" s="419"/>
      <c r="M1" s="419"/>
      <c r="N1" s="419"/>
      <c r="O1" s="420"/>
      <c r="P1" s="419"/>
      <c r="Q1" s="420"/>
      <c r="R1" s="419"/>
      <c r="S1" s="419"/>
      <c r="T1" s="419"/>
      <c r="U1" s="419"/>
    </row>
    <row r="2" spans="1:27" ht="16.5">
      <c r="A2" s="418" t="s">
        <v>432</v>
      </c>
      <c r="B2" s="418"/>
      <c r="C2" s="418"/>
      <c r="D2" s="419"/>
      <c r="E2" s="418"/>
      <c r="F2" s="419"/>
      <c r="G2" s="420"/>
      <c r="H2" s="419"/>
      <c r="I2" s="420"/>
      <c r="J2" s="419"/>
      <c r="K2" s="419"/>
      <c r="L2" s="419"/>
      <c r="M2" s="419"/>
      <c r="N2" s="419"/>
      <c r="O2" s="420"/>
      <c r="P2" s="419"/>
      <c r="Q2" s="420"/>
      <c r="R2" s="419"/>
      <c r="S2" s="419"/>
      <c r="T2" s="419"/>
      <c r="U2" s="419"/>
    </row>
    <row r="3" spans="1:27" ht="16.5">
      <c r="A3" s="418" t="s">
        <v>487</v>
      </c>
      <c r="B3" s="418"/>
      <c r="C3" s="418"/>
      <c r="D3" s="419"/>
      <c r="E3" s="418"/>
      <c r="F3" s="419"/>
      <c r="G3" s="420"/>
      <c r="H3" s="419"/>
      <c r="I3" s="420"/>
      <c r="J3" s="419"/>
      <c r="K3" s="419"/>
      <c r="L3" s="419"/>
      <c r="M3" s="419"/>
      <c r="N3" s="419"/>
      <c r="O3" s="420"/>
      <c r="P3" s="419"/>
      <c r="Q3" s="420"/>
      <c r="R3" s="419"/>
      <c r="S3" s="419"/>
      <c r="T3" s="419"/>
      <c r="U3" s="419"/>
    </row>
    <row r="4" spans="1:27" ht="16.5">
      <c r="A4" s="418" t="s">
        <v>488</v>
      </c>
      <c r="B4" s="418"/>
      <c r="C4" s="418"/>
      <c r="D4" s="419"/>
      <c r="E4" s="418"/>
      <c r="F4" s="419"/>
      <c r="G4" s="420"/>
      <c r="H4" s="419"/>
      <c r="I4" s="420"/>
      <c r="J4" s="419"/>
      <c r="K4" s="419"/>
      <c r="L4" s="419"/>
      <c r="M4" s="419"/>
      <c r="N4" s="419"/>
      <c r="O4" s="420"/>
      <c r="P4" s="419"/>
      <c r="Q4" s="420"/>
      <c r="R4" s="419"/>
      <c r="S4" s="419"/>
      <c r="T4" s="419"/>
      <c r="U4" s="419"/>
    </row>
    <row r="5" spans="1:27">
      <c r="A5" s="428"/>
      <c r="B5" s="428"/>
      <c r="C5" s="428"/>
      <c r="D5" s="419"/>
      <c r="E5" s="428"/>
      <c r="F5" s="419"/>
      <c r="G5" s="420"/>
      <c r="H5" s="419"/>
      <c r="I5" s="420"/>
      <c r="J5" s="419"/>
      <c r="L5" s="419"/>
      <c r="N5" s="419"/>
      <c r="O5" s="420"/>
      <c r="P5" s="419"/>
      <c r="Q5" s="420"/>
      <c r="R5" s="419"/>
      <c r="T5" s="419"/>
    </row>
    <row r="6" spans="1:27" ht="17.25">
      <c r="A6" s="429"/>
      <c r="B6" s="422"/>
      <c r="C6" s="422"/>
      <c r="D6" s="422"/>
      <c r="E6" s="432"/>
      <c r="F6" s="431"/>
      <c r="G6" s="432"/>
      <c r="H6" s="422"/>
      <c r="I6" s="505"/>
      <c r="J6" s="422"/>
      <c r="K6" s="422"/>
      <c r="L6" s="422"/>
      <c r="M6" s="422"/>
      <c r="N6" s="422"/>
      <c r="O6" s="432"/>
      <c r="P6" s="422"/>
      <c r="Q6" s="505"/>
      <c r="R6" s="422"/>
      <c r="S6" s="422"/>
      <c r="T6" s="422"/>
      <c r="U6" s="422"/>
    </row>
    <row r="7" spans="1:27">
      <c r="G7" s="505"/>
      <c r="H7" s="423"/>
      <c r="I7" s="505"/>
      <c r="J7" s="423"/>
      <c r="K7" s="532"/>
      <c r="L7" s="423"/>
      <c r="M7" s="532"/>
      <c r="N7" s="423"/>
      <c r="O7" s="505"/>
      <c r="P7" s="423"/>
      <c r="Q7" s="505"/>
      <c r="R7" s="423"/>
      <c r="S7" s="532"/>
      <c r="T7" s="423"/>
      <c r="U7" s="532"/>
    </row>
    <row r="8" spans="1:27">
      <c r="G8" s="436" t="s">
        <v>438</v>
      </c>
      <c r="H8" s="445"/>
      <c r="I8" s="438"/>
      <c r="J8" s="437"/>
      <c r="K8" s="446"/>
      <c r="L8" s="437"/>
      <c r="M8" s="437"/>
      <c r="O8" s="436" t="s">
        <v>439</v>
      </c>
      <c r="P8" s="445"/>
      <c r="Q8" s="438"/>
      <c r="R8" s="437"/>
      <c r="S8" s="446"/>
      <c r="T8" s="437"/>
      <c r="U8" s="437"/>
      <c r="W8" s="510" t="s">
        <v>227</v>
      </c>
      <c r="X8" s="511" t="s">
        <v>81</v>
      </c>
      <c r="Y8" s="512" t="s">
        <v>8</v>
      </c>
    </row>
    <row r="9" spans="1:27" ht="16.5">
      <c r="A9" s="506" t="s">
        <v>462</v>
      </c>
      <c r="E9" s="506" t="s">
        <v>479</v>
      </c>
      <c r="G9" s="438" t="s">
        <v>463</v>
      </c>
      <c r="H9" s="437"/>
      <c r="I9" s="438"/>
      <c r="K9" s="438" t="s">
        <v>19</v>
      </c>
      <c r="L9" s="437"/>
      <c r="M9" s="438"/>
      <c r="O9" s="438" t="s">
        <v>463</v>
      </c>
      <c r="P9" s="437"/>
      <c r="Q9" s="438"/>
      <c r="S9" s="438" t="s">
        <v>19</v>
      </c>
      <c r="T9" s="437"/>
      <c r="U9" s="438"/>
      <c r="W9" s="536" t="s">
        <v>438</v>
      </c>
      <c r="X9" s="537"/>
      <c r="Y9" s="538"/>
      <c r="Z9" s="505"/>
    </row>
    <row r="10" spans="1:27" ht="15.75">
      <c r="A10" s="500" t="s">
        <v>480</v>
      </c>
      <c r="B10" s="507"/>
      <c r="C10" s="508" t="s">
        <v>85</v>
      </c>
      <c r="E10" s="508" t="s">
        <v>481</v>
      </c>
      <c r="G10" s="442" t="s">
        <v>81</v>
      </c>
      <c r="I10" s="499" t="s">
        <v>8</v>
      </c>
      <c r="K10" s="451" t="s">
        <v>86</v>
      </c>
      <c r="M10" s="500" t="s">
        <v>48</v>
      </c>
      <c r="O10" s="442" t="s">
        <v>81</v>
      </c>
      <c r="Q10" s="499" t="s">
        <v>8</v>
      </c>
      <c r="S10" s="451" t="s">
        <v>86</v>
      </c>
      <c r="U10" s="500" t="s">
        <v>48</v>
      </c>
      <c r="W10" s="462" t="s">
        <v>123</v>
      </c>
      <c r="X10" s="463">
        <f>'Exhibit RMP-(WRG-5)'!G326</f>
        <v>200</v>
      </c>
      <c r="Y10" s="464">
        <f>'Exhibit RMP-(WRG-5)'!M326</f>
        <v>244</v>
      </c>
      <c r="Z10" s="463"/>
      <c r="AA10" s="539"/>
    </row>
    <row r="11" spans="1:27" ht="17.25" customHeight="1">
      <c r="A11" s="435">
        <v>500</v>
      </c>
      <c r="C11" s="435">
        <f>A11*0.5*730</f>
        <v>182500</v>
      </c>
      <c r="E11" s="478">
        <v>0.6</v>
      </c>
      <c r="G11" s="533">
        <f>ROUND(($X$10+(($X$12*(1+$X$30)+$X$11)*$A11+($X$13*$E11+$X$14*(1-$E11))/100*$C11*(1+$X$30))*(1+$X$16))+$X$15,2)</f>
        <v>13043.93</v>
      </c>
      <c r="H11" s="533"/>
      <c r="I11" s="533">
        <f>ROUND(($Y$10+(($Y$12*(1+$Y$30)+$Y$11)*$A11+($Y$13*$E11+$Y$14*(1-$E11))/100*$C11*(1+$Y$30))*(1+$Y$16))+$Y$15,2)</f>
        <v>15042.32</v>
      </c>
      <c r="J11" s="533"/>
      <c r="K11" s="533">
        <f t="shared" ref="K11:K59" si="0">IF(I11="","",I11-G11)</f>
        <v>1998.3899999999994</v>
      </c>
      <c r="M11" s="539">
        <f t="shared" ref="M11:M59" si="1">IF(K11="","",I11/G11-1)</f>
        <v>0.15320459401422726</v>
      </c>
      <c r="O11" s="533">
        <f>ROUND(($X$18+(($X$20*(1+$X$30)+$X$19)*$A11+($X$21*$E11+$X$22*(1-$E11))/100*$C11*(1+$X$30))*(1+$X$24))+$X$23,2)</f>
        <v>10103.61</v>
      </c>
      <c r="P11" s="533"/>
      <c r="Q11" s="533">
        <f>ROUND(($Y$18+(($Y$20*(1+$Y$30)+$Y$19)*$A11+($Y$21*$E11+$Y$22*(1-$E11))/100*$C11*(1+$Y$30))*(1+$Y$24))+$Y$23,2)</f>
        <v>11668.12</v>
      </c>
      <c r="R11" s="533"/>
      <c r="S11" s="533">
        <f t="shared" ref="S11:S59" si="2">IF(Q11="","",Q11-O11)</f>
        <v>1564.5100000000002</v>
      </c>
      <c r="U11" s="539">
        <f t="shared" ref="U11:U59" si="3">IF(S11="","",Q11/O11-1)</f>
        <v>0.15484663402486842</v>
      </c>
      <c r="W11" s="462" t="s">
        <v>482</v>
      </c>
      <c r="X11" s="463">
        <f>'Exhibit RMP-(WRG-5)'!G327</f>
        <v>1.71</v>
      </c>
      <c r="Y11" s="464">
        <f>'Exhibit RMP-(WRG-5)'!M327</f>
        <v>2.08</v>
      </c>
      <c r="Z11" s="463"/>
      <c r="AA11" s="539"/>
    </row>
    <row r="12" spans="1:27">
      <c r="A12" s="540">
        <f>A11</f>
        <v>500</v>
      </c>
      <c r="C12" s="540">
        <f>C11</f>
        <v>182500</v>
      </c>
      <c r="E12" s="478">
        <v>0.5</v>
      </c>
      <c r="G12" s="533">
        <f t="shared" ref="G12:G19" si="4">ROUND(($X$10+(($X$12*(1+$X$30)+$X$11)*$A12+($X$13*$E12+$X$14*(1-$E12))/100*$C12*(1+$X$30))*(1+$X$16))+$X$15,2)</f>
        <v>12779.2</v>
      </c>
      <c r="H12" s="533"/>
      <c r="I12" s="533">
        <f t="shared" ref="I12:I19" si="5">ROUND(($Y$10+(($Y$12*(1+$Y$30)+$Y$11)*$A12+($Y$13*$E12+$Y$14*(1-$E12))/100*$C12*(1+$Y$30))*(1+$Y$16))+$Y$15,2)</f>
        <v>14738.48</v>
      </c>
      <c r="J12" s="533"/>
      <c r="K12" s="533">
        <f t="shared" si="0"/>
        <v>1959.2799999999988</v>
      </c>
      <c r="M12" s="539">
        <f t="shared" si="1"/>
        <v>0.15331789157380737</v>
      </c>
      <c r="O12" s="533">
        <f t="shared" ref="O12:O59" si="6">ROUND(($X$18+(($X$20*(1+$X$30)+$X$19)*$A12+($X$21*$E12+$X$22*(1-$E12))/100*$C12*(1+$X$30))*(1+$X$24))+$X$23,2)</f>
        <v>10015.39</v>
      </c>
      <c r="P12" s="533"/>
      <c r="Q12" s="533">
        <f t="shared" ref="Q12:Q59" si="7">ROUND(($Y$18+(($Y$20*(1+$Y$30)+$Y$19)*$A12+($Y$21*$E12+$Y$22*(1-$E12))/100*$C12*(1+$Y$30))*(1+$Y$24))+$Y$23,2)</f>
        <v>11566.95</v>
      </c>
      <c r="R12" s="533"/>
      <c r="S12" s="533">
        <f t="shared" si="2"/>
        <v>1551.5600000000013</v>
      </c>
      <c r="U12" s="539">
        <f t="shared" si="3"/>
        <v>0.15491758184154603</v>
      </c>
      <c r="W12" s="462" t="s">
        <v>483</v>
      </c>
      <c r="X12" s="463">
        <f>'Exhibit RMP-(WRG-5)'!G328</f>
        <v>10.76</v>
      </c>
      <c r="Y12" s="464">
        <f>'Exhibit RMP-(WRG-5)'!M328</f>
        <v>13.1</v>
      </c>
      <c r="Z12" s="463"/>
      <c r="AA12" s="539"/>
    </row>
    <row r="13" spans="1:27">
      <c r="A13" s="540">
        <f>A12</f>
        <v>500</v>
      </c>
      <c r="C13" s="540">
        <f>C12</f>
        <v>182500</v>
      </c>
      <c r="E13" s="478">
        <v>0.4</v>
      </c>
      <c r="G13" s="533">
        <f t="shared" si="4"/>
        <v>12514.47</v>
      </c>
      <c r="H13" s="533"/>
      <c r="I13" s="533">
        <f t="shared" si="5"/>
        <v>14434.64</v>
      </c>
      <c r="J13" s="533"/>
      <c r="K13" s="533">
        <f t="shared" si="0"/>
        <v>1920.17</v>
      </c>
      <c r="M13" s="539">
        <f t="shared" si="1"/>
        <v>0.15343598250665025</v>
      </c>
      <c r="O13" s="533">
        <f t="shared" si="6"/>
        <v>9927.18</v>
      </c>
      <c r="P13" s="533"/>
      <c r="Q13" s="533">
        <f t="shared" si="7"/>
        <v>11465.77</v>
      </c>
      <c r="R13" s="533"/>
      <c r="S13" s="533">
        <f t="shared" si="2"/>
        <v>1538.5900000000001</v>
      </c>
      <c r="U13" s="539">
        <f t="shared" si="3"/>
        <v>0.15498761984773113</v>
      </c>
      <c r="W13" s="462" t="s">
        <v>484</v>
      </c>
      <c r="X13" s="517">
        <f>'Exhibit RMP-(WRG-5)'!G330</f>
        <v>3.5857999999999999</v>
      </c>
      <c r="Y13" s="518">
        <f>'Exhibit RMP-(WRG-5)'!M330</f>
        <v>4.3661000000000003</v>
      </c>
      <c r="Z13" s="519"/>
      <c r="AA13" s="539"/>
    </row>
    <row r="14" spans="1:27">
      <c r="A14" s="540">
        <f>A13</f>
        <v>500</v>
      </c>
      <c r="C14" s="435">
        <f>A11*0.7*730</f>
        <v>255500</v>
      </c>
      <c r="E14" s="478">
        <f t="shared" ref="E14:E19" si="8">E11</f>
        <v>0.6</v>
      </c>
      <c r="G14" s="533">
        <f t="shared" si="4"/>
        <v>15466.77</v>
      </c>
      <c r="H14" s="533"/>
      <c r="I14" s="533">
        <f t="shared" si="5"/>
        <v>17824.009999999998</v>
      </c>
      <c r="J14" s="533"/>
      <c r="K14" s="533">
        <f t="shared" si="0"/>
        <v>2357.239999999998</v>
      </c>
      <c r="M14" s="539">
        <f t="shared" si="1"/>
        <v>0.15240674038600166</v>
      </c>
      <c r="O14" s="533">
        <f t="shared" si="6"/>
        <v>12102.79</v>
      </c>
      <c r="P14" s="533"/>
      <c r="Q14" s="533">
        <f t="shared" si="7"/>
        <v>13963.42</v>
      </c>
      <c r="R14" s="533"/>
      <c r="S14" s="533">
        <f t="shared" si="2"/>
        <v>1860.6299999999992</v>
      </c>
      <c r="U14" s="539">
        <f t="shared" si="3"/>
        <v>0.15373562624816262</v>
      </c>
      <c r="W14" s="462" t="s">
        <v>485</v>
      </c>
      <c r="X14" s="517">
        <f>'Exhibit RMP-(WRG-5)'!G332</f>
        <v>2.2517999999999998</v>
      </c>
      <c r="Y14" s="518">
        <f>'Exhibit RMP-(WRG-5)'!M332</f>
        <v>2.7423000000000002</v>
      </c>
      <c r="Z14" s="519"/>
      <c r="AA14" s="539"/>
    </row>
    <row r="15" spans="1:27">
      <c r="A15" s="540">
        <f>A14</f>
        <v>500</v>
      </c>
      <c r="C15" s="540">
        <f>C14</f>
        <v>255500</v>
      </c>
      <c r="E15" s="478">
        <f t="shared" si="8"/>
        <v>0.5</v>
      </c>
      <c r="G15" s="533">
        <f t="shared" si="4"/>
        <v>15096.15</v>
      </c>
      <c r="H15" s="533"/>
      <c r="I15" s="533">
        <f t="shared" si="5"/>
        <v>17398.64</v>
      </c>
      <c r="J15" s="533"/>
      <c r="K15" s="533">
        <f t="shared" si="0"/>
        <v>2302.4899999999998</v>
      </c>
      <c r="M15" s="539">
        <f t="shared" si="1"/>
        <v>0.15252166943227241</v>
      </c>
      <c r="O15" s="533">
        <f t="shared" si="6"/>
        <v>11979.3</v>
      </c>
      <c r="P15" s="533"/>
      <c r="Q15" s="533">
        <f t="shared" si="7"/>
        <v>13821.78</v>
      </c>
      <c r="R15" s="533"/>
      <c r="S15" s="533">
        <f t="shared" si="2"/>
        <v>1842.4800000000014</v>
      </c>
      <c r="U15" s="539">
        <f t="shared" si="3"/>
        <v>0.15380531416693799</v>
      </c>
      <c r="W15" s="462" t="s">
        <v>471</v>
      </c>
      <c r="X15" s="463">
        <v>50</v>
      </c>
      <c r="Y15" s="464">
        <f>X15</f>
        <v>50</v>
      </c>
      <c r="Z15" s="463"/>
      <c r="AA15" s="539"/>
    </row>
    <row r="16" spans="1:27">
      <c r="A16" s="540">
        <f>A15</f>
        <v>500</v>
      </c>
      <c r="C16" s="540">
        <f>C15</f>
        <v>255500</v>
      </c>
      <c r="E16" s="478">
        <f t="shared" si="8"/>
        <v>0.4</v>
      </c>
      <c r="G16" s="533">
        <f t="shared" si="4"/>
        <v>14725.52</v>
      </c>
      <c r="H16" s="533"/>
      <c r="I16" s="533">
        <f t="shared" si="5"/>
        <v>16973.27</v>
      </c>
      <c r="J16" s="533"/>
      <c r="K16" s="533">
        <f t="shared" si="0"/>
        <v>2247.75</v>
      </c>
      <c r="M16" s="539">
        <f t="shared" si="1"/>
        <v>0.15264316642128772</v>
      </c>
      <c r="O16" s="533">
        <f t="shared" si="6"/>
        <v>11855.8</v>
      </c>
      <c r="P16" s="533"/>
      <c r="Q16" s="533">
        <f t="shared" si="7"/>
        <v>13680.14</v>
      </c>
      <c r="R16" s="533"/>
      <c r="S16" s="533">
        <f t="shared" si="2"/>
        <v>1824.3400000000001</v>
      </c>
      <c r="U16" s="539">
        <f t="shared" si="3"/>
        <v>0.15387742708210328</v>
      </c>
      <c r="W16" s="462" t="s">
        <v>472</v>
      </c>
      <c r="X16" s="522">
        <f>'Exhibit RMP-(WRG-5)'!G336</f>
        <v>3.6999999999999998E-2</v>
      </c>
      <c r="Y16" s="535">
        <f>X16</f>
        <v>3.6999999999999998E-2</v>
      </c>
      <c r="Z16" s="522"/>
      <c r="AA16" s="539"/>
    </row>
    <row r="17" spans="1:27" ht="13.5">
      <c r="A17" s="540">
        <f>A14</f>
        <v>500</v>
      </c>
      <c r="C17" s="435">
        <f>A11*0.9*730</f>
        <v>328500</v>
      </c>
      <c r="E17" s="478">
        <f t="shared" si="8"/>
        <v>0.6</v>
      </c>
      <c r="G17" s="533">
        <f t="shared" si="4"/>
        <v>17889.61</v>
      </c>
      <c r="H17" s="533"/>
      <c r="I17" s="533">
        <f t="shared" si="5"/>
        <v>20605.71</v>
      </c>
      <c r="J17" s="533"/>
      <c r="K17" s="533">
        <f t="shared" si="0"/>
        <v>2716.0999999999985</v>
      </c>
      <c r="M17" s="539">
        <f t="shared" si="1"/>
        <v>0.15182555684556553</v>
      </c>
      <c r="O17" s="533">
        <f t="shared" si="6"/>
        <v>14101.98</v>
      </c>
      <c r="P17" s="533"/>
      <c r="Q17" s="533">
        <f t="shared" si="7"/>
        <v>16258.73</v>
      </c>
      <c r="R17" s="533"/>
      <c r="S17" s="533">
        <f t="shared" si="2"/>
        <v>2156.75</v>
      </c>
      <c r="U17" s="539">
        <f t="shared" si="3"/>
        <v>0.15293951629487501</v>
      </c>
      <c r="W17" s="514" t="s">
        <v>439</v>
      </c>
      <c r="X17" s="469"/>
      <c r="Y17" s="461"/>
      <c r="Z17" s="469"/>
      <c r="AA17" s="539"/>
    </row>
    <row r="18" spans="1:27">
      <c r="A18" s="540">
        <f>A15</f>
        <v>500</v>
      </c>
      <c r="C18" s="540">
        <f>C17</f>
        <v>328500</v>
      </c>
      <c r="E18" s="478">
        <f t="shared" si="8"/>
        <v>0.5</v>
      </c>
      <c r="G18" s="533">
        <f t="shared" si="4"/>
        <v>17413.09</v>
      </c>
      <c r="H18" s="533"/>
      <c r="I18" s="533">
        <f t="shared" si="5"/>
        <v>20058.8</v>
      </c>
      <c r="J18" s="533"/>
      <c r="K18" s="533">
        <f t="shared" si="0"/>
        <v>2645.7099999999991</v>
      </c>
      <c r="M18" s="539">
        <f t="shared" si="1"/>
        <v>0.15193799607077207</v>
      </c>
      <c r="O18" s="533">
        <f t="shared" si="6"/>
        <v>13943.2</v>
      </c>
      <c r="P18" s="533"/>
      <c r="Q18" s="533">
        <f t="shared" si="7"/>
        <v>16076.62</v>
      </c>
      <c r="R18" s="533"/>
      <c r="S18" s="533">
        <f t="shared" si="2"/>
        <v>2133.42</v>
      </c>
      <c r="U18" s="539">
        <f t="shared" si="3"/>
        <v>0.15300791783808587</v>
      </c>
      <c r="W18" s="462" t="s">
        <v>123</v>
      </c>
      <c r="X18" s="469">
        <f>X10</f>
        <v>200</v>
      </c>
      <c r="Y18" s="470">
        <f>Y10</f>
        <v>244</v>
      </c>
      <c r="Z18" s="469"/>
      <c r="AA18" s="539"/>
    </row>
    <row r="19" spans="1:27">
      <c r="A19" s="540">
        <f>A16</f>
        <v>500</v>
      </c>
      <c r="C19" s="540">
        <f>C18</f>
        <v>328500</v>
      </c>
      <c r="E19" s="478">
        <f t="shared" si="8"/>
        <v>0.4</v>
      </c>
      <c r="G19" s="533">
        <f t="shared" si="4"/>
        <v>16936.57</v>
      </c>
      <c r="H19" s="533"/>
      <c r="I19" s="533">
        <f t="shared" si="5"/>
        <v>19511.900000000001</v>
      </c>
      <c r="J19" s="533"/>
      <c r="K19" s="533">
        <f t="shared" si="0"/>
        <v>2575.3300000000017</v>
      </c>
      <c r="M19" s="539">
        <f t="shared" si="1"/>
        <v>0.15205735281701083</v>
      </c>
      <c r="O19" s="533">
        <f t="shared" si="6"/>
        <v>13784.42</v>
      </c>
      <c r="P19" s="533"/>
      <c r="Q19" s="533">
        <f t="shared" si="7"/>
        <v>15894.51</v>
      </c>
      <c r="R19" s="533"/>
      <c r="S19" s="533">
        <f t="shared" si="2"/>
        <v>2110.09</v>
      </c>
      <c r="U19" s="539">
        <f t="shared" si="3"/>
        <v>0.15307789518891624</v>
      </c>
      <c r="W19" s="462" t="s">
        <v>482</v>
      </c>
      <c r="X19" s="469">
        <f>X11</f>
        <v>1.71</v>
      </c>
      <c r="Y19" s="470">
        <f>Y11</f>
        <v>2.08</v>
      </c>
      <c r="Z19" s="469"/>
      <c r="AA19" s="539"/>
    </row>
    <row r="20" spans="1:27">
      <c r="G20" s="533"/>
      <c r="H20" s="533"/>
      <c r="I20" s="533"/>
      <c r="J20" s="533"/>
      <c r="K20" s="533" t="str">
        <f t="shared" si="0"/>
        <v/>
      </c>
      <c r="M20" s="539" t="str">
        <f t="shared" si="1"/>
        <v/>
      </c>
      <c r="O20" s="533"/>
      <c r="P20" s="533"/>
      <c r="Q20" s="533"/>
      <c r="R20" s="533"/>
      <c r="S20" s="533" t="str">
        <f t="shared" si="2"/>
        <v/>
      </c>
      <c r="U20" s="539" t="str">
        <f t="shared" si="3"/>
        <v/>
      </c>
      <c r="W20" s="462" t="s">
        <v>483</v>
      </c>
      <c r="X20" s="463">
        <f>'Exhibit RMP-(WRG-5)'!G329</f>
        <v>7.3</v>
      </c>
      <c r="Y20" s="464">
        <f>'Exhibit RMP-(WRG-5)'!M329</f>
        <v>8.89</v>
      </c>
      <c r="Z20" s="463"/>
      <c r="AA20" s="539"/>
    </row>
    <row r="21" spans="1:27">
      <c r="A21" s="435">
        <v>1000</v>
      </c>
      <c r="C21" s="435">
        <f>A21*0.5*730</f>
        <v>365000</v>
      </c>
      <c r="E21" s="478">
        <v>0.6</v>
      </c>
      <c r="G21" s="533">
        <f t="shared" ref="G21:G29" si="9">ROUND(($X$10+(($X$12*(1+$X$30)+$X$11)*$A21+($X$13*$E21+$X$14*(1-$E21))/100*$C21*(1+$X$30))*(1+$X$16))+$X$15,2)</f>
        <v>25837.87</v>
      </c>
      <c r="H21" s="533"/>
      <c r="I21" s="533">
        <f t="shared" ref="I21:I29" si="10">ROUND(($Y$10+(($Y$12*(1+$Y$30)+$Y$11)*$A21+($Y$13*$E21+$Y$14*(1-$E21))/100*$C21*(1+$Y$30))*(1+$Y$16))+$Y$15,2)</f>
        <v>29790.63</v>
      </c>
      <c r="J21" s="533"/>
      <c r="K21" s="533">
        <f t="shared" si="0"/>
        <v>3952.760000000002</v>
      </c>
      <c r="M21" s="539">
        <f t="shared" si="1"/>
        <v>0.15298319869246191</v>
      </c>
      <c r="O21" s="533">
        <f t="shared" si="6"/>
        <v>19957.21</v>
      </c>
      <c r="P21" s="533"/>
      <c r="Q21" s="533">
        <f t="shared" si="7"/>
        <v>23042.240000000002</v>
      </c>
      <c r="R21" s="533"/>
      <c r="S21" s="533">
        <f t="shared" si="2"/>
        <v>3085.0300000000025</v>
      </c>
      <c r="U21" s="539">
        <f t="shared" si="3"/>
        <v>0.15458222867825722</v>
      </c>
      <c r="W21" s="462" t="s">
        <v>484</v>
      </c>
      <c r="X21" s="517">
        <f>'Exhibit RMP-(WRG-5)'!G331</f>
        <v>2.6962999999999999</v>
      </c>
      <c r="Y21" s="518">
        <f>'Exhibit RMP-(WRG-5)'!M331</f>
        <v>3.2829999999999999</v>
      </c>
      <c r="Z21" s="519"/>
      <c r="AA21" s="539"/>
    </row>
    <row r="22" spans="1:27">
      <c r="A22" s="540">
        <f>A21</f>
        <v>1000</v>
      </c>
      <c r="C22" s="540">
        <f>C21</f>
        <v>365000</v>
      </c>
      <c r="E22" s="478">
        <v>0.5</v>
      </c>
      <c r="G22" s="533">
        <f t="shared" si="9"/>
        <v>25308.400000000001</v>
      </c>
      <c r="H22" s="533"/>
      <c r="I22" s="533">
        <f t="shared" si="10"/>
        <v>29182.959999999999</v>
      </c>
      <c r="J22" s="533"/>
      <c r="K22" s="533">
        <f t="shared" si="0"/>
        <v>3874.5599999999977</v>
      </c>
      <c r="M22" s="539">
        <f t="shared" si="1"/>
        <v>0.15309383445812452</v>
      </c>
      <c r="O22" s="533">
        <f t="shared" si="6"/>
        <v>19780.79</v>
      </c>
      <c r="P22" s="533"/>
      <c r="Q22" s="533">
        <f t="shared" si="7"/>
        <v>22839.89</v>
      </c>
      <c r="R22" s="533"/>
      <c r="S22" s="533">
        <f t="shared" si="2"/>
        <v>3059.0999999999985</v>
      </c>
      <c r="U22" s="539">
        <f t="shared" si="3"/>
        <v>0.15465004178296216</v>
      </c>
      <c r="W22" s="462" t="s">
        <v>485</v>
      </c>
      <c r="X22" s="517">
        <f>'Exhibit RMP-(WRG-5)'!G332</f>
        <v>2.2517999999999998</v>
      </c>
      <c r="Y22" s="543">
        <f>Y14</f>
        <v>2.7423000000000002</v>
      </c>
      <c r="Z22" s="519"/>
      <c r="AA22" s="539"/>
    </row>
    <row r="23" spans="1:27">
      <c r="A23" s="540">
        <f>A22</f>
        <v>1000</v>
      </c>
      <c r="C23" s="540">
        <f>C22</f>
        <v>365000</v>
      </c>
      <c r="E23" s="478">
        <v>0.4</v>
      </c>
      <c r="G23" s="533">
        <f t="shared" si="9"/>
        <v>24778.94</v>
      </c>
      <c r="H23" s="533"/>
      <c r="I23" s="533">
        <f t="shared" si="10"/>
        <v>28575.29</v>
      </c>
      <c r="J23" s="533"/>
      <c r="K23" s="533">
        <f t="shared" si="0"/>
        <v>3796.3500000000022</v>
      </c>
      <c r="M23" s="539">
        <f t="shared" si="1"/>
        <v>0.15320873289979331</v>
      </c>
      <c r="O23" s="533">
        <f t="shared" si="6"/>
        <v>19604.37</v>
      </c>
      <c r="P23" s="533"/>
      <c r="Q23" s="533">
        <f t="shared" si="7"/>
        <v>22637.55</v>
      </c>
      <c r="R23" s="533"/>
      <c r="S23" s="533">
        <f t="shared" si="2"/>
        <v>3033.1800000000003</v>
      </c>
      <c r="U23" s="539">
        <f t="shared" si="3"/>
        <v>0.15471958548017617</v>
      </c>
      <c r="W23" s="462" t="s">
        <v>471</v>
      </c>
      <c r="X23" s="469">
        <f>X15</f>
        <v>50</v>
      </c>
      <c r="Y23" s="470">
        <f>Y15</f>
        <v>50</v>
      </c>
      <c r="Z23" s="469"/>
      <c r="AA23" s="539"/>
    </row>
    <row r="24" spans="1:27">
      <c r="A24" s="540">
        <f>A23</f>
        <v>1000</v>
      </c>
      <c r="C24" s="435">
        <f>A21*0.7*730</f>
        <v>511000</v>
      </c>
      <c r="E24" s="478">
        <f t="shared" ref="E24:E29" si="11">E21</f>
        <v>0.6</v>
      </c>
      <c r="G24" s="533">
        <f t="shared" si="9"/>
        <v>30683.54</v>
      </c>
      <c r="H24" s="533"/>
      <c r="I24" s="533">
        <f t="shared" si="10"/>
        <v>35354.019999999997</v>
      </c>
      <c r="J24" s="533"/>
      <c r="K24" s="533">
        <f t="shared" si="0"/>
        <v>4670.4799999999959</v>
      </c>
      <c r="M24" s="539">
        <f t="shared" si="1"/>
        <v>0.15221450979906481</v>
      </c>
      <c r="O24" s="533">
        <f t="shared" si="6"/>
        <v>23955.59</v>
      </c>
      <c r="P24" s="533"/>
      <c r="Q24" s="533">
        <f t="shared" si="7"/>
        <v>27632.85</v>
      </c>
      <c r="R24" s="533"/>
      <c r="S24" s="533">
        <f t="shared" si="2"/>
        <v>3677.2599999999984</v>
      </c>
      <c r="U24" s="539">
        <f t="shared" si="3"/>
        <v>0.15350321156773838</v>
      </c>
      <c r="W24" s="473" t="s">
        <v>472</v>
      </c>
      <c r="X24" s="525">
        <f>X16</f>
        <v>3.6999999999999998E-2</v>
      </c>
      <c r="Y24" s="526">
        <f>Y16</f>
        <v>3.6999999999999998E-2</v>
      </c>
      <c r="Z24" s="476"/>
      <c r="AA24" s="539"/>
    </row>
    <row r="25" spans="1:27">
      <c r="A25" s="540">
        <f>A24</f>
        <v>1000</v>
      </c>
      <c r="C25" s="540">
        <f>C24</f>
        <v>511000</v>
      </c>
      <c r="E25" s="478">
        <f t="shared" si="11"/>
        <v>0.5</v>
      </c>
      <c r="G25" s="533">
        <f t="shared" si="9"/>
        <v>29942.29</v>
      </c>
      <c r="H25" s="533"/>
      <c r="I25" s="533">
        <f t="shared" si="10"/>
        <v>34503.279999999999</v>
      </c>
      <c r="J25" s="533"/>
      <c r="K25" s="533">
        <f t="shared" si="0"/>
        <v>4560.989999999998</v>
      </c>
      <c r="M25" s="539">
        <f t="shared" si="1"/>
        <v>0.15232602449578825</v>
      </c>
      <c r="O25" s="533">
        <f t="shared" si="6"/>
        <v>23708.59</v>
      </c>
      <c r="P25" s="533"/>
      <c r="Q25" s="533">
        <f t="shared" si="7"/>
        <v>27349.56</v>
      </c>
      <c r="R25" s="533"/>
      <c r="S25" s="533">
        <f t="shared" si="2"/>
        <v>3640.9700000000012</v>
      </c>
      <c r="U25" s="539">
        <f t="shared" si="3"/>
        <v>0.1535717644954846</v>
      </c>
      <c r="Z25" s="539"/>
    </row>
    <row r="26" spans="1:27">
      <c r="A26" s="540">
        <f>A25</f>
        <v>1000</v>
      </c>
      <c r="C26" s="540">
        <f>C25</f>
        <v>511000</v>
      </c>
      <c r="E26" s="478">
        <f t="shared" si="11"/>
        <v>0.4</v>
      </c>
      <c r="G26" s="533">
        <f t="shared" si="9"/>
        <v>29201.040000000001</v>
      </c>
      <c r="H26" s="533"/>
      <c r="I26" s="533">
        <f t="shared" si="10"/>
        <v>33652.54</v>
      </c>
      <c r="J26" s="533"/>
      <c r="K26" s="533">
        <f t="shared" si="0"/>
        <v>4451.5</v>
      </c>
      <c r="M26" s="539">
        <f t="shared" si="1"/>
        <v>0.15244320065312733</v>
      </c>
      <c r="O26" s="533">
        <f t="shared" si="6"/>
        <v>23461.599999999999</v>
      </c>
      <c r="P26" s="533"/>
      <c r="Q26" s="533">
        <f t="shared" si="7"/>
        <v>27066.28</v>
      </c>
      <c r="R26" s="533"/>
      <c r="S26" s="533">
        <f t="shared" si="2"/>
        <v>3604.6800000000003</v>
      </c>
      <c r="U26" s="539">
        <f t="shared" si="3"/>
        <v>0.15364169536604488</v>
      </c>
      <c r="W26" s="425" t="s">
        <v>452</v>
      </c>
      <c r="Y26" s="477">
        <f>'Exhibit RMP-(WRG-1)'!S25</f>
        <v>0.16575777539305134</v>
      </c>
      <c r="Z26" s="539"/>
    </row>
    <row r="27" spans="1:27">
      <c r="A27" s="540">
        <f>A24</f>
        <v>1000</v>
      </c>
      <c r="C27" s="435">
        <f>A21*0.9*730</f>
        <v>657000</v>
      </c>
      <c r="E27" s="478">
        <f t="shared" si="11"/>
        <v>0.6</v>
      </c>
      <c r="G27" s="533">
        <f t="shared" si="9"/>
        <v>35529.22</v>
      </c>
      <c r="H27" s="533"/>
      <c r="I27" s="533">
        <f t="shared" si="10"/>
        <v>40917.42</v>
      </c>
      <c r="J27" s="533"/>
      <c r="K27" s="533">
        <f t="shared" si="0"/>
        <v>5388.1999999999971</v>
      </c>
      <c r="M27" s="539">
        <f t="shared" si="1"/>
        <v>0.15165545429930627</v>
      </c>
      <c r="O27" s="533">
        <f t="shared" si="6"/>
        <v>27953.96</v>
      </c>
      <c r="P27" s="533"/>
      <c r="Q27" s="533">
        <f t="shared" si="7"/>
        <v>32223.46</v>
      </c>
      <c r="R27" s="533"/>
      <c r="S27" s="533">
        <f t="shared" si="2"/>
        <v>4269.5</v>
      </c>
      <c r="U27" s="539">
        <f t="shared" si="3"/>
        <v>0.15273328000755537</v>
      </c>
      <c r="W27" s="425" t="s">
        <v>374</v>
      </c>
      <c r="X27" s="476">
        <v>5.9900000000000002E-2</v>
      </c>
      <c r="Y27" s="425">
        <v>0</v>
      </c>
      <c r="Z27" s="539"/>
    </row>
    <row r="28" spans="1:27">
      <c r="A28" s="540">
        <f>A25</f>
        <v>1000</v>
      </c>
      <c r="C28" s="540">
        <f>C27</f>
        <v>657000</v>
      </c>
      <c r="E28" s="478">
        <f t="shared" si="11"/>
        <v>0.5</v>
      </c>
      <c r="G28" s="533">
        <f t="shared" si="9"/>
        <v>34576.18</v>
      </c>
      <c r="H28" s="533"/>
      <c r="I28" s="533">
        <f t="shared" si="10"/>
        <v>39823.61</v>
      </c>
      <c r="J28" s="533"/>
      <c r="K28" s="533">
        <f t="shared" si="0"/>
        <v>5247.43</v>
      </c>
      <c r="M28" s="539">
        <f t="shared" si="1"/>
        <v>0.15176430710390787</v>
      </c>
      <c r="O28" s="533">
        <f t="shared" si="6"/>
        <v>27636.400000000001</v>
      </c>
      <c r="P28" s="533"/>
      <c r="Q28" s="533">
        <f t="shared" si="7"/>
        <v>31859.23</v>
      </c>
      <c r="R28" s="533"/>
      <c r="S28" s="533">
        <f t="shared" si="2"/>
        <v>4222.8299999999981</v>
      </c>
      <c r="U28" s="539">
        <f t="shared" si="3"/>
        <v>0.15279956868477806</v>
      </c>
      <c r="W28" s="425" t="s">
        <v>453</v>
      </c>
      <c r="X28" s="476">
        <v>2.23E-2</v>
      </c>
      <c r="Y28" s="477">
        <f>X28</f>
        <v>2.23E-2</v>
      </c>
      <c r="Z28" s="477"/>
    </row>
    <row r="29" spans="1:27">
      <c r="A29" s="540">
        <f>A26</f>
        <v>1000</v>
      </c>
      <c r="C29" s="540">
        <f>C28</f>
        <v>657000</v>
      </c>
      <c r="E29" s="478">
        <f t="shared" si="11"/>
        <v>0.4</v>
      </c>
      <c r="G29" s="533">
        <f t="shared" si="9"/>
        <v>33623.15</v>
      </c>
      <c r="H29" s="533"/>
      <c r="I29" s="533">
        <f t="shared" si="10"/>
        <v>38729.800000000003</v>
      </c>
      <c r="J29" s="533"/>
      <c r="K29" s="533">
        <f t="shared" si="0"/>
        <v>5106.6500000000015</v>
      </c>
      <c r="M29" s="539">
        <f t="shared" si="1"/>
        <v>0.15187898813763745</v>
      </c>
      <c r="O29" s="533">
        <f t="shared" si="6"/>
        <v>27318.84</v>
      </c>
      <c r="P29" s="533"/>
      <c r="Q29" s="533">
        <f t="shared" si="7"/>
        <v>31495.01</v>
      </c>
      <c r="R29" s="533"/>
      <c r="S29" s="533">
        <f t="shared" si="2"/>
        <v>4176.1699999999983</v>
      </c>
      <c r="U29" s="539">
        <f t="shared" si="3"/>
        <v>0.15286776451708772</v>
      </c>
      <c r="W29" s="425" t="s">
        <v>454</v>
      </c>
      <c r="X29" s="476">
        <v>-3.3599999999999998E-2</v>
      </c>
      <c r="Y29" s="477">
        <f>X29</f>
        <v>-3.3599999999999998E-2</v>
      </c>
      <c r="Z29" s="539"/>
    </row>
    <row r="30" spans="1:27">
      <c r="G30" s="533"/>
      <c r="H30" s="533"/>
      <c r="I30" s="533"/>
      <c r="J30" s="533"/>
      <c r="K30" s="533" t="str">
        <f t="shared" si="0"/>
        <v/>
      </c>
      <c r="M30" s="539" t="str">
        <f t="shared" si="1"/>
        <v/>
      </c>
      <c r="O30" s="533"/>
      <c r="P30" s="533"/>
      <c r="Q30" s="533"/>
      <c r="R30" s="533"/>
      <c r="S30" s="533" t="str">
        <f t="shared" si="2"/>
        <v/>
      </c>
      <c r="U30" s="539" t="str">
        <f t="shared" si="3"/>
        <v/>
      </c>
      <c r="W30" s="423" t="s">
        <v>455</v>
      </c>
      <c r="X30" s="476">
        <f>SUM(X27:X29)</f>
        <v>4.8599999999999997E-2</v>
      </c>
      <c r="Y30" s="477">
        <f>SUM(Y27:Y29)</f>
        <v>-1.1299999999999998E-2</v>
      </c>
      <c r="Z30" s="539"/>
    </row>
    <row r="31" spans="1:27">
      <c r="A31" s="435">
        <v>2000</v>
      </c>
      <c r="C31" s="435">
        <f>A31*0.5*730</f>
        <v>730000</v>
      </c>
      <c r="E31" s="478">
        <v>0.6</v>
      </c>
      <c r="G31" s="533">
        <f t="shared" ref="G31:G39" si="12">ROUND(($X$10+(($X$12*(1+$X$30)+$X$11)*$A31+($X$13*$E31+$X$14*(1-$E31))/100*$C31*(1+$X$30))*(1+$X$16))+$X$15,2)</f>
        <v>51425.73</v>
      </c>
      <c r="H31" s="533"/>
      <c r="I31" s="533">
        <f t="shared" ref="I31:I39" si="13">ROUND(($Y$10+(($Y$12*(1+$Y$30)+$Y$11)*$A31+($Y$13*$E31+$Y$14*(1-$E31))/100*$C31*(1+$Y$30))*(1+$Y$16))+$Y$15,2)</f>
        <v>59287.26</v>
      </c>
      <c r="J31" s="533"/>
      <c r="K31" s="533">
        <f t="shared" si="0"/>
        <v>7861.5299999999988</v>
      </c>
      <c r="M31" s="539">
        <f t="shared" si="1"/>
        <v>0.15287152948533733</v>
      </c>
      <c r="O31" s="533">
        <f t="shared" si="6"/>
        <v>39664.42</v>
      </c>
      <c r="P31" s="533"/>
      <c r="Q31" s="533">
        <f t="shared" si="7"/>
        <v>45790.48</v>
      </c>
      <c r="R31" s="533"/>
      <c r="S31" s="533">
        <f t="shared" si="2"/>
        <v>6126.0600000000049</v>
      </c>
      <c r="U31" s="539">
        <f t="shared" si="3"/>
        <v>0.15444723507869274</v>
      </c>
      <c r="Z31" s="539"/>
    </row>
    <row r="32" spans="1:27">
      <c r="A32" s="540">
        <f>A31</f>
        <v>2000</v>
      </c>
      <c r="C32" s="540">
        <f>C31</f>
        <v>730000</v>
      </c>
      <c r="E32" s="478">
        <v>0.5</v>
      </c>
      <c r="G32" s="533">
        <f t="shared" si="12"/>
        <v>50366.8</v>
      </c>
      <c r="H32" s="533"/>
      <c r="I32" s="533">
        <f t="shared" si="13"/>
        <v>58071.92</v>
      </c>
      <c r="J32" s="533"/>
      <c r="K32" s="533">
        <f t="shared" si="0"/>
        <v>7705.1199999999953</v>
      </c>
      <c r="M32" s="539">
        <f t="shared" si="1"/>
        <v>0.15298013770976104</v>
      </c>
      <c r="O32" s="533">
        <f t="shared" si="6"/>
        <v>39311.58</v>
      </c>
      <c r="P32" s="533"/>
      <c r="Q32" s="533">
        <f t="shared" si="7"/>
        <v>45385.79</v>
      </c>
      <c r="R32" s="533"/>
      <c r="S32" s="533">
        <f t="shared" si="2"/>
        <v>6074.2099999999991</v>
      </c>
      <c r="U32" s="539">
        <f t="shared" si="3"/>
        <v>0.15451452218404849</v>
      </c>
      <c r="Z32" s="539"/>
    </row>
    <row r="33" spans="1:26">
      <c r="A33" s="540">
        <f>A32</f>
        <v>2000</v>
      </c>
      <c r="C33" s="540">
        <f>C32</f>
        <v>730000</v>
      </c>
      <c r="E33" s="478">
        <v>0.4</v>
      </c>
      <c r="G33" s="533">
        <f t="shared" si="12"/>
        <v>49307.87</v>
      </c>
      <c r="H33" s="533"/>
      <c r="I33" s="533">
        <f t="shared" si="13"/>
        <v>56856.58</v>
      </c>
      <c r="J33" s="533"/>
      <c r="K33" s="533">
        <f t="shared" si="0"/>
        <v>7548.7099999999991</v>
      </c>
      <c r="M33" s="539">
        <f t="shared" si="1"/>
        <v>0.15309341084901851</v>
      </c>
      <c r="O33" s="533">
        <f t="shared" si="6"/>
        <v>38958.74</v>
      </c>
      <c r="P33" s="533"/>
      <c r="Q33" s="533">
        <f t="shared" si="7"/>
        <v>44981.1</v>
      </c>
      <c r="R33" s="533"/>
      <c r="S33" s="533">
        <f t="shared" si="2"/>
        <v>6022.3600000000006</v>
      </c>
      <c r="U33" s="539">
        <f t="shared" si="3"/>
        <v>0.15458302809587776</v>
      </c>
      <c r="Z33" s="539"/>
    </row>
    <row r="34" spans="1:26">
      <c r="A34" s="540">
        <f>A33</f>
        <v>2000</v>
      </c>
      <c r="C34" s="435">
        <f>A31*0.7*730</f>
        <v>1022000</v>
      </c>
      <c r="E34" s="478">
        <f t="shared" ref="E34:E39" si="14">E31</f>
        <v>0.6</v>
      </c>
      <c r="G34" s="533">
        <f t="shared" si="12"/>
        <v>61117.09</v>
      </c>
      <c r="H34" s="533"/>
      <c r="I34" s="533">
        <f t="shared" si="13"/>
        <v>70414.05</v>
      </c>
      <c r="J34" s="533"/>
      <c r="K34" s="533">
        <f t="shared" si="0"/>
        <v>9296.9600000000064</v>
      </c>
      <c r="M34" s="539">
        <f t="shared" si="1"/>
        <v>0.1521171901345435</v>
      </c>
      <c r="O34" s="533">
        <f t="shared" si="6"/>
        <v>47661.17</v>
      </c>
      <c r="P34" s="533"/>
      <c r="Q34" s="533">
        <f t="shared" si="7"/>
        <v>54971.69</v>
      </c>
      <c r="R34" s="533"/>
      <c r="S34" s="533">
        <f t="shared" si="2"/>
        <v>7310.5200000000041</v>
      </c>
      <c r="U34" s="539">
        <f t="shared" si="3"/>
        <v>0.15338524001823717</v>
      </c>
      <c r="Z34" s="539"/>
    </row>
    <row r="35" spans="1:26">
      <c r="A35" s="540">
        <f>A34</f>
        <v>2000</v>
      </c>
      <c r="C35" s="540">
        <f>C34</f>
        <v>1022000</v>
      </c>
      <c r="E35" s="478">
        <f t="shared" si="14"/>
        <v>0.5</v>
      </c>
      <c r="G35" s="533">
        <f t="shared" si="12"/>
        <v>59634.59</v>
      </c>
      <c r="H35" s="533"/>
      <c r="I35" s="533">
        <f t="shared" si="13"/>
        <v>68712.570000000007</v>
      </c>
      <c r="J35" s="533"/>
      <c r="K35" s="533">
        <f t="shared" si="0"/>
        <v>9077.9800000000105</v>
      </c>
      <c r="M35" s="539">
        <f t="shared" si="1"/>
        <v>0.15222675296333898</v>
      </c>
      <c r="O35" s="533">
        <f t="shared" si="6"/>
        <v>47167.19</v>
      </c>
      <c r="P35" s="533"/>
      <c r="Q35" s="533">
        <f t="shared" si="7"/>
        <v>54405.13</v>
      </c>
      <c r="R35" s="533"/>
      <c r="S35" s="533">
        <f t="shared" si="2"/>
        <v>7237.9399999999951</v>
      </c>
      <c r="U35" s="539">
        <f t="shared" si="3"/>
        <v>0.15345285568209577</v>
      </c>
      <c r="Z35" s="539"/>
    </row>
    <row r="36" spans="1:26">
      <c r="A36" s="540">
        <f>A35</f>
        <v>2000</v>
      </c>
      <c r="C36" s="540">
        <f>C35</f>
        <v>1022000</v>
      </c>
      <c r="E36" s="478">
        <f t="shared" si="14"/>
        <v>0.4</v>
      </c>
      <c r="G36" s="533">
        <f t="shared" si="12"/>
        <v>58152.08</v>
      </c>
      <c r="H36" s="533"/>
      <c r="I36" s="533">
        <f t="shared" si="13"/>
        <v>67011.09</v>
      </c>
      <c r="J36" s="533"/>
      <c r="K36" s="533">
        <f t="shared" si="0"/>
        <v>8859.0099999999948</v>
      </c>
      <c r="M36" s="539">
        <f t="shared" si="1"/>
        <v>0.15234210023098038</v>
      </c>
      <c r="O36" s="533">
        <f t="shared" si="6"/>
        <v>46673.21</v>
      </c>
      <c r="P36" s="533"/>
      <c r="Q36" s="533">
        <f t="shared" si="7"/>
        <v>53838.559999999998</v>
      </c>
      <c r="R36" s="533"/>
      <c r="S36" s="533">
        <f t="shared" si="2"/>
        <v>7165.3499999999985</v>
      </c>
      <c r="U36" s="539">
        <f t="shared" si="3"/>
        <v>0.15352168835184044</v>
      </c>
      <c r="Z36" s="539"/>
    </row>
    <row r="37" spans="1:26">
      <c r="A37" s="540">
        <f>A34</f>
        <v>2000</v>
      </c>
      <c r="C37" s="435">
        <f>A31*0.9*730</f>
        <v>1314000</v>
      </c>
      <c r="E37" s="478">
        <f t="shared" si="14"/>
        <v>0.6</v>
      </c>
      <c r="G37" s="533">
        <f t="shared" si="12"/>
        <v>70808.44</v>
      </c>
      <c r="H37" s="533"/>
      <c r="I37" s="533">
        <f t="shared" si="13"/>
        <v>81540.83</v>
      </c>
      <c r="J37" s="533"/>
      <c r="K37" s="533">
        <f t="shared" si="0"/>
        <v>10732.39</v>
      </c>
      <c r="M37" s="539">
        <f t="shared" si="1"/>
        <v>0.15156936094058837</v>
      </c>
      <c r="O37" s="533">
        <f t="shared" si="6"/>
        <v>55657.919999999998</v>
      </c>
      <c r="P37" s="533"/>
      <c r="Q37" s="533">
        <f t="shared" si="7"/>
        <v>64152.91</v>
      </c>
      <c r="R37" s="533"/>
      <c r="S37" s="533">
        <f t="shared" si="2"/>
        <v>8494.9900000000052</v>
      </c>
      <c r="U37" s="539">
        <f t="shared" si="3"/>
        <v>0.15262859266030793</v>
      </c>
      <c r="Z37" s="539"/>
    </row>
    <row r="38" spans="1:26">
      <c r="A38" s="540">
        <f>A35</f>
        <v>2000</v>
      </c>
      <c r="C38" s="540">
        <f>C37</f>
        <v>1314000</v>
      </c>
      <c r="E38" s="478">
        <f t="shared" si="14"/>
        <v>0.5</v>
      </c>
      <c r="G38" s="533">
        <f t="shared" si="12"/>
        <v>68902.37</v>
      </c>
      <c r="H38" s="533"/>
      <c r="I38" s="533">
        <f t="shared" si="13"/>
        <v>79353.210000000006</v>
      </c>
      <c r="J38" s="533"/>
      <c r="K38" s="533">
        <f t="shared" si="0"/>
        <v>10450.840000000011</v>
      </c>
      <c r="M38" s="539">
        <f t="shared" si="1"/>
        <v>0.15167605990911515</v>
      </c>
      <c r="O38" s="533">
        <f t="shared" si="6"/>
        <v>55022.8</v>
      </c>
      <c r="P38" s="533"/>
      <c r="Q38" s="533">
        <f t="shared" si="7"/>
        <v>63424.47</v>
      </c>
      <c r="R38" s="533"/>
      <c r="S38" s="533">
        <f t="shared" si="2"/>
        <v>8401.6699999999983</v>
      </c>
      <c r="U38" s="539">
        <f t="shared" si="3"/>
        <v>0.15269433762004114</v>
      </c>
      <c r="Z38" s="539"/>
    </row>
    <row r="39" spans="1:26">
      <c r="A39" s="540">
        <f>A36</f>
        <v>2000</v>
      </c>
      <c r="C39" s="540">
        <f>C38</f>
        <v>1314000</v>
      </c>
      <c r="E39" s="478">
        <f t="shared" si="14"/>
        <v>0.4</v>
      </c>
      <c r="G39" s="533">
        <f t="shared" si="12"/>
        <v>66996.289999999994</v>
      </c>
      <c r="H39" s="533"/>
      <c r="I39" s="533">
        <f t="shared" si="13"/>
        <v>77165.600000000006</v>
      </c>
      <c r="J39" s="533"/>
      <c r="K39" s="533">
        <f t="shared" si="0"/>
        <v>10169.310000000012</v>
      </c>
      <c r="M39" s="539">
        <f t="shared" si="1"/>
        <v>0.15178915130972204</v>
      </c>
      <c r="O39" s="533">
        <f t="shared" si="6"/>
        <v>54387.68</v>
      </c>
      <c r="P39" s="533"/>
      <c r="Q39" s="533">
        <f t="shared" si="7"/>
        <v>62696.03</v>
      </c>
      <c r="R39" s="533"/>
      <c r="S39" s="533">
        <f t="shared" si="2"/>
        <v>8308.3499999999985</v>
      </c>
      <c r="U39" s="539">
        <f t="shared" si="3"/>
        <v>0.15276161807232813</v>
      </c>
      <c r="Z39" s="539"/>
    </row>
    <row r="40" spans="1:26">
      <c r="G40" s="533"/>
      <c r="H40" s="533"/>
      <c r="I40" s="533"/>
      <c r="J40" s="533"/>
      <c r="K40" s="533" t="str">
        <f t="shared" si="0"/>
        <v/>
      </c>
      <c r="M40" s="539" t="str">
        <f t="shared" si="1"/>
        <v/>
      </c>
      <c r="O40" s="533"/>
      <c r="P40" s="533"/>
      <c r="Q40" s="533"/>
      <c r="R40" s="533"/>
      <c r="S40" s="533" t="str">
        <f t="shared" si="2"/>
        <v/>
      </c>
      <c r="U40" s="539" t="str">
        <f t="shared" si="3"/>
        <v/>
      </c>
      <c r="Z40" s="539"/>
    </row>
    <row r="41" spans="1:26">
      <c r="A41" s="435">
        <v>4000</v>
      </c>
      <c r="C41" s="435">
        <f>A41*0.5*730</f>
        <v>1460000</v>
      </c>
      <c r="E41" s="478">
        <v>0.6</v>
      </c>
      <c r="G41" s="533">
        <f t="shared" ref="G41:G49" si="15">ROUND(($X$10+(($X$12*(1+$X$30)+$X$11)*$A41+($X$13*$E41+$X$14*(1-$E41))/100*$C41*(1+$X$30))*(1+$X$16))+$X$15,2)</f>
        <v>102601.47</v>
      </c>
      <c r="H41" s="533"/>
      <c r="I41" s="533">
        <f t="shared" ref="I41:I49" si="16">ROUND(($Y$10+(($Y$12*(1+$Y$30)+$Y$11)*$A41+($Y$13*$E41+$Y$14*(1-$E41))/100*$C41*(1+$Y$30))*(1+$Y$16))+$Y$15,2)</f>
        <v>118280.53</v>
      </c>
      <c r="J41" s="533"/>
      <c r="K41" s="533">
        <f t="shared" si="0"/>
        <v>15679.059999999998</v>
      </c>
      <c r="M41" s="539">
        <f t="shared" si="1"/>
        <v>0.15281515947091195</v>
      </c>
      <c r="O41" s="533">
        <f t="shared" si="6"/>
        <v>79078.850000000006</v>
      </c>
      <c r="P41" s="533"/>
      <c r="Q41" s="533">
        <f t="shared" si="7"/>
        <v>91286.95</v>
      </c>
      <c r="R41" s="533"/>
      <c r="S41" s="533">
        <f t="shared" si="2"/>
        <v>12208.099999999991</v>
      </c>
      <c r="T41" s="544"/>
      <c r="U41" s="539">
        <f t="shared" si="3"/>
        <v>0.15437882569106653</v>
      </c>
      <c r="Z41" s="539"/>
    </row>
    <row r="42" spans="1:26">
      <c r="A42" s="540">
        <f>A41</f>
        <v>4000</v>
      </c>
      <c r="C42" s="540">
        <f>C41</f>
        <v>1460000</v>
      </c>
      <c r="E42" s="478">
        <v>0.5</v>
      </c>
      <c r="G42" s="533">
        <f t="shared" si="15"/>
        <v>100483.61</v>
      </c>
      <c r="H42" s="533"/>
      <c r="I42" s="533">
        <f t="shared" si="16"/>
        <v>115849.84</v>
      </c>
      <c r="J42" s="533"/>
      <c r="K42" s="533">
        <f t="shared" si="0"/>
        <v>15366.229999999996</v>
      </c>
      <c r="M42" s="539">
        <f t="shared" si="1"/>
        <v>0.15292275028733537</v>
      </c>
      <c r="O42" s="533">
        <f t="shared" si="6"/>
        <v>78373.16</v>
      </c>
      <c r="P42" s="533"/>
      <c r="Q42" s="533">
        <f t="shared" si="7"/>
        <v>90477.57</v>
      </c>
      <c r="R42" s="533"/>
      <c r="S42" s="533">
        <f t="shared" si="2"/>
        <v>12104.410000000003</v>
      </c>
      <c r="T42" s="544"/>
      <c r="U42" s="539">
        <f t="shared" si="3"/>
        <v>0.15444585876083083</v>
      </c>
      <c r="Z42" s="539"/>
    </row>
    <row r="43" spans="1:26">
      <c r="A43" s="540">
        <f>A42</f>
        <v>4000</v>
      </c>
      <c r="C43" s="540">
        <f>C42</f>
        <v>1460000</v>
      </c>
      <c r="E43" s="478">
        <v>0.4</v>
      </c>
      <c r="G43" s="533">
        <f t="shared" si="15"/>
        <v>98365.75</v>
      </c>
      <c r="H43" s="533"/>
      <c r="I43" s="533">
        <f t="shared" si="16"/>
        <v>113419.16</v>
      </c>
      <c r="J43" s="533"/>
      <c r="K43" s="533">
        <f t="shared" si="0"/>
        <v>15053.410000000003</v>
      </c>
      <c r="M43" s="539">
        <f t="shared" si="1"/>
        <v>0.1530350757250365</v>
      </c>
      <c r="O43" s="533">
        <f t="shared" si="6"/>
        <v>77667.47</v>
      </c>
      <c r="P43" s="533"/>
      <c r="Q43" s="533">
        <f t="shared" si="7"/>
        <v>89668.19</v>
      </c>
      <c r="R43" s="533"/>
      <c r="S43" s="533">
        <f t="shared" si="2"/>
        <v>12000.720000000001</v>
      </c>
      <c r="T43" s="544"/>
      <c r="U43" s="539">
        <f t="shared" si="3"/>
        <v>0.15451410996135184</v>
      </c>
      <c r="Z43" s="539"/>
    </row>
    <row r="44" spans="1:26">
      <c r="A44" s="540">
        <f>A43</f>
        <v>4000</v>
      </c>
      <c r="C44" s="435">
        <f>A41*0.7*730</f>
        <v>2044000</v>
      </c>
      <c r="E44" s="478">
        <f t="shared" ref="E44:E49" si="17">E41</f>
        <v>0.6</v>
      </c>
      <c r="G44" s="533">
        <f t="shared" si="15"/>
        <v>121984.18</v>
      </c>
      <c r="H44" s="533"/>
      <c r="I44" s="533">
        <f t="shared" si="16"/>
        <v>140534.09</v>
      </c>
      <c r="J44" s="533"/>
      <c r="K44" s="533">
        <f t="shared" si="0"/>
        <v>18549.910000000003</v>
      </c>
      <c r="M44" s="539">
        <f t="shared" si="1"/>
        <v>0.15206816162554859</v>
      </c>
      <c r="O44" s="533">
        <f t="shared" si="6"/>
        <v>95072.34</v>
      </c>
      <c r="P44" s="533"/>
      <c r="Q44" s="533">
        <f t="shared" si="7"/>
        <v>109649.39</v>
      </c>
      <c r="R44" s="533"/>
      <c r="S44" s="533">
        <f t="shared" si="2"/>
        <v>14577.050000000003</v>
      </c>
      <c r="T44" s="544"/>
      <c r="U44" s="539">
        <f t="shared" si="3"/>
        <v>0.15332587795777419</v>
      </c>
      <c r="Z44" s="539"/>
    </row>
    <row r="45" spans="1:26">
      <c r="A45" s="540">
        <f>A44</f>
        <v>4000</v>
      </c>
      <c r="C45" s="540">
        <f>C44</f>
        <v>2044000</v>
      </c>
      <c r="E45" s="478">
        <f t="shared" si="17"/>
        <v>0.5</v>
      </c>
      <c r="G45" s="533">
        <f t="shared" si="15"/>
        <v>119019.17</v>
      </c>
      <c r="H45" s="533"/>
      <c r="I45" s="533">
        <f t="shared" si="16"/>
        <v>137131.14000000001</v>
      </c>
      <c r="J45" s="533"/>
      <c r="K45" s="533">
        <f t="shared" si="0"/>
        <v>18111.970000000016</v>
      </c>
      <c r="M45" s="539">
        <f t="shared" si="1"/>
        <v>0.15217691402149769</v>
      </c>
      <c r="O45" s="533">
        <f t="shared" si="6"/>
        <v>94084.38</v>
      </c>
      <c r="P45" s="533"/>
      <c r="Q45" s="533">
        <f t="shared" si="7"/>
        <v>108516.25</v>
      </c>
      <c r="R45" s="533"/>
      <c r="S45" s="533">
        <f t="shared" si="2"/>
        <v>14431.869999999995</v>
      </c>
      <c r="T45" s="544"/>
      <c r="U45" s="539">
        <f t="shared" si="3"/>
        <v>0.15339283736577736</v>
      </c>
      <c r="Z45" s="539"/>
    </row>
    <row r="46" spans="1:26">
      <c r="A46" s="540">
        <f>A45</f>
        <v>4000</v>
      </c>
      <c r="C46" s="540">
        <f>C45</f>
        <v>2044000</v>
      </c>
      <c r="E46" s="478">
        <f t="shared" si="17"/>
        <v>0.4</v>
      </c>
      <c r="G46" s="533">
        <f t="shared" si="15"/>
        <v>116054.17</v>
      </c>
      <c r="H46" s="533"/>
      <c r="I46" s="533">
        <f t="shared" si="16"/>
        <v>133728.18</v>
      </c>
      <c r="J46" s="533"/>
      <c r="K46" s="533">
        <f t="shared" si="0"/>
        <v>17674.009999999995</v>
      </c>
      <c r="M46" s="539">
        <f t="shared" si="1"/>
        <v>0.15229103788342968</v>
      </c>
      <c r="O46" s="533">
        <f t="shared" si="6"/>
        <v>93096.42</v>
      </c>
      <c r="P46" s="533"/>
      <c r="Q46" s="533">
        <f t="shared" si="7"/>
        <v>107383.12</v>
      </c>
      <c r="R46" s="533"/>
      <c r="S46" s="533">
        <f t="shared" si="2"/>
        <v>14286.699999999997</v>
      </c>
      <c r="T46" s="544"/>
      <c r="U46" s="539">
        <f t="shared" si="3"/>
        <v>0.15346132536568002</v>
      </c>
      <c r="Z46" s="539"/>
    </row>
    <row r="47" spans="1:26">
      <c r="A47" s="540">
        <f>A44</f>
        <v>4000</v>
      </c>
      <c r="C47" s="435">
        <f>A41*0.9*730</f>
        <v>2628000</v>
      </c>
      <c r="E47" s="478">
        <f t="shared" si="17"/>
        <v>0.6</v>
      </c>
      <c r="G47" s="533">
        <f t="shared" si="15"/>
        <v>141366.88</v>
      </c>
      <c r="H47" s="533"/>
      <c r="I47" s="533">
        <f t="shared" si="16"/>
        <v>162787.66</v>
      </c>
      <c r="J47" s="533"/>
      <c r="K47" s="533">
        <f t="shared" si="0"/>
        <v>21420.78</v>
      </c>
      <c r="M47" s="539">
        <f t="shared" si="1"/>
        <v>0.15152615662169233</v>
      </c>
      <c r="O47" s="533">
        <f t="shared" si="6"/>
        <v>111065.84</v>
      </c>
      <c r="P47" s="533"/>
      <c r="Q47" s="533">
        <f t="shared" si="7"/>
        <v>128011.82</v>
      </c>
      <c r="R47" s="533"/>
      <c r="S47" s="533">
        <f t="shared" si="2"/>
        <v>16945.98000000001</v>
      </c>
      <c r="T47" s="544"/>
      <c r="U47" s="539">
        <f t="shared" si="3"/>
        <v>0.15257598555955654</v>
      </c>
      <c r="Z47" s="539"/>
    </row>
    <row r="48" spans="1:26">
      <c r="A48" s="540">
        <f>A45</f>
        <v>4000</v>
      </c>
      <c r="C48" s="540">
        <f>C47</f>
        <v>2628000</v>
      </c>
      <c r="E48" s="478">
        <f t="shared" si="17"/>
        <v>0.5</v>
      </c>
      <c r="G48" s="533">
        <f t="shared" si="15"/>
        <v>137554.73000000001</v>
      </c>
      <c r="H48" s="533"/>
      <c r="I48" s="533">
        <f t="shared" si="16"/>
        <v>158412.43</v>
      </c>
      <c r="J48" s="533"/>
      <c r="K48" s="533">
        <f t="shared" si="0"/>
        <v>20857.699999999983</v>
      </c>
      <c r="M48" s="539">
        <f t="shared" si="1"/>
        <v>0.15163200858305625</v>
      </c>
      <c r="O48" s="533">
        <f t="shared" si="6"/>
        <v>109795.6</v>
      </c>
      <c r="P48" s="533"/>
      <c r="Q48" s="533">
        <f t="shared" si="7"/>
        <v>126554.94</v>
      </c>
      <c r="R48" s="533"/>
      <c r="S48" s="533">
        <f t="shared" si="2"/>
        <v>16759.339999999997</v>
      </c>
      <c r="T48" s="544"/>
      <c r="U48" s="539">
        <f t="shared" si="3"/>
        <v>0.15264127159922625</v>
      </c>
      <c r="Z48" s="539"/>
    </row>
    <row r="49" spans="1:26">
      <c r="A49" s="540">
        <f>A46</f>
        <v>4000</v>
      </c>
      <c r="C49" s="540">
        <f>C48</f>
        <v>2628000</v>
      </c>
      <c r="E49" s="478">
        <f t="shared" si="17"/>
        <v>0.4</v>
      </c>
      <c r="G49" s="533">
        <f t="shared" si="15"/>
        <v>133742.59</v>
      </c>
      <c r="H49" s="533"/>
      <c r="I49" s="533">
        <f t="shared" si="16"/>
        <v>154037.19</v>
      </c>
      <c r="J49" s="533"/>
      <c r="K49" s="533">
        <f t="shared" si="0"/>
        <v>20294.600000000006</v>
      </c>
      <c r="M49" s="539">
        <f t="shared" si="1"/>
        <v>0.15174373398929997</v>
      </c>
      <c r="O49" s="533">
        <f t="shared" si="6"/>
        <v>108525.36</v>
      </c>
      <c r="P49" s="533"/>
      <c r="Q49" s="533">
        <f t="shared" si="7"/>
        <v>125098.05</v>
      </c>
      <c r="R49" s="533"/>
      <c r="S49" s="533">
        <f t="shared" si="2"/>
        <v>16572.690000000002</v>
      </c>
      <c r="T49" s="544"/>
      <c r="U49" s="539">
        <f t="shared" si="3"/>
        <v>0.15270799378136135</v>
      </c>
      <c r="Z49" s="539"/>
    </row>
    <row r="50" spans="1:26">
      <c r="G50" s="533"/>
      <c r="H50" s="533"/>
      <c r="I50" s="533"/>
      <c r="J50" s="533"/>
      <c r="K50" s="533" t="str">
        <f t="shared" si="0"/>
        <v/>
      </c>
      <c r="M50" s="539" t="str">
        <f t="shared" si="1"/>
        <v/>
      </c>
      <c r="O50" s="533"/>
      <c r="P50" s="533"/>
      <c r="Q50" s="533"/>
      <c r="R50" s="533"/>
      <c r="S50" s="533" t="str">
        <f t="shared" si="2"/>
        <v/>
      </c>
      <c r="U50" s="539" t="str">
        <f t="shared" si="3"/>
        <v/>
      </c>
      <c r="Z50" s="539"/>
    </row>
    <row r="51" spans="1:26">
      <c r="A51" s="435">
        <v>6000</v>
      </c>
      <c r="C51" s="435">
        <f>A51*0.5*730</f>
        <v>2190000</v>
      </c>
      <c r="E51" s="478">
        <v>0.6</v>
      </c>
      <c r="G51" s="533">
        <f t="shared" ref="G51:G59" si="18">ROUND(($X$10+(($X$12*(1+$X$30)+$X$11)*$A51+($X$13*$E51+$X$14*(1-$E51))/100*$C51*(1+$X$30))*(1+$X$16))+$X$15,2)</f>
        <v>153777.20000000001</v>
      </c>
      <c r="H51" s="533"/>
      <c r="I51" s="533">
        <f t="shared" ref="I51:I59" si="19">ROUND(($Y$10+(($Y$12*(1+$Y$30)+$Y$11)*$A51+($Y$13*$E51+$Y$14*(1-$E51))/100*$C51*(1+$Y$30))*(1+$Y$16))+$Y$15,2)</f>
        <v>177273.79</v>
      </c>
      <c r="J51" s="533"/>
      <c r="K51" s="533">
        <f t="shared" si="0"/>
        <v>23496.589999999997</v>
      </c>
      <c r="M51" s="539">
        <f t="shared" si="1"/>
        <v>0.1527963183098664</v>
      </c>
      <c r="O51" s="533">
        <f t="shared" si="6"/>
        <v>118493.27</v>
      </c>
      <c r="P51" s="533"/>
      <c r="Q51" s="533">
        <f t="shared" si="7"/>
        <v>136783.43</v>
      </c>
      <c r="R51" s="533"/>
      <c r="S51" s="533">
        <f t="shared" si="2"/>
        <v>18290.159999999989</v>
      </c>
      <c r="U51" s="539">
        <f t="shared" si="3"/>
        <v>0.1543561081570286</v>
      </c>
      <c r="Z51" s="539"/>
    </row>
    <row r="52" spans="1:26">
      <c r="A52" s="540">
        <f>A51</f>
        <v>6000</v>
      </c>
      <c r="C52" s="540">
        <f>C51</f>
        <v>2190000</v>
      </c>
      <c r="E52" s="478">
        <v>0.5</v>
      </c>
      <c r="G52" s="533">
        <f t="shared" si="18"/>
        <v>150600.41</v>
      </c>
      <c r="H52" s="533"/>
      <c r="I52" s="533">
        <f t="shared" si="19"/>
        <v>173627.76</v>
      </c>
      <c r="J52" s="533"/>
      <c r="K52" s="533">
        <f t="shared" si="0"/>
        <v>23027.350000000006</v>
      </c>
      <c r="M52" s="539">
        <f t="shared" si="1"/>
        <v>0.15290363419329345</v>
      </c>
      <c r="O52" s="533">
        <f t="shared" si="6"/>
        <v>117434.74</v>
      </c>
      <c r="P52" s="533"/>
      <c r="Q52" s="533">
        <f t="shared" si="7"/>
        <v>135569.35999999999</v>
      </c>
      <c r="R52" s="533"/>
      <c r="S52" s="533">
        <f t="shared" si="2"/>
        <v>18134.619999999981</v>
      </c>
      <c r="U52" s="539">
        <f t="shared" si="3"/>
        <v>0.15442295865771904</v>
      </c>
      <c r="Z52" s="539"/>
    </row>
    <row r="53" spans="1:26">
      <c r="A53" s="540">
        <f>A52</f>
        <v>6000</v>
      </c>
      <c r="C53" s="540">
        <f>C52</f>
        <v>2190000</v>
      </c>
      <c r="E53" s="478">
        <v>0.4</v>
      </c>
      <c r="G53" s="533">
        <f t="shared" si="18"/>
        <v>147423.62</v>
      </c>
      <c r="H53" s="533"/>
      <c r="I53" s="533">
        <f t="shared" si="19"/>
        <v>169981.74</v>
      </c>
      <c r="J53" s="533"/>
      <c r="K53" s="533">
        <f t="shared" si="0"/>
        <v>22558.119999999995</v>
      </c>
      <c r="M53" s="539">
        <f t="shared" si="1"/>
        <v>0.1530156429478533</v>
      </c>
      <c r="O53" s="533">
        <f t="shared" si="6"/>
        <v>116376.21</v>
      </c>
      <c r="P53" s="533"/>
      <c r="Q53" s="533">
        <f t="shared" si="7"/>
        <v>134355.29</v>
      </c>
      <c r="R53" s="533"/>
      <c r="S53" s="533">
        <f t="shared" si="2"/>
        <v>17979.080000000002</v>
      </c>
      <c r="U53" s="539">
        <f t="shared" si="3"/>
        <v>0.15449102527054293</v>
      </c>
      <c r="Z53" s="539"/>
    </row>
    <row r="54" spans="1:26">
      <c r="A54" s="540">
        <f>A53</f>
        <v>6000</v>
      </c>
      <c r="C54" s="435">
        <f>A51*0.7*730</f>
        <v>3066000</v>
      </c>
      <c r="E54" s="478">
        <f t="shared" ref="E54:E59" si="20">E51</f>
        <v>0.6</v>
      </c>
      <c r="G54" s="533">
        <f t="shared" si="18"/>
        <v>182851.26</v>
      </c>
      <c r="H54" s="533"/>
      <c r="I54" s="533">
        <f t="shared" si="19"/>
        <v>210654.14</v>
      </c>
      <c r="J54" s="533"/>
      <c r="K54" s="533">
        <f t="shared" si="0"/>
        <v>27802.880000000005</v>
      </c>
      <c r="M54" s="539">
        <f t="shared" si="1"/>
        <v>0.15205189179445644</v>
      </c>
      <c r="O54" s="533">
        <f t="shared" si="6"/>
        <v>142483.51999999999</v>
      </c>
      <c r="P54" s="533"/>
      <c r="Q54" s="533">
        <f t="shared" si="7"/>
        <v>164327.07999999999</v>
      </c>
      <c r="R54" s="533"/>
      <c r="S54" s="533">
        <f t="shared" si="2"/>
        <v>21843.559999999998</v>
      </c>
      <c r="U54" s="539">
        <f t="shared" si="3"/>
        <v>0.15330587004026852</v>
      </c>
      <c r="Z54" s="539"/>
    </row>
    <row r="55" spans="1:26">
      <c r="A55" s="540">
        <f>A54</f>
        <v>6000</v>
      </c>
      <c r="C55" s="540">
        <f>C54</f>
        <v>3066000</v>
      </c>
      <c r="E55" s="478">
        <f t="shared" si="20"/>
        <v>0.5</v>
      </c>
      <c r="G55" s="533">
        <f t="shared" si="18"/>
        <v>178403.76</v>
      </c>
      <c r="H55" s="533"/>
      <c r="I55" s="533">
        <f t="shared" si="19"/>
        <v>205549.7</v>
      </c>
      <c r="J55" s="533"/>
      <c r="K55" s="533">
        <f t="shared" si="0"/>
        <v>27145.940000000002</v>
      </c>
      <c r="M55" s="539">
        <f t="shared" si="1"/>
        <v>0.15216013384471272</v>
      </c>
      <c r="O55" s="533">
        <f t="shared" si="6"/>
        <v>141001.57</v>
      </c>
      <c r="P55" s="533"/>
      <c r="Q55" s="533">
        <f t="shared" si="7"/>
        <v>162627.38</v>
      </c>
      <c r="R55" s="533"/>
      <c r="S55" s="533">
        <f t="shared" si="2"/>
        <v>21625.809999999998</v>
      </c>
      <c r="U55" s="539">
        <f t="shared" si="3"/>
        <v>0.1533728312386875</v>
      </c>
      <c r="Z55" s="539"/>
    </row>
    <row r="56" spans="1:26">
      <c r="A56" s="540">
        <f>A55</f>
        <v>6000</v>
      </c>
      <c r="C56" s="540">
        <f>C55</f>
        <v>3066000</v>
      </c>
      <c r="E56" s="478">
        <f t="shared" si="20"/>
        <v>0.4</v>
      </c>
      <c r="G56" s="533">
        <f t="shared" si="18"/>
        <v>173956.25</v>
      </c>
      <c r="H56" s="533"/>
      <c r="I56" s="533">
        <f t="shared" si="19"/>
        <v>200445.26</v>
      </c>
      <c r="J56" s="533"/>
      <c r="K56" s="533">
        <f t="shared" si="0"/>
        <v>26489.010000000009</v>
      </c>
      <c r="M56" s="539">
        <f t="shared" si="1"/>
        <v>0.15227397693385547</v>
      </c>
      <c r="O56" s="533">
        <f t="shared" si="6"/>
        <v>139519.62</v>
      </c>
      <c r="P56" s="533"/>
      <c r="Q56" s="533">
        <f t="shared" si="7"/>
        <v>160927.67999999999</v>
      </c>
      <c r="R56" s="533"/>
      <c r="S56" s="533">
        <f t="shared" si="2"/>
        <v>21408.059999999998</v>
      </c>
      <c r="U56" s="539">
        <f t="shared" si="3"/>
        <v>0.15344121493450169</v>
      </c>
      <c r="Z56" s="539"/>
    </row>
    <row r="57" spans="1:26">
      <c r="A57" s="540">
        <f>A54</f>
        <v>6000</v>
      </c>
      <c r="C57" s="435">
        <f>A51*0.9*730</f>
        <v>3942000</v>
      </c>
      <c r="E57" s="478">
        <f t="shared" si="20"/>
        <v>0.6</v>
      </c>
      <c r="G57" s="533">
        <f t="shared" si="18"/>
        <v>211925.32</v>
      </c>
      <c r="H57" s="533"/>
      <c r="I57" s="533">
        <f t="shared" si="19"/>
        <v>244034.49</v>
      </c>
      <c r="J57" s="533"/>
      <c r="K57" s="533">
        <f t="shared" si="0"/>
        <v>32109.169999999984</v>
      </c>
      <c r="M57" s="539">
        <f t="shared" si="1"/>
        <v>0.15151172120443168</v>
      </c>
      <c r="O57" s="533">
        <f t="shared" si="6"/>
        <v>166473.76</v>
      </c>
      <c r="P57" s="533"/>
      <c r="Q57" s="533">
        <f t="shared" si="7"/>
        <v>191870.73</v>
      </c>
      <c r="R57" s="533"/>
      <c r="S57" s="533">
        <f t="shared" si="2"/>
        <v>25396.97</v>
      </c>
      <c r="U57" s="539">
        <f t="shared" si="3"/>
        <v>0.15255839719124498</v>
      </c>
      <c r="Z57" s="539"/>
    </row>
    <row r="58" spans="1:26">
      <c r="A58" s="540">
        <f>A55</f>
        <v>6000</v>
      </c>
      <c r="C58" s="540">
        <f>C57</f>
        <v>3942000</v>
      </c>
      <c r="E58" s="478">
        <f t="shared" si="20"/>
        <v>0.5</v>
      </c>
      <c r="G58" s="533">
        <f t="shared" si="18"/>
        <v>206207.1</v>
      </c>
      <c r="H58" s="533"/>
      <c r="I58" s="533">
        <f t="shared" si="19"/>
        <v>237471.64</v>
      </c>
      <c r="J58" s="533"/>
      <c r="K58" s="533">
        <f t="shared" si="0"/>
        <v>31264.540000000008</v>
      </c>
      <c r="M58" s="539">
        <f t="shared" si="1"/>
        <v>0.15161718485929931</v>
      </c>
      <c r="O58" s="533">
        <f t="shared" si="6"/>
        <v>164568.4</v>
      </c>
      <c r="P58" s="533"/>
      <c r="Q58" s="533">
        <f t="shared" si="7"/>
        <v>189685.4</v>
      </c>
      <c r="R58" s="533"/>
      <c r="S58" s="533">
        <f t="shared" si="2"/>
        <v>25117</v>
      </c>
      <c r="U58" s="539">
        <f t="shared" si="3"/>
        <v>0.15262346841799523</v>
      </c>
      <c r="Z58" s="539"/>
    </row>
    <row r="59" spans="1:26">
      <c r="A59" s="540">
        <f>A56</f>
        <v>6000</v>
      </c>
      <c r="C59" s="540">
        <f>C58</f>
        <v>3942000</v>
      </c>
      <c r="E59" s="478">
        <f t="shared" si="20"/>
        <v>0.4</v>
      </c>
      <c r="G59" s="533">
        <f t="shared" si="18"/>
        <v>200488.88</v>
      </c>
      <c r="H59" s="533"/>
      <c r="I59" s="533">
        <f t="shared" si="19"/>
        <v>230908.79</v>
      </c>
      <c r="J59" s="533"/>
      <c r="K59" s="533">
        <f t="shared" si="0"/>
        <v>30419.910000000003</v>
      </c>
      <c r="M59" s="539">
        <f t="shared" si="1"/>
        <v>0.15172866445261213</v>
      </c>
      <c r="O59" s="533">
        <f t="shared" si="6"/>
        <v>162663.04000000001</v>
      </c>
      <c r="P59" s="533"/>
      <c r="Q59" s="533">
        <f t="shared" si="7"/>
        <v>187500.08</v>
      </c>
      <c r="R59" s="533"/>
      <c r="S59" s="533">
        <f t="shared" si="2"/>
        <v>24837.039999999979</v>
      </c>
      <c r="U59" s="539">
        <f t="shared" si="3"/>
        <v>0.15269012555033989</v>
      </c>
      <c r="Z59" s="539"/>
    </row>
    <row r="60" spans="1:26">
      <c r="K60" s="447"/>
      <c r="S60" s="447"/>
    </row>
    <row r="61" spans="1:26" ht="15.75">
      <c r="A61" s="480" t="s">
        <v>456</v>
      </c>
      <c r="K61" s="447"/>
      <c r="S61" s="447"/>
    </row>
    <row r="62" spans="1:26" ht="15.75">
      <c r="A62" s="480" t="s">
        <v>486</v>
      </c>
      <c r="K62" s="447"/>
      <c r="S62" s="447"/>
    </row>
    <row r="63" spans="1:26" ht="15.75">
      <c r="A63" s="480"/>
      <c r="K63" s="447"/>
      <c r="S63" s="447"/>
    </row>
    <row r="64" spans="1:26">
      <c r="K64" s="447"/>
      <c r="S64" s="447"/>
    </row>
    <row r="65" spans="11:19">
      <c r="K65" s="447"/>
      <c r="S65" s="447"/>
    </row>
    <row r="66" spans="11:19">
      <c r="K66" s="447"/>
      <c r="S66" s="447"/>
    </row>
    <row r="67" spans="11:19">
      <c r="K67" s="447"/>
      <c r="S67" s="447"/>
    </row>
    <row r="68" spans="11:19">
      <c r="K68" s="447"/>
      <c r="S68" s="447"/>
    </row>
  </sheetData>
  <phoneticPr fontId="67" type="noConversion"/>
  <printOptions horizontalCentered="1"/>
  <pageMargins left="0.75" right="0.75" top="1" bottom="0.5" header="0.5" footer="0.25"/>
  <pageSetup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view="pageBreakPreview" zoomScale="60" zoomScaleNormal="75" workbookViewId="0">
      <selection activeCell="Y75" sqref="Y75"/>
    </sheetView>
  </sheetViews>
  <sheetFormatPr defaultColWidth="8" defaultRowHeight="12.75"/>
  <cols>
    <col min="1" max="1" width="8.625" style="435" bestFit="1" customWidth="1"/>
    <col min="2" max="2" width="2.125" style="435" customWidth="1"/>
    <col min="3" max="3" width="4.75" style="435" hidden="1" customWidth="1"/>
    <col min="4" max="4" width="8.375" style="435" bestFit="1" customWidth="1"/>
    <col min="5" max="5" width="1.875" style="425" customWidth="1"/>
    <col min="6" max="6" width="7.75" style="453" bestFit="1" customWidth="1"/>
    <col min="7" max="7" width="1" style="425" customWidth="1"/>
    <col min="8" max="8" width="9" style="453" bestFit="1" customWidth="1"/>
    <col min="9" max="9" width="0.875" style="425" customWidth="1"/>
    <col min="10" max="10" width="7.25" style="425" bestFit="1" customWidth="1"/>
    <col min="11" max="11" width="1.125" style="425" customWidth="1"/>
    <col min="12" max="12" width="6.125" style="425" bestFit="1" customWidth="1"/>
    <col min="13" max="13" width="1.5" style="425" customWidth="1"/>
    <col min="14" max="14" width="7.75" style="453" bestFit="1" customWidth="1"/>
    <col min="15" max="15" width="0.625" style="425" customWidth="1"/>
    <col min="16" max="16" width="7.875" style="453" bestFit="1" customWidth="1"/>
    <col min="17" max="17" width="0.75" style="425" customWidth="1"/>
    <col min="18" max="18" width="7.125" style="425" bestFit="1" customWidth="1"/>
    <col min="19" max="19" width="0.625" style="425" customWidth="1"/>
    <col min="20" max="20" width="6.125" style="425" bestFit="1" customWidth="1"/>
    <col min="21" max="21" width="3.375" style="425" customWidth="1"/>
    <col min="22" max="22" width="13.375" style="425" customWidth="1"/>
    <col min="23" max="23" width="8.25" style="425" bestFit="1" customWidth="1"/>
    <col min="24" max="24" width="9.875" style="425" bestFit="1" customWidth="1"/>
    <col min="25" max="16384" width="8" style="425"/>
  </cols>
  <sheetData>
    <row r="1" spans="1:25" ht="16.5">
      <c r="A1" s="418" t="s">
        <v>1</v>
      </c>
      <c r="B1" s="418"/>
      <c r="C1" s="418"/>
      <c r="D1" s="418"/>
      <c r="E1" s="419"/>
      <c r="F1" s="420"/>
      <c r="G1" s="419"/>
      <c r="H1" s="420"/>
      <c r="I1" s="419"/>
      <c r="J1" s="419"/>
      <c r="K1" s="419"/>
      <c r="L1" s="419"/>
      <c r="M1" s="419"/>
      <c r="N1" s="420"/>
      <c r="O1" s="419"/>
      <c r="P1" s="420"/>
      <c r="Q1" s="419"/>
      <c r="R1" s="419"/>
      <c r="S1" s="419"/>
      <c r="T1" s="419"/>
    </row>
    <row r="2" spans="1:25" ht="16.5">
      <c r="A2" s="418" t="s">
        <v>432</v>
      </c>
      <c r="B2" s="418"/>
      <c r="C2" s="418"/>
      <c r="D2" s="418"/>
      <c r="E2" s="419"/>
      <c r="F2" s="420"/>
      <c r="G2" s="419"/>
      <c r="H2" s="420"/>
      <c r="I2" s="419"/>
      <c r="J2" s="419"/>
      <c r="K2" s="419"/>
      <c r="L2" s="419"/>
      <c r="M2" s="419"/>
      <c r="N2" s="420"/>
      <c r="O2" s="419"/>
      <c r="P2" s="420"/>
      <c r="Q2" s="419"/>
      <c r="R2" s="419"/>
      <c r="S2" s="419"/>
      <c r="T2" s="419"/>
    </row>
    <row r="3" spans="1:25" ht="16.5">
      <c r="A3" s="418" t="s">
        <v>489</v>
      </c>
      <c r="B3" s="418"/>
      <c r="C3" s="418"/>
      <c r="D3" s="418"/>
      <c r="E3" s="419"/>
      <c r="F3" s="420"/>
      <c r="G3" s="419"/>
      <c r="H3" s="420"/>
      <c r="I3" s="419"/>
      <c r="J3" s="419"/>
      <c r="K3" s="419"/>
      <c r="L3" s="419"/>
      <c r="M3" s="419"/>
      <c r="N3" s="420"/>
      <c r="O3" s="419"/>
      <c r="P3" s="420"/>
      <c r="Q3" s="419"/>
      <c r="R3" s="419"/>
      <c r="S3" s="419"/>
      <c r="T3" s="419"/>
    </row>
    <row r="4" spans="1:25" ht="16.5">
      <c r="A4" s="418" t="s">
        <v>490</v>
      </c>
      <c r="B4" s="418"/>
      <c r="C4" s="418"/>
      <c r="D4" s="418"/>
      <c r="E4" s="419"/>
      <c r="F4" s="420"/>
      <c r="G4" s="419"/>
      <c r="H4" s="420"/>
      <c r="I4" s="419"/>
      <c r="J4" s="419"/>
      <c r="K4" s="419"/>
      <c r="L4" s="419"/>
      <c r="M4" s="419"/>
      <c r="N4" s="420"/>
      <c r="O4" s="419"/>
      <c r="P4" s="420"/>
      <c r="Q4" s="419"/>
      <c r="R4" s="419"/>
      <c r="S4" s="419"/>
      <c r="T4" s="419"/>
    </row>
    <row r="5" spans="1:25" ht="16.5">
      <c r="A5" s="528"/>
      <c r="B5" s="529"/>
      <c r="C5" s="529"/>
      <c r="D5" s="529"/>
      <c r="E5" s="530"/>
      <c r="F5" s="531"/>
      <c r="G5" s="530"/>
      <c r="H5" s="531"/>
      <c r="I5" s="530"/>
      <c r="J5" s="530"/>
      <c r="K5" s="530"/>
      <c r="L5" s="530"/>
      <c r="M5" s="530"/>
      <c r="N5" s="531"/>
      <c r="O5" s="530"/>
      <c r="P5" s="531"/>
      <c r="Q5" s="530"/>
      <c r="R5" s="530"/>
      <c r="S5" s="530"/>
      <c r="T5" s="530"/>
    </row>
    <row r="6" spans="1:25" ht="17.25">
      <c r="A6" s="429"/>
      <c r="B6" s="422"/>
      <c r="C6" s="422"/>
      <c r="D6" s="422"/>
      <c r="E6" s="422"/>
      <c r="F6" s="432"/>
      <c r="G6" s="431"/>
      <c r="H6" s="432"/>
      <c r="I6" s="431"/>
      <c r="J6" s="431"/>
      <c r="K6" s="431"/>
      <c r="L6" s="431"/>
      <c r="M6" s="422"/>
      <c r="N6" s="432"/>
      <c r="O6" s="431"/>
      <c r="P6" s="432"/>
      <c r="Q6" s="431"/>
      <c r="R6" s="431"/>
      <c r="S6" s="431"/>
      <c r="T6" s="431"/>
    </row>
    <row r="7" spans="1:25">
      <c r="F7" s="505"/>
      <c r="G7" s="423"/>
      <c r="H7" s="505"/>
      <c r="I7" s="423"/>
      <c r="J7" s="532"/>
      <c r="K7" s="423"/>
      <c r="L7" s="532"/>
      <c r="M7" s="423"/>
      <c r="N7" s="505"/>
      <c r="O7" s="423"/>
      <c r="P7" s="505"/>
      <c r="Q7" s="423"/>
      <c r="R7" s="532"/>
      <c r="S7" s="423"/>
      <c r="T7" s="532"/>
    </row>
    <row r="8" spans="1:25">
      <c r="F8" s="436" t="s">
        <v>491</v>
      </c>
      <c r="G8" s="545"/>
      <c r="H8" s="438"/>
      <c r="I8" s="437"/>
      <c r="J8" s="446"/>
      <c r="K8" s="437"/>
      <c r="L8" s="437"/>
      <c r="N8" s="436" t="s">
        <v>492</v>
      </c>
      <c r="O8" s="545"/>
      <c r="P8" s="438"/>
      <c r="Q8" s="437"/>
      <c r="R8" s="446"/>
      <c r="S8" s="437"/>
      <c r="T8" s="437"/>
      <c r="V8" s="510" t="s">
        <v>493</v>
      </c>
      <c r="W8" s="511" t="s">
        <v>81</v>
      </c>
      <c r="X8" s="512" t="s">
        <v>8</v>
      </c>
    </row>
    <row r="9" spans="1:25" ht="16.5">
      <c r="A9" s="506" t="s">
        <v>462</v>
      </c>
      <c r="F9" s="438" t="s">
        <v>463</v>
      </c>
      <c r="G9" s="437"/>
      <c r="H9" s="438"/>
      <c r="J9" s="438" t="s">
        <v>19</v>
      </c>
      <c r="K9" s="437"/>
      <c r="L9" s="438"/>
      <c r="N9" s="438" t="s">
        <v>463</v>
      </c>
      <c r="O9" s="437"/>
      <c r="P9" s="438"/>
      <c r="R9" s="438" t="s">
        <v>19</v>
      </c>
      <c r="S9" s="437"/>
      <c r="T9" s="438"/>
      <c r="V9" s="536" t="s">
        <v>494</v>
      </c>
      <c r="W9" s="537"/>
      <c r="X9" s="538"/>
      <c r="Y9" s="505"/>
    </row>
    <row r="10" spans="1:25">
      <c r="A10" s="546" t="s">
        <v>464</v>
      </c>
      <c r="B10" s="507"/>
      <c r="C10" s="507"/>
      <c r="D10" s="508" t="s">
        <v>85</v>
      </c>
      <c r="F10" s="442" t="s">
        <v>81</v>
      </c>
      <c r="H10" s="499" t="s">
        <v>8</v>
      </c>
      <c r="J10" s="451" t="s">
        <v>86</v>
      </c>
      <c r="L10" s="500" t="s">
        <v>48</v>
      </c>
      <c r="N10" s="442" t="s">
        <v>81</v>
      </c>
      <c r="P10" s="499" t="s">
        <v>8</v>
      </c>
      <c r="R10" s="451" t="s">
        <v>86</v>
      </c>
      <c r="T10" s="500" t="s">
        <v>48</v>
      </c>
      <c r="V10" s="462" t="s">
        <v>123</v>
      </c>
      <c r="W10" s="463">
        <f>'Exhibit RMP-(WRG-5)'!G401</f>
        <v>12</v>
      </c>
      <c r="X10" s="464">
        <f>'Exhibit RMP-(WRG-5)'!M401</f>
        <v>15</v>
      </c>
      <c r="Y10" s="463"/>
    </row>
    <row r="11" spans="1:25" ht="18.75" customHeight="1">
      <c r="A11" s="547">
        <v>10</v>
      </c>
      <c r="B11" s="547"/>
      <c r="C11" s="548">
        <v>300</v>
      </c>
      <c r="D11" s="548">
        <f>ROUND((A11*C11),0)</f>
        <v>3000</v>
      </c>
      <c r="F11" s="533">
        <f>ROUND($W$10+($W$11*$A11+$W$13/100*MIN($D11,30000)+$W$14/100*MAX($D11-30000,0))*(1+$W$30)*(1+$W$16)+$W$15,2)</f>
        <v>256.47000000000003</v>
      </c>
      <c r="G11" s="533"/>
      <c r="H11" s="533">
        <f>ROUND($X$10+($X$11*$A11+$X$13/100*MIN($D11,30000)+$X$14/100*MAX($D11-30000,0))*(1+$X$30)*(1+$X$16)+$X$15,2)</f>
        <v>303.92</v>
      </c>
      <c r="I11" s="533"/>
      <c r="J11" s="533">
        <f>IF(H11="","",H11-F11)</f>
        <v>47.449999999999989</v>
      </c>
      <c r="L11" s="455">
        <f>IF(J11="","",H11/F11-1)</f>
        <v>0.18501189222911063</v>
      </c>
      <c r="N11" s="533">
        <f>ROUND($W$18+($W$19*$A11+$W$21/100*MIN($D11,30000)+$W$22/100*MAX($D11-30000,0))*(1+$W$30)*(1+$W$24)+$W$23,2)</f>
        <v>138.01</v>
      </c>
      <c r="O11" s="533"/>
      <c r="P11" s="533">
        <f>ROUND($X$18+($X$19*$A11+$X$21/100*MIN($D11,30000)+$X$22/100*MAX($D11-30000,0))*(1+$X$30)*(1+$X$24)+$X$23,2)</f>
        <v>163.81</v>
      </c>
      <c r="Q11" s="533"/>
      <c r="R11" s="533">
        <f t="shared" ref="R11:R33" si="0">IF(P11="","",P11-N11)</f>
        <v>25.800000000000011</v>
      </c>
      <c r="T11" s="455">
        <f t="shared" ref="T11:T33" si="1">IF(R11="","",P11/N11-1)</f>
        <v>0.18694297514672864</v>
      </c>
      <c r="V11" s="462" t="s">
        <v>467</v>
      </c>
      <c r="W11" s="463">
        <f>'Exhibit RMP-(WRG-5)'!G402</f>
        <v>5.75</v>
      </c>
      <c r="X11" s="464">
        <f>'Exhibit RMP-(WRG-5)'!M402</f>
        <v>7.13</v>
      </c>
      <c r="Y11" s="463"/>
    </row>
    <row r="12" spans="1:25">
      <c r="A12" s="549">
        <f>A11</f>
        <v>10</v>
      </c>
      <c r="B12" s="547"/>
      <c r="C12" s="548">
        <v>500</v>
      </c>
      <c r="D12" s="548">
        <f>ROUND((A12*C12),0)</f>
        <v>5000</v>
      </c>
      <c r="F12" s="533">
        <f t="shared" ref="F12:F33" si="2">ROUND($W$10+($W$11*$A12+$W$13/100*MIN($D12,30000)+$W$14/100*MAX($D12-30000,0))*(1+$W$30)*(1+$W$16)+$W$15,2)</f>
        <v>378</v>
      </c>
      <c r="G12" s="533"/>
      <c r="H12" s="533">
        <f t="shared" ref="H12:H33" si="3">ROUND($X$10+($X$11*$A12+$X$13/100*MIN($D12,30000)+$X$14/100*MAX($D12-30000,0))*(1+$X$30)*(1+$X$16)+$X$15,2)</f>
        <v>447.63</v>
      </c>
      <c r="I12" s="533"/>
      <c r="J12" s="533">
        <f>IF(H12="","",H12-F12)</f>
        <v>69.63</v>
      </c>
      <c r="L12" s="455">
        <f>IF(J12="","",H12/F12-1)</f>
        <v>0.18420634920634926</v>
      </c>
      <c r="N12" s="533">
        <f>ROUND($W$18+($W$19*$A12+$W$21/100*MIN($D12,30000)+$W$22/100*MAX($D12-30000,0))*(1+$W$30)*(1+$W$24)+$W$23,2)</f>
        <v>221.26</v>
      </c>
      <c r="O12" s="533"/>
      <c r="P12" s="533">
        <f>ROUND($X$18+($X$19*$A12+$X$21/100*MIN($D12,30000)+$X$22/100*MAX($D12-30000,0))*(1+$X$30)*(1+$X$24)+$X$23,2)</f>
        <v>262.24</v>
      </c>
      <c r="Q12" s="533"/>
      <c r="R12" s="533">
        <f t="shared" si="0"/>
        <v>40.980000000000018</v>
      </c>
      <c r="T12" s="455">
        <f t="shared" si="1"/>
        <v>0.18521196782066363</v>
      </c>
      <c r="V12" s="462" t="s">
        <v>468</v>
      </c>
      <c r="W12" s="463">
        <f>'Exhibit RMP-(WRG-5)'!G403</f>
        <v>-1.61</v>
      </c>
      <c r="X12" s="464">
        <f>'Exhibit RMP-(WRG-5)'!M403</f>
        <v>-2</v>
      </c>
      <c r="Y12" s="463"/>
    </row>
    <row r="13" spans="1:25">
      <c r="A13" s="549">
        <f>A11</f>
        <v>10</v>
      </c>
      <c r="B13" s="547"/>
      <c r="C13" s="548">
        <v>700</v>
      </c>
      <c r="D13" s="548">
        <f>ROUND((A13*C13),0)</f>
        <v>7000</v>
      </c>
      <c r="F13" s="533">
        <f t="shared" si="2"/>
        <v>499.52</v>
      </c>
      <c r="G13" s="533"/>
      <c r="H13" s="533">
        <f t="shared" si="3"/>
        <v>591.34</v>
      </c>
      <c r="I13" s="533"/>
      <c r="J13" s="533">
        <f>IF(H13="","",H13-F13)</f>
        <v>91.82000000000005</v>
      </c>
      <c r="L13" s="455">
        <f>IF(J13="","",H13/F13-1)</f>
        <v>0.18381646380525307</v>
      </c>
      <c r="N13" s="533">
        <f>ROUND($W$18+($W$19*$A13+$W$21/100*MIN($D13,30000)+$W$22/100*MAX($D13-30000,0))*(1+$W$30)*(1+$W$24)+$W$23,2)</f>
        <v>304.5</v>
      </c>
      <c r="O13" s="533"/>
      <c r="P13" s="533">
        <f>ROUND($X$18+($X$19*$A13+$X$21/100*MIN($D13,30000)+$X$22/100*MAX($D13-30000,0))*(1+$X$30)*(1+$X$24)+$X$23,2)</f>
        <v>360.68</v>
      </c>
      <c r="Q13" s="533"/>
      <c r="R13" s="533">
        <f t="shared" si="0"/>
        <v>56.180000000000007</v>
      </c>
      <c r="T13" s="455">
        <f t="shared" si="1"/>
        <v>0.18449917898193768</v>
      </c>
      <c r="V13" s="462" t="s">
        <v>495</v>
      </c>
      <c r="W13" s="517">
        <f>'Exhibit RMP-(WRG-5)'!G404</f>
        <v>5.7252000000000001</v>
      </c>
      <c r="X13" s="518">
        <f>'Exhibit RMP-(WRG-5)'!M404</f>
        <v>7.0952999999999999</v>
      </c>
      <c r="Y13" s="519"/>
    </row>
    <row r="14" spans="1:25">
      <c r="F14" s="533"/>
      <c r="G14" s="533"/>
      <c r="H14" s="533"/>
      <c r="I14" s="533"/>
      <c r="J14" s="533"/>
      <c r="L14" s="455"/>
      <c r="N14" s="533"/>
      <c r="O14" s="533"/>
      <c r="P14" s="533"/>
      <c r="Q14" s="533"/>
      <c r="R14" s="533" t="str">
        <f t="shared" si="0"/>
        <v/>
      </c>
      <c r="T14" s="455" t="str">
        <f t="shared" si="1"/>
        <v/>
      </c>
      <c r="V14" s="462" t="s">
        <v>496</v>
      </c>
      <c r="W14" s="517">
        <f>'Exhibit RMP-(WRG-5)'!G405</f>
        <v>4.2317999999999998</v>
      </c>
      <c r="X14" s="518">
        <f>'Exhibit RMP-(WRG-5)'!M405</f>
        <v>5.2445000000000004</v>
      </c>
      <c r="Y14" s="519"/>
    </row>
    <row r="15" spans="1:25">
      <c r="A15" s="547">
        <v>20</v>
      </c>
      <c r="B15" s="547"/>
      <c r="C15" s="548">
        <v>300</v>
      </c>
      <c r="D15" s="548">
        <f>ROUND((A15*C15),0)</f>
        <v>6000</v>
      </c>
      <c r="F15" s="533">
        <f t="shared" si="2"/>
        <v>499.79</v>
      </c>
      <c r="G15" s="533"/>
      <c r="H15" s="533">
        <f t="shared" si="3"/>
        <v>591.69000000000005</v>
      </c>
      <c r="I15" s="533"/>
      <c r="J15" s="533">
        <f>IF(H15="","",H15-F15)</f>
        <v>91.900000000000034</v>
      </c>
      <c r="L15" s="455">
        <f>IF(J15="","",H15/F15-1)</f>
        <v>0.18387722843594312</v>
      </c>
      <c r="N15" s="533">
        <f>ROUND($W$18+($W$19*$A15+$W$21/100*MIN($D15,30000)+$W$22/100*MAX($D15-30000,0))*(1+$W$30)*(1+$W$24)+$W$23,2)</f>
        <v>262.88</v>
      </c>
      <c r="O15" s="533"/>
      <c r="P15" s="533">
        <f>ROUND($X$18+($X$19*$A15+$X$21/100*MIN($D15,30000)+$X$22/100*MAX($D15-30000,0))*(1+$X$30)*(1+$X$24)+$X$23,2)</f>
        <v>311.45999999999998</v>
      </c>
      <c r="Q15" s="533"/>
      <c r="R15" s="533">
        <f t="shared" si="0"/>
        <v>48.579999999999984</v>
      </c>
      <c r="T15" s="455">
        <f t="shared" si="1"/>
        <v>0.18479914790018248</v>
      </c>
      <c r="V15" s="462" t="s">
        <v>471</v>
      </c>
      <c r="W15" s="463">
        <v>1.1499999999999999</v>
      </c>
      <c r="X15" s="521">
        <f>W15</f>
        <v>1.1499999999999999</v>
      </c>
      <c r="Y15" s="463"/>
    </row>
    <row r="16" spans="1:25">
      <c r="A16" s="549">
        <f>A15</f>
        <v>20</v>
      </c>
      <c r="B16" s="547"/>
      <c r="C16" s="548">
        <v>500</v>
      </c>
      <c r="D16" s="548">
        <f>ROUND((A16*C16),0)</f>
        <v>10000</v>
      </c>
      <c r="F16" s="533">
        <f t="shared" si="2"/>
        <v>742.84</v>
      </c>
      <c r="G16" s="533"/>
      <c r="H16" s="533">
        <f t="shared" si="3"/>
        <v>879.11</v>
      </c>
      <c r="I16" s="533"/>
      <c r="J16" s="533">
        <f>IF(H16="","",H16-F16)</f>
        <v>136.26999999999998</v>
      </c>
      <c r="L16" s="455">
        <f>IF(J16="","",H16/F16-1)</f>
        <v>0.18344461795272204</v>
      </c>
      <c r="N16" s="533">
        <f>ROUND($W$18+($W$19*$A16+$W$21/100*MIN($D16,30000)+$W$22/100*MAX($D16-30000,0))*(1+$W$30)*(1+$W$24)+$W$23,2)</f>
        <v>429.37</v>
      </c>
      <c r="O16" s="533"/>
      <c r="P16" s="533">
        <f>ROUND($X$18+($X$19*$A16+$X$21/100*MIN($D16,30000)+$X$22/100*MAX($D16-30000,0))*(1+$X$30)*(1+$X$24)+$X$23,2)</f>
        <v>508.34</v>
      </c>
      <c r="Q16" s="533"/>
      <c r="R16" s="533">
        <f t="shared" si="0"/>
        <v>78.96999999999997</v>
      </c>
      <c r="T16" s="455">
        <f t="shared" si="1"/>
        <v>0.18392062789668584</v>
      </c>
      <c r="V16" s="462" t="s">
        <v>472</v>
      </c>
      <c r="W16" s="522">
        <v>2.1600000000000001E-2</v>
      </c>
      <c r="X16" s="535">
        <f>W16</f>
        <v>2.1600000000000001E-2</v>
      </c>
      <c r="Y16" s="522"/>
    </row>
    <row r="17" spans="1:25" ht="13.5">
      <c r="A17" s="549">
        <f>A15</f>
        <v>20</v>
      </c>
      <c r="B17" s="547"/>
      <c r="C17" s="548">
        <v>700</v>
      </c>
      <c r="D17" s="548">
        <f>ROUND((A17*C17),0)</f>
        <v>14000</v>
      </c>
      <c r="F17" s="533">
        <f t="shared" si="2"/>
        <v>985.9</v>
      </c>
      <c r="G17" s="533"/>
      <c r="H17" s="533">
        <f t="shared" si="3"/>
        <v>1166.53</v>
      </c>
      <c r="I17" s="533"/>
      <c r="J17" s="533">
        <f>IF(H17="","",H17-F17)</f>
        <v>180.63</v>
      </c>
      <c r="L17" s="455">
        <f>IF(J17="","",H17/F17-1)</f>
        <v>0.18321330763769139</v>
      </c>
      <c r="N17" s="533">
        <f>ROUND($W$18+($W$19*$A17+$W$21/100*MIN($D17,30000)+$W$22/100*MAX($D17-30000,0))*(1+$W$30)*(1+$W$24)+$W$23,2)</f>
        <v>595.85</v>
      </c>
      <c r="O17" s="533"/>
      <c r="P17" s="533">
        <f>ROUND($X$18+($X$19*$A17+$X$21/100*MIN($D17,30000)+$X$22/100*MAX($D17-30000,0))*(1+$X$30)*(1+$X$24)+$X$23,2)</f>
        <v>705.21</v>
      </c>
      <c r="Q17" s="533"/>
      <c r="R17" s="533">
        <f t="shared" si="0"/>
        <v>109.36000000000001</v>
      </c>
      <c r="T17" s="455">
        <f t="shared" si="1"/>
        <v>0.18353612486364024</v>
      </c>
      <c r="V17" s="514" t="s">
        <v>497</v>
      </c>
      <c r="W17" s="423"/>
      <c r="X17" s="461"/>
      <c r="Y17" s="423"/>
    </row>
    <row r="18" spans="1:25">
      <c r="F18" s="533"/>
      <c r="G18" s="533"/>
      <c r="H18" s="533"/>
      <c r="I18" s="533"/>
      <c r="J18" s="533"/>
      <c r="L18" s="455"/>
      <c r="N18" s="533"/>
      <c r="O18" s="533"/>
      <c r="P18" s="533"/>
      <c r="Q18" s="533"/>
      <c r="R18" s="533" t="str">
        <f t="shared" si="0"/>
        <v/>
      </c>
      <c r="T18" s="455" t="str">
        <f t="shared" si="1"/>
        <v/>
      </c>
      <c r="V18" s="462" t="s">
        <v>123</v>
      </c>
      <c r="W18" s="469">
        <f>W10</f>
        <v>12</v>
      </c>
      <c r="X18" s="470">
        <f>X10</f>
        <v>15</v>
      </c>
      <c r="Y18" s="469"/>
    </row>
    <row r="19" spans="1:25">
      <c r="A19" s="547">
        <v>50</v>
      </c>
      <c r="B19" s="547"/>
      <c r="C19" s="548">
        <v>300</v>
      </c>
      <c r="D19" s="548">
        <f>ROUND((A19*C19),0)</f>
        <v>15000</v>
      </c>
      <c r="F19" s="533">
        <f t="shared" si="2"/>
        <v>1229.74</v>
      </c>
      <c r="G19" s="533"/>
      <c r="H19" s="533">
        <f t="shared" si="3"/>
        <v>1455.01</v>
      </c>
      <c r="I19" s="533"/>
      <c r="J19" s="533">
        <f>IF(H19="","",H19-F19)</f>
        <v>225.26999999999998</v>
      </c>
      <c r="L19" s="455">
        <f>IF(J19="","",H19/F19-1)</f>
        <v>0.1831850635093597</v>
      </c>
      <c r="N19" s="533">
        <f>ROUND($W$18+($W$19*$A19+$W$21/100*MIN($D19,30000)+$W$22/100*MAX($D19-30000,0))*(1+$W$30)*(1+$W$24)+$W$23,2)</f>
        <v>637.47</v>
      </c>
      <c r="O19" s="533"/>
      <c r="P19" s="533">
        <f>ROUND($X$18+($X$19*$A19+$X$21/100*MIN($D19,30000)+$X$22/100*MAX($D19-30000,0))*(1+$X$30)*(1+$X$24)+$X$23,2)</f>
        <v>754.43</v>
      </c>
      <c r="Q19" s="533"/>
      <c r="R19" s="533">
        <f t="shared" si="0"/>
        <v>116.95999999999992</v>
      </c>
      <c r="T19" s="455">
        <f t="shared" si="1"/>
        <v>0.18347530079846885</v>
      </c>
      <c r="V19" s="462" t="s">
        <v>467</v>
      </c>
      <c r="W19" s="463">
        <v>0</v>
      </c>
      <c r="X19" s="464">
        <v>0</v>
      </c>
      <c r="Y19" s="463"/>
    </row>
    <row r="20" spans="1:25">
      <c r="A20" s="549">
        <f>A19</f>
        <v>50</v>
      </c>
      <c r="B20" s="547"/>
      <c r="C20" s="548">
        <v>500</v>
      </c>
      <c r="D20" s="548">
        <f>ROUND((A20*C20),0)</f>
        <v>25000</v>
      </c>
      <c r="F20" s="533">
        <f t="shared" si="2"/>
        <v>1837.38</v>
      </c>
      <c r="G20" s="533"/>
      <c r="H20" s="533">
        <f t="shared" si="3"/>
        <v>2173.56</v>
      </c>
      <c r="I20" s="533"/>
      <c r="J20" s="533">
        <f>IF(H20="","",H20-F20)</f>
        <v>336.17999999999984</v>
      </c>
      <c r="L20" s="455">
        <f>IF(J20="","",H20/F20-1)</f>
        <v>0.18296705090944698</v>
      </c>
      <c r="N20" s="533">
        <f>ROUND($W$18+($W$19*$A20+$W$21/100*MIN($D20,30000)+$W$22/100*MAX($D20-30000,0))*(1+$W$30)*(1+$W$24)+$W$23,2)</f>
        <v>1053.69</v>
      </c>
      <c r="O20" s="533"/>
      <c r="P20" s="533">
        <f>ROUND($X$18+($X$19*$A20+$X$21/100*MIN($D20,30000)+$X$22/100*MAX($D20-30000,0))*(1+$X$30)*(1+$X$24)+$X$23,2)</f>
        <v>1246.6199999999999</v>
      </c>
      <c r="Q20" s="533"/>
      <c r="R20" s="533">
        <f t="shared" si="0"/>
        <v>192.92999999999984</v>
      </c>
      <c r="T20" s="455">
        <f t="shared" si="1"/>
        <v>0.18309939355977556</v>
      </c>
      <c r="V20" s="462" t="s">
        <v>468</v>
      </c>
      <c r="W20" s="463">
        <v>0</v>
      </c>
      <c r="X20" s="464">
        <v>0</v>
      </c>
      <c r="Y20" s="463"/>
    </row>
    <row r="21" spans="1:25">
      <c r="A21" s="549">
        <f>A19</f>
        <v>50</v>
      </c>
      <c r="B21" s="547"/>
      <c r="C21" s="548">
        <v>700</v>
      </c>
      <c r="D21" s="548">
        <f>ROUND((A21*C21),0)</f>
        <v>35000</v>
      </c>
      <c r="F21" s="533">
        <f t="shared" si="2"/>
        <v>2365.77</v>
      </c>
      <c r="G21" s="533"/>
      <c r="H21" s="533">
        <f t="shared" si="3"/>
        <v>2798.39</v>
      </c>
      <c r="I21" s="533"/>
      <c r="J21" s="533">
        <f>IF(H21="","",H21-F21)</f>
        <v>432.61999999999989</v>
      </c>
      <c r="L21" s="455">
        <f>IF(J21="","",H21/F21-1)</f>
        <v>0.18286646630906644</v>
      </c>
      <c r="N21" s="533">
        <f>ROUND($W$18+($W$19*$A21+$W$21/100*MIN($D21,30000)+$W$22/100*MAX($D21-30000,0))*(1+$W$30)*(1+$W$24)+$W$23,2)</f>
        <v>1469.9</v>
      </c>
      <c r="O21" s="533"/>
      <c r="P21" s="533">
        <f>ROUND($X$18+($X$19*$A21+$X$21/100*MIN($D21,30000)+$X$22/100*MAX($D21-30000,0))*(1+$X$30)*(1+$X$24)+$X$23,2)</f>
        <v>1738.81</v>
      </c>
      <c r="Q21" s="533"/>
      <c r="R21" s="533">
        <f t="shared" si="0"/>
        <v>268.90999999999985</v>
      </c>
      <c r="T21" s="455">
        <f t="shared" si="1"/>
        <v>0.18294441798761807</v>
      </c>
      <c r="V21" s="462" t="s">
        <v>495</v>
      </c>
      <c r="W21" s="517">
        <f>'Exhibit RMP-(WRG-5)'!G409</f>
        <v>3.9216000000000002</v>
      </c>
      <c r="X21" s="518">
        <f>'Exhibit RMP-(WRG-5)'!M409</f>
        <v>4.8601000000000001</v>
      </c>
      <c r="Y21" s="519"/>
    </row>
    <row r="22" spans="1:25">
      <c r="F22" s="533"/>
      <c r="G22" s="533"/>
      <c r="H22" s="533"/>
      <c r="I22" s="533"/>
      <c r="J22" s="533"/>
      <c r="L22" s="455"/>
      <c r="N22" s="533"/>
      <c r="O22" s="533"/>
      <c r="P22" s="533"/>
      <c r="Q22" s="533"/>
      <c r="R22" s="533" t="str">
        <f t="shared" si="0"/>
        <v/>
      </c>
      <c r="T22" s="455" t="str">
        <f t="shared" si="1"/>
        <v/>
      </c>
      <c r="V22" s="462" t="s">
        <v>496</v>
      </c>
      <c r="W22" s="550">
        <f>W21</f>
        <v>3.9216000000000002</v>
      </c>
      <c r="X22" s="543">
        <f>X21</f>
        <v>4.8601000000000001</v>
      </c>
      <c r="Y22" s="551"/>
    </row>
    <row r="23" spans="1:25">
      <c r="A23" s="547">
        <v>100</v>
      </c>
      <c r="B23" s="547"/>
      <c r="C23" s="548">
        <v>300</v>
      </c>
      <c r="D23" s="548">
        <f>ROUND((A23*C23),0)</f>
        <v>30000</v>
      </c>
      <c r="F23" s="533">
        <f t="shared" si="2"/>
        <v>2446.34</v>
      </c>
      <c r="G23" s="533"/>
      <c r="H23" s="533">
        <f t="shared" si="3"/>
        <v>2893.86</v>
      </c>
      <c r="I23" s="533"/>
      <c r="J23" s="533">
        <f>IF(H23="","",H23-F23)</f>
        <v>447.52</v>
      </c>
      <c r="L23" s="455">
        <f>IF(J23="","",H23/F23-1)</f>
        <v>0.18293450624197782</v>
      </c>
      <c r="N23" s="533">
        <f>ROUND($W$18+($W$19*$A23+$W$21/100*MIN($D23,30000)+$W$22/100*MAX($D23-30000,0))*(1+$W$30)*(1+$W$24)+$W$23,2)</f>
        <v>1261.8</v>
      </c>
      <c r="O23" s="533"/>
      <c r="P23" s="533">
        <f>ROUND($X$18+($X$19*$A23+$X$21/100*MIN($D23,30000)+$X$22/100*MAX($D23-30000,0))*(1+$X$30)*(1+$X$24)+$X$23,2)</f>
        <v>1492.71</v>
      </c>
      <c r="Q23" s="533"/>
      <c r="R23" s="533">
        <f t="shared" si="0"/>
        <v>230.91000000000008</v>
      </c>
      <c r="T23" s="455">
        <f t="shared" si="1"/>
        <v>0.18300047551117449</v>
      </c>
      <c r="V23" s="462" t="s">
        <v>471</v>
      </c>
      <c r="W23" s="469">
        <f>W15</f>
        <v>1.1499999999999999</v>
      </c>
      <c r="X23" s="470">
        <f>X15</f>
        <v>1.1499999999999999</v>
      </c>
      <c r="Y23" s="469"/>
    </row>
    <row r="24" spans="1:25">
      <c r="A24" s="549">
        <f>A23</f>
        <v>100</v>
      </c>
      <c r="B24" s="547"/>
      <c r="C24" s="548">
        <v>500</v>
      </c>
      <c r="D24" s="548">
        <f>ROUND((A24*C24),0)</f>
        <v>50000</v>
      </c>
      <c r="F24" s="533">
        <f t="shared" si="2"/>
        <v>3344.61</v>
      </c>
      <c r="G24" s="533"/>
      <c r="H24" s="533">
        <f t="shared" si="3"/>
        <v>3956.1</v>
      </c>
      <c r="I24" s="533"/>
      <c r="J24" s="533">
        <f>IF(H24="","",H24-F24)</f>
        <v>611.48999999999978</v>
      </c>
      <c r="L24" s="455">
        <f>IF(J24="","",H24/F24-1)</f>
        <v>0.18282849121422218</v>
      </c>
      <c r="N24" s="533">
        <f>ROUND($W$18+($W$19*$A24+$W$21/100*MIN($D24,30000)+$W$22/100*MAX($D24-30000,0))*(1+$W$30)*(1+$W$24)+$W$23,2)</f>
        <v>2094.23</v>
      </c>
      <c r="O24" s="533"/>
      <c r="P24" s="533">
        <f>ROUND($X$18+($X$19*$A24+$X$21/100*MIN($D24,30000)+$X$22/100*MAX($D24-30000,0))*(1+$X$30)*(1+$X$24)+$X$23,2)</f>
        <v>2477.09</v>
      </c>
      <c r="Q24" s="533"/>
      <c r="R24" s="533">
        <f t="shared" si="0"/>
        <v>382.86000000000013</v>
      </c>
      <c r="T24" s="455">
        <f t="shared" si="1"/>
        <v>0.18281659607588474</v>
      </c>
      <c r="V24" s="473" t="s">
        <v>472</v>
      </c>
      <c r="W24" s="525">
        <f>W16</f>
        <v>2.1600000000000001E-2</v>
      </c>
      <c r="X24" s="526">
        <f>X16</f>
        <v>2.1600000000000001E-2</v>
      </c>
      <c r="Y24" s="476"/>
    </row>
    <row r="25" spans="1:25">
      <c r="A25" s="549">
        <f>A23</f>
        <v>100</v>
      </c>
      <c r="B25" s="547"/>
      <c r="C25" s="548">
        <v>700</v>
      </c>
      <c r="D25" s="548">
        <f>ROUND((A25*C25),0)</f>
        <v>70000</v>
      </c>
      <c r="F25" s="533">
        <f t="shared" si="2"/>
        <v>4242.8900000000003</v>
      </c>
      <c r="G25" s="533"/>
      <c r="H25" s="533">
        <f t="shared" si="3"/>
        <v>5018.33</v>
      </c>
      <c r="I25" s="533"/>
      <c r="J25" s="533">
        <f>IF(H25="","",H25-F25)</f>
        <v>775.4399999999996</v>
      </c>
      <c r="L25" s="455">
        <f>IF(J25="","",H25/F25-1)</f>
        <v>0.18276222103330508</v>
      </c>
      <c r="N25" s="533">
        <f>ROUND($W$18+($W$19*$A25+$W$21/100*MIN($D25,30000)+$W$22/100*MAX($D25-30000,0))*(1+$W$30)*(1+$W$24)+$W$23,2)</f>
        <v>2926.66</v>
      </c>
      <c r="O25" s="533"/>
      <c r="P25" s="533">
        <f>ROUND($X$18+($X$19*$A25+$X$21/100*MIN($D25,30000)+$X$22/100*MAX($D25-30000,0))*(1+$X$30)*(1+$X$24)+$X$23,2)</f>
        <v>3461.47</v>
      </c>
      <c r="Q25" s="533"/>
      <c r="R25" s="533">
        <f t="shared" si="0"/>
        <v>534.80999999999995</v>
      </c>
      <c r="T25" s="455">
        <f t="shared" si="1"/>
        <v>0.18273731830824214</v>
      </c>
      <c r="Y25" s="539"/>
    </row>
    <row r="26" spans="1:25">
      <c r="F26" s="533"/>
      <c r="G26" s="533"/>
      <c r="H26" s="533"/>
      <c r="I26" s="533"/>
      <c r="J26" s="533"/>
      <c r="L26" s="455"/>
      <c r="N26" s="533"/>
      <c r="O26" s="533"/>
      <c r="P26" s="533"/>
      <c r="Q26" s="533"/>
      <c r="R26" s="533" t="str">
        <f t="shared" si="0"/>
        <v/>
      </c>
      <c r="T26" s="455" t="str">
        <f t="shared" si="1"/>
        <v/>
      </c>
      <c r="V26" s="425" t="s">
        <v>452</v>
      </c>
      <c r="X26" s="477">
        <f>'Exhibit RMP-(WRG-1)'!S28</f>
        <v>0.18669448325338425</v>
      </c>
      <c r="Y26" s="539"/>
    </row>
    <row r="27" spans="1:25">
      <c r="A27" s="547">
        <v>200</v>
      </c>
      <c r="B27" s="547"/>
      <c r="C27" s="548">
        <v>300</v>
      </c>
      <c r="D27" s="548">
        <f>ROUND((A27*C27),0)</f>
        <v>60000</v>
      </c>
      <c r="F27" s="533">
        <f t="shared" si="2"/>
        <v>4404.0200000000004</v>
      </c>
      <c r="G27" s="533"/>
      <c r="H27" s="533">
        <f t="shared" si="3"/>
        <v>5209.28</v>
      </c>
      <c r="I27" s="533"/>
      <c r="J27" s="533">
        <f>IF(H27="","",H27-F27)</f>
        <v>805.25999999999931</v>
      </c>
      <c r="L27" s="455">
        <f>IF(J27="","",H27/F27-1)</f>
        <v>0.18284658107819651</v>
      </c>
      <c r="N27" s="533">
        <f>ROUND($W$18+($W$19*$A27+$W$21/100*MIN($D27,30000)+$W$22/100*MAX($D27-30000,0))*(1+$W$30)*(1+$W$24)+$W$23,2)</f>
        <v>2510.44</v>
      </c>
      <c r="O27" s="533"/>
      <c r="P27" s="533">
        <f>ROUND($X$18+($X$19*$A27+$X$21/100*MIN($D27,30000)+$X$22/100*MAX($D27-30000,0))*(1+$X$30)*(1+$X$24)+$X$23,2)</f>
        <v>2969.28</v>
      </c>
      <c r="Q27" s="533"/>
      <c r="R27" s="533">
        <f t="shared" si="0"/>
        <v>458.84000000000015</v>
      </c>
      <c r="T27" s="455">
        <f t="shared" si="1"/>
        <v>0.18277274103344432</v>
      </c>
      <c r="V27" s="425" t="s">
        <v>374</v>
      </c>
      <c r="W27" s="476">
        <v>4.7600000000000003E-2</v>
      </c>
      <c r="X27" s="425">
        <v>0</v>
      </c>
      <c r="Y27" s="539"/>
    </row>
    <row r="28" spans="1:25">
      <c r="A28" s="549">
        <f>A27</f>
        <v>200</v>
      </c>
      <c r="B28" s="547"/>
      <c r="C28" s="548">
        <v>500</v>
      </c>
      <c r="D28" s="548">
        <f>ROUND((A28*C28),0)</f>
        <v>100000</v>
      </c>
      <c r="F28" s="533">
        <f t="shared" si="2"/>
        <v>6200.57</v>
      </c>
      <c r="G28" s="533"/>
      <c r="H28" s="533">
        <f t="shared" si="3"/>
        <v>7333.74</v>
      </c>
      <c r="I28" s="533"/>
      <c r="J28" s="533">
        <f>IF(H28="","",H28-F28)</f>
        <v>1133.17</v>
      </c>
      <c r="L28" s="455">
        <f>IF(J28="","",H28/F28-1)</f>
        <v>0.18275255339428464</v>
      </c>
      <c r="N28" s="533">
        <f>ROUND($W$18+($W$19*$A28+$W$21/100*MIN($D28,30000)+$W$22/100*MAX($D28-30000,0))*(1+$W$30)*(1+$W$24)+$W$23,2)</f>
        <v>4175.3</v>
      </c>
      <c r="O28" s="533"/>
      <c r="P28" s="533">
        <f>ROUND($X$18+($X$19*$A28+$X$21/100*MIN($D28,30000)+$X$22/100*MAX($D28-30000,0))*(1+$X$30)*(1+$X$24)+$X$23,2)</f>
        <v>4938.03</v>
      </c>
      <c r="Q28" s="533"/>
      <c r="R28" s="533">
        <f t="shared" si="0"/>
        <v>762.72999999999956</v>
      </c>
      <c r="T28" s="455">
        <f t="shared" si="1"/>
        <v>0.18267669389025931</v>
      </c>
      <c r="V28" s="425" t="s">
        <v>453</v>
      </c>
      <c r="W28" s="476">
        <v>1.8100000000000002E-2</v>
      </c>
      <c r="X28" s="477">
        <f>W28</f>
        <v>1.8100000000000002E-2</v>
      </c>
      <c r="Y28" s="477"/>
    </row>
    <row r="29" spans="1:25">
      <c r="A29" s="549">
        <f>A27</f>
        <v>200</v>
      </c>
      <c r="B29" s="547"/>
      <c r="C29" s="548">
        <v>700</v>
      </c>
      <c r="D29" s="548">
        <f>ROUND((A29*C29),0)</f>
        <v>140000</v>
      </c>
      <c r="F29" s="533">
        <f t="shared" si="2"/>
        <v>7997.12</v>
      </c>
      <c r="G29" s="533"/>
      <c r="H29" s="533">
        <f t="shared" si="3"/>
        <v>9458.2099999999991</v>
      </c>
      <c r="I29" s="533"/>
      <c r="J29" s="533">
        <f>IF(H29="","",H29-F29)</f>
        <v>1461.0899999999992</v>
      </c>
      <c r="L29" s="455">
        <f>IF(J29="","",H29/F29-1)</f>
        <v>0.18270202272818215</v>
      </c>
      <c r="N29" s="533">
        <f>ROUND($W$18+($W$19*$A29+$W$21/100*MIN($D29,30000)+$W$22/100*MAX($D29-30000,0))*(1+$W$30)*(1+$W$24)+$W$23,2)</f>
        <v>5840.16</v>
      </c>
      <c r="O29" s="533"/>
      <c r="P29" s="533">
        <f>ROUND($X$18+($X$19*$A29+$X$21/100*MIN($D29,30000)+$X$22/100*MAX($D29-30000,0))*(1+$X$30)*(1+$X$24)+$X$23,2)</f>
        <v>6906.78</v>
      </c>
      <c r="Q29" s="533"/>
      <c r="R29" s="533">
        <f t="shared" si="0"/>
        <v>1066.6199999999999</v>
      </c>
      <c r="T29" s="455">
        <f t="shared" si="1"/>
        <v>0.18263540724911653</v>
      </c>
      <c r="V29" s="425" t="s">
        <v>454</v>
      </c>
      <c r="W29" s="476">
        <v>-2.6800000000000001E-2</v>
      </c>
      <c r="X29" s="477">
        <f>W29</f>
        <v>-2.6800000000000001E-2</v>
      </c>
    </row>
    <row r="30" spans="1:25">
      <c r="F30" s="533"/>
      <c r="G30" s="533"/>
      <c r="H30" s="533"/>
      <c r="I30" s="533"/>
      <c r="J30" s="533"/>
      <c r="L30" s="455"/>
      <c r="N30" s="533"/>
      <c r="O30" s="533"/>
      <c r="P30" s="533"/>
      <c r="Q30" s="533"/>
      <c r="R30" s="533" t="str">
        <f t="shared" si="0"/>
        <v/>
      </c>
      <c r="T30" s="455" t="str">
        <f t="shared" si="1"/>
        <v/>
      </c>
      <c r="V30" s="423" t="s">
        <v>455</v>
      </c>
      <c r="W30" s="476">
        <f>SUM(W27:W29)</f>
        <v>3.8900000000000004E-2</v>
      </c>
      <c r="X30" s="477">
        <f>SUM(X27:X29)</f>
        <v>-8.6999999999999994E-3</v>
      </c>
    </row>
    <row r="31" spans="1:25">
      <c r="A31" s="547">
        <v>300</v>
      </c>
      <c r="B31" s="547"/>
      <c r="C31" s="548">
        <v>300</v>
      </c>
      <c r="D31" s="548">
        <f>ROUND((A31*C31),0)</f>
        <v>90000</v>
      </c>
      <c r="F31" s="533">
        <f t="shared" si="2"/>
        <v>6361.71</v>
      </c>
      <c r="G31" s="533"/>
      <c r="H31" s="533">
        <f t="shared" si="3"/>
        <v>7524.69</v>
      </c>
      <c r="I31" s="533"/>
      <c r="J31" s="533">
        <f>IF(H31="","",H31-F31)</f>
        <v>1162.9799999999996</v>
      </c>
      <c r="L31" s="455">
        <f>IF(J31="","",H31/F31-1)</f>
        <v>0.18280933899847684</v>
      </c>
      <c r="N31" s="533">
        <f>ROUND($W$18+($W$19*$A31+$W$21/100*MIN($D31,30000)+$W$22/100*MAX($D31-30000,0))*(1+$W$30)*(1+$W$24)+$W$23,2)</f>
        <v>3759.09</v>
      </c>
      <c r="O31" s="533"/>
      <c r="P31" s="533">
        <f>ROUND($X$18+($X$19*$A31+$X$21/100*MIN($D31,30000)+$X$22/100*MAX($D31-30000,0))*(1+$X$30)*(1+$X$24)+$X$23,2)</f>
        <v>4445.84</v>
      </c>
      <c r="Q31" s="533"/>
      <c r="R31" s="533">
        <f t="shared" si="0"/>
        <v>686.75</v>
      </c>
      <c r="T31" s="455">
        <f t="shared" si="1"/>
        <v>0.18269049158173911</v>
      </c>
    </row>
    <row r="32" spans="1:25">
      <c r="A32" s="549">
        <f>A31</f>
        <v>300</v>
      </c>
      <c r="B32" s="547"/>
      <c r="C32" s="548">
        <v>500</v>
      </c>
      <c r="D32" s="548">
        <f>ROUND((A32*C32),0)</f>
        <v>150000</v>
      </c>
      <c r="F32" s="533">
        <f t="shared" si="2"/>
        <v>9056.5300000000007</v>
      </c>
      <c r="G32" s="533"/>
      <c r="H32" s="533">
        <f t="shared" si="3"/>
        <v>10711.39</v>
      </c>
      <c r="I32" s="533"/>
      <c r="J32" s="533">
        <f>IF(H32="","",H32-F32)</f>
        <v>1654.8599999999988</v>
      </c>
      <c r="L32" s="455">
        <f>IF(J32="","",H32/F32-1)</f>
        <v>0.18272561345239269</v>
      </c>
      <c r="N32" s="533">
        <f>ROUND($W$18+($W$19*$A32+$W$21/100*MIN($D32,30000)+$W$22/100*MAX($D32-30000,0))*(1+$W$30)*(1+$W$24)+$W$23,2)</f>
        <v>6256.38</v>
      </c>
      <c r="O32" s="533"/>
      <c r="P32" s="533">
        <f>ROUND($X$18+($X$19*$A32+$X$21/100*MIN($D32,30000)+$X$22/100*MAX($D32-30000,0))*(1+$X$30)*(1+$X$24)+$X$23,2)</f>
        <v>7398.97</v>
      </c>
      <c r="Q32" s="533"/>
      <c r="R32" s="533">
        <f t="shared" si="0"/>
        <v>1142.5900000000001</v>
      </c>
      <c r="T32" s="455">
        <f t="shared" si="1"/>
        <v>0.18262797336478931</v>
      </c>
    </row>
    <row r="33" spans="1:24">
      <c r="A33" s="549">
        <f>A31</f>
        <v>300</v>
      </c>
      <c r="B33" s="547"/>
      <c r="C33" s="548">
        <v>700</v>
      </c>
      <c r="D33" s="548">
        <f>ROUND((A33*C33),0)</f>
        <v>210000</v>
      </c>
      <c r="F33" s="533">
        <f t="shared" si="2"/>
        <v>11751.36</v>
      </c>
      <c r="G33" s="533"/>
      <c r="H33" s="533">
        <f t="shared" si="3"/>
        <v>13898.09</v>
      </c>
      <c r="I33" s="533"/>
      <c r="J33" s="533">
        <f>IF(H33="","",H33-F33)</f>
        <v>2146.7299999999996</v>
      </c>
      <c r="L33" s="455">
        <f>IF(J33="","",H33/F33-1)</f>
        <v>0.18267928137679368</v>
      </c>
      <c r="N33" s="533">
        <f>ROUND($W$18+($W$19*$A33+$W$21/100*MIN($D33,30000)+$W$22/100*MAX($D33-30000,0))*(1+$W$30)*(1+$W$24)+$W$23,2)</f>
        <v>8753.67</v>
      </c>
      <c r="O33" s="533"/>
      <c r="P33" s="533">
        <f>ROUND($X$18+($X$19*$A33+$X$21/100*MIN($D33,30000)+$X$22/100*MAX($D33-30000,0))*(1+$X$30)*(1+$X$24)+$X$23,2)</f>
        <v>10352.1</v>
      </c>
      <c r="Q33" s="533"/>
      <c r="R33" s="533">
        <f t="shared" si="0"/>
        <v>1598.4300000000003</v>
      </c>
      <c r="T33" s="455">
        <f t="shared" si="1"/>
        <v>0.18260112615622925</v>
      </c>
    </row>
    <row r="34" spans="1:24">
      <c r="W34" s="515"/>
      <c r="X34" s="515"/>
    </row>
    <row r="35" spans="1:24" ht="15.75">
      <c r="A35" s="480" t="s">
        <v>498</v>
      </c>
      <c r="W35" s="515"/>
      <c r="X35" s="515"/>
    </row>
    <row r="36" spans="1:24" ht="15.75">
      <c r="A36" s="480"/>
    </row>
  </sheetData>
  <phoneticPr fontId="67" type="noConversion"/>
  <printOptions horizontalCentered="1"/>
  <pageMargins left="0.75" right="0.75" top="1" bottom="1" header="0.5" footer="0.5"/>
  <pageSetup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view="pageBreakPreview" topLeftCell="C9" zoomScale="60" zoomScaleNormal="75" workbookViewId="0">
      <pane xSplit="6" ySplit="5" topLeftCell="J17" activePane="bottomRight" state="frozen"/>
      <selection activeCell="C71" sqref="C71"/>
      <selection pane="topRight" activeCell="C71" sqref="C71"/>
      <selection pane="bottomLeft" activeCell="C71" sqref="C71"/>
      <selection pane="bottomRight" activeCell="C71" sqref="C71"/>
    </sheetView>
  </sheetViews>
  <sheetFormatPr defaultRowHeight="15.75"/>
  <cols>
    <col min="1" max="1" width="4.625" style="6" customWidth="1"/>
    <col min="2" max="2" width="1.625" style="6" customWidth="1"/>
    <col min="3" max="3" width="35.625" style="6" customWidth="1"/>
    <col min="4" max="4" width="1.5" style="26" customWidth="1"/>
    <col min="5" max="5" width="7.5" style="6" bestFit="1" customWidth="1"/>
    <col min="6" max="6" width="1.75" style="26" customWidth="1"/>
    <col min="7" max="7" width="7.5" style="6" bestFit="1" customWidth="1"/>
    <col min="8" max="8" width="0.75" style="26" customWidth="1"/>
    <col min="9" max="9" width="10.625" style="26" bestFit="1" customWidth="1"/>
    <col min="10" max="10" width="0.75" style="26" customWidth="1"/>
    <col min="11" max="11" width="11.375" style="26" bestFit="1" customWidth="1"/>
    <col min="12" max="12" width="1.75" style="26" customWidth="1"/>
    <col min="13" max="13" width="12.25" style="26" bestFit="1" customWidth="1"/>
    <col min="14" max="14" width="1.75" style="26" customWidth="1"/>
    <col min="15" max="15" width="13.625" style="26" customWidth="1"/>
    <col min="16" max="16" width="1.75" style="26" customWidth="1"/>
    <col min="17" max="17" width="13.625" style="26" bestFit="1" customWidth="1"/>
    <col min="18" max="18" width="1.75" style="26" customWidth="1"/>
    <col min="19" max="19" width="8.25" style="27" bestFit="1" customWidth="1"/>
    <col min="20" max="20" width="1.75" style="26" customWidth="1"/>
    <col min="21" max="21" width="6.875" style="28" bestFit="1" customWidth="1"/>
    <col min="22" max="22" width="2.875" style="6" customWidth="1"/>
    <col min="23" max="23" width="10.5" style="6" bestFit="1" customWidth="1"/>
    <col min="24" max="16384" width="9" style="6"/>
  </cols>
  <sheetData>
    <row r="1" spans="1:24">
      <c r="A1" s="1" t="s">
        <v>0</v>
      </c>
      <c r="B1" s="1"/>
      <c r="C1" s="1"/>
      <c r="D1" s="2"/>
      <c r="E1" s="1"/>
      <c r="F1" s="2"/>
      <c r="G1" s="1"/>
      <c r="H1" s="2"/>
      <c r="I1" s="2"/>
      <c r="J1" s="2"/>
      <c r="K1" s="2"/>
      <c r="L1" s="2"/>
      <c r="M1" s="3"/>
      <c r="N1" s="2"/>
      <c r="O1" s="3"/>
      <c r="P1" s="2"/>
      <c r="Q1" s="3"/>
      <c r="R1" s="2"/>
      <c r="S1" s="4"/>
      <c r="T1" s="2"/>
      <c r="U1" s="5"/>
    </row>
    <row r="2" spans="1:24" s="8" customFormat="1">
      <c r="A2" s="1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4" s="8" customFormat="1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4" s="8" customFormat="1">
      <c r="A4" s="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4" s="8" customFormat="1">
      <c r="A5" s="1" t="s">
        <v>540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4">
      <c r="A6" s="1" t="s">
        <v>541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"/>
      <c r="O6" s="9"/>
      <c r="P6" s="9"/>
      <c r="Q6" s="9"/>
      <c r="R6" s="9"/>
      <c r="S6" s="9"/>
      <c r="T6" s="9"/>
      <c r="U6" s="9"/>
    </row>
    <row r="7" spans="1:24">
      <c r="A7" s="1"/>
      <c r="B7" s="1"/>
      <c r="C7" s="1"/>
      <c r="D7" s="2"/>
      <c r="E7" s="1"/>
      <c r="F7" s="2"/>
      <c r="G7" s="1"/>
      <c r="H7" s="2"/>
      <c r="I7" s="2"/>
      <c r="J7" s="2"/>
      <c r="K7" s="2"/>
      <c r="L7" s="2"/>
      <c r="M7" s="3"/>
      <c r="N7" s="2"/>
      <c r="O7" s="3"/>
      <c r="P7" s="2"/>
      <c r="Q7" s="3"/>
      <c r="R7" s="2"/>
      <c r="S7" s="4"/>
      <c r="T7" s="2"/>
      <c r="U7" s="5"/>
    </row>
    <row r="8" spans="1:24" ht="12" customHeight="1">
      <c r="A8" s="1"/>
      <c r="B8" s="1"/>
      <c r="C8" s="1"/>
      <c r="D8" s="2"/>
      <c r="E8" s="1"/>
      <c r="F8" s="2"/>
      <c r="G8" s="1"/>
      <c r="H8" s="2"/>
      <c r="I8" s="2"/>
      <c r="J8" s="2"/>
      <c r="K8" s="2"/>
      <c r="L8" s="2"/>
      <c r="M8" s="3"/>
      <c r="N8" s="2"/>
      <c r="O8" s="3"/>
      <c r="P8" s="2"/>
      <c r="Q8" s="3"/>
      <c r="R8" s="2"/>
      <c r="S8" s="4"/>
      <c r="T8" s="2"/>
      <c r="U8" s="5"/>
    </row>
    <row r="9" spans="1:24">
      <c r="D9" s="10"/>
      <c r="E9" s="11" t="s">
        <v>4</v>
      </c>
      <c r="F9" s="10"/>
      <c r="G9" s="11" t="s">
        <v>5</v>
      </c>
      <c r="H9" s="10"/>
      <c r="I9" s="10" t="s">
        <v>6</v>
      </c>
      <c r="J9" s="10"/>
      <c r="K9" s="10"/>
      <c r="L9" s="10"/>
      <c r="M9" s="12" t="s">
        <v>7</v>
      </c>
      <c r="N9" s="10"/>
      <c r="O9" s="12" t="s">
        <v>8</v>
      </c>
      <c r="P9" s="13"/>
      <c r="Q9" s="13"/>
      <c r="R9" s="13"/>
      <c r="S9" s="13"/>
      <c r="T9" s="13"/>
      <c r="U9" s="14"/>
    </row>
    <row r="10" spans="1:24" s="15" customFormat="1">
      <c r="A10" s="15" t="s">
        <v>9</v>
      </c>
      <c r="D10" s="10"/>
      <c r="E10" s="11" t="s">
        <v>10</v>
      </c>
      <c r="F10" s="10"/>
      <c r="G10" s="11" t="s">
        <v>10</v>
      </c>
      <c r="H10" s="10"/>
      <c r="I10" s="12" t="s">
        <v>11</v>
      </c>
      <c r="J10" s="10"/>
      <c r="K10" s="10" t="s">
        <v>12</v>
      </c>
      <c r="L10" s="12"/>
      <c r="M10" s="10" t="s">
        <v>13</v>
      </c>
      <c r="N10" s="12"/>
      <c r="O10" s="12" t="s">
        <v>13</v>
      </c>
      <c r="P10" s="12"/>
      <c r="Q10" s="13"/>
      <c r="R10" s="13"/>
      <c r="S10" s="16"/>
      <c r="T10" s="12"/>
      <c r="U10" s="17" t="s">
        <v>14</v>
      </c>
    </row>
    <row r="11" spans="1:24" s="15" customFormat="1">
      <c r="A11" s="15" t="s">
        <v>15</v>
      </c>
      <c r="C11" s="11" t="s">
        <v>16</v>
      </c>
      <c r="E11" s="18" t="s">
        <v>15</v>
      </c>
      <c r="G11" s="18" t="s">
        <v>15</v>
      </c>
      <c r="I11" s="19" t="s">
        <v>17</v>
      </c>
      <c r="K11" s="19" t="s">
        <v>17</v>
      </c>
      <c r="M11" s="20" t="s">
        <v>18</v>
      </c>
      <c r="O11" s="20" t="s">
        <v>18</v>
      </c>
      <c r="Q11" s="19" t="s">
        <v>19</v>
      </c>
      <c r="S11" s="21" t="s">
        <v>20</v>
      </c>
      <c r="U11" s="22" t="s">
        <v>21</v>
      </c>
    </row>
    <row r="12" spans="1:24" s="15" customFormat="1">
      <c r="C12" s="23">
        <v>-1</v>
      </c>
      <c r="D12" s="24"/>
      <c r="E12" s="23">
        <f>MIN($A12:D12)-1</f>
        <v>-2</v>
      </c>
      <c r="F12" s="24"/>
      <c r="G12" s="23">
        <f>MIN($A12:F12)-1</f>
        <v>-3</v>
      </c>
      <c r="H12" s="24"/>
      <c r="I12" s="23">
        <f>MIN($A12:H12)-1</f>
        <v>-4</v>
      </c>
      <c r="J12" s="24"/>
      <c r="K12" s="23">
        <f>MIN($A12:J12)-1</f>
        <v>-5</v>
      </c>
      <c r="L12" s="24"/>
      <c r="M12" s="23">
        <f>MIN($A12:L12)-1</f>
        <v>-6</v>
      </c>
      <c r="N12" s="24"/>
      <c r="O12" s="23">
        <f>MIN($A12:N12)-1</f>
        <v>-7</v>
      </c>
      <c r="P12" s="24"/>
      <c r="Q12" s="23">
        <f>MIN($A12:P12)-1</f>
        <v>-8</v>
      </c>
      <c r="R12" s="24"/>
      <c r="S12" s="23">
        <f>MIN($A12:R12)-1</f>
        <v>-9</v>
      </c>
      <c r="T12" s="24"/>
      <c r="U12" s="23">
        <f>MIN($A12:T12)-1</f>
        <v>-10</v>
      </c>
    </row>
    <row r="13" spans="1:24" s="15" customFormat="1">
      <c r="D13" s="25"/>
      <c r="F13" s="25"/>
      <c r="H13" s="25"/>
      <c r="I13" s="25"/>
      <c r="J13" s="25"/>
      <c r="K13" s="25"/>
      <c r="L13" s="25"/>
      <c r="M13" s="25"/>
      <c r="N13" s="25"/>
      <c r="O13" s="25"/>
      <c r="P13" s="25"/>
      <c r="Q13" s="10" t="str">
        <f>"(" &amp; -O12&amp; ")-(" &amp; -M12 &amp; ")"</f>
        <v>(7)-(6)</v>
      </c>
      <c r="R13" s="25"/>
      <c r="S13" s="10" t="str">
        <f>"(" &amp; -Q12 &amp; ")/(" &amp; -M12 &amp; ")"</f>
        <v>(8)/(6)</v>
      </c>
      <c r="T13" s="25"/>
      <c r="U13" s="10" t="str">
        <f>"(" &amp; -O12 &amp; ")/(" &amp; -K12 &amp; ")"</f>
        <v>(7)/(5)</v>
      </c>
      <c r="W13" s="11" t="s">
        <v>22</v>
      </c>
    </row>
    <row r="14" spans="1:24" ht="18.75" customHeight="1">
      <c r="C14" s="15" t="s">
        <v>23</v>
      </c>
    </row>
    <row r="15" spans="1:24">
      <c r="A15" s="6">
        <v>1</v>
      </c>
      <c r="C15" s="6" t="s">
        <v>23</v>
      </c>
      <c r="E15" s="29" t="s">
        <v>24</v>
      </c>
      <c r="G15" s="29" t="s">
        <v>24</v>
      </c>
      <c r="I15" s="30">
        <v>719464.73805045325</v>
      </c>
      <c r="K15" s="30">
        <f>('Exhibit RMP-(WRG-5)'!E27+'Exhibit RMP-(WRG-5)'!E48)/1000</f>
        <v>6838816.1893818444</v>
      </c>
      <c r="M15" s="31">
        <f>('Exhibit RMP-(WRG-5)'!K27+'Exhibit RMP-(WRG-5)'!K48+'Exhibit RMP-(WRG-5)'!K28+'Exhibit RMP-(WRG-5)'!K49)/1000</f>
        <v>622761.51470559998</v>
      </c>
      <c r="N15" s="32"/>
      <c r="O15" s="31">
        <f>M15+Q15</f>
        <v>713537.29870559997</v>
      </c>
      <c r="P15" s="32"/>
      <c r="Q15" s="31">
        <f>ROUND(M15*S15,3)</f>
        <v>90775.784</v>
      </c>
      <c r="S15" s="33">
        <f>$Q$62</f>
        <v>0.14576331615782528</v>
      </c>
      <c r="U15" s="28">
        <f>ROUND(100*O15/K15,2)</f>
        <v>10.43</v>
      </c>
      <c r="W15" s="34">
        <f>O15-'Exhibit RMP-(WRG-1)'!O15</f>
        <v>4.8767055999487638</v>
      </c>
      <c r="X15" s="33">
        <f>Q15/M15</f>
        <v>0.14576331686602811</v>
      </c>
    </row>
    <row r="16" spans="1:24">
      <c r="A16" s="6">
        <f>MAX(A$14:A15)+1</f>
        <v>2</v>
      </c>
      <c r="C16" s="6" t="s">
        <v>25</v>
      </c>
      <c r="E16" s="6">
        <v>2</v>
      </c>
      <c r="G16" s="35">
        <v>2</v>
      </c>
      <c r="I16" s="30">
        <v>367.09528288001042</v>
      </c>
      <c r="K16" s="30">
        <f>'Exhibit RMP-(WRG-5)'!E71/1000</f>
        <v>2800.1591681552941</v>
      </c>
      <c r="M16" s="31">
        <f>('Exhibit RMP-(WRG-5)'!K71+'Exhibit RMP-(WRG-5)'!K72)/1000</f>
        <v>252.85171320000001</v>
      </c>
      <c r="N16" s="32"/>
      <c r="O16" s="31">
        <f>M16+Q16</f>
        <v>289.70871320000003</v>
      </c>
      <c r="P16" s="32"/>
      <c r="Q16" s="31">
        <f>ROUND(M16*S16,3)</f>
        <v>36.856999999999999</v>
      </c>
      <c r="S16" s="33">
        <f>$Q$62</f>
        <v>0.14576331615782528</v>
      </c>
      <c r="U16" s="28">
        <f>ROUND(100*O16/K16,2)</f>
        <v>10.35</v>
      </c>
      <c r="W16" s="34">
        <f>O16-'Exhibit RMP-(WRG-1)'!O16</f>
        <v>-5.3712867999999503</v>
      </c>
      <c r="X16" s="33">
        <f t="shared" ref="X16:X53" si="0">Q16/M16</f>
        <v>0.14576527694256491</v>
      </c>
    </row>
    <row r="17" spans="1:27">
      <c r="A17" s="6">
        <f>MAX(A$14:A16)+1</f>
        <v>3</v>
      </c>
      <c r="C17" s="36" t="s">
        <v>26</v>
      </c>
      <c r="E17" s="37" t="s">
        <v>27</v>
      </c>
      <c r="F17" s="38"/>
      <c r="G17" s="37" t="s">
        <v>27</v>
      </c>
      <c r="I17" s="39"/>
      <c r="K17" s="39"/>
      <c r="M17" s="40">
        <v>39.38252</v>
      </c>
      <c r="N17" s="32"/>
      <c r="O17" s="40">
        <f>M17+Q17</f>
        <v>39.38252</v>
      </c>
      <c r="P17" s="32"/>
      <c r="Q17" s="41">
        <f>ROUND(M17*S17,3)</f>
        <v>0</v>
      </c>
      <c r="S17" s="42">
        <v>0</v>
      </c>
      <c r="U17" s="43"/>
      <c r="W17" s="44">
        <f>O17-'Exhibit RMP-(WRG-1)'!O17</f>
        <v>0</v>
      </c>
      <c r="X17" s="33">
        <f t="shared" si="0"/>
        <v>0</v>
      </c>
    </row>
    <row r="18" spans="1:27">
      <c r="A18" s="6">
        <f>MAX(A$14:A17)+1</f>
        <v>4</v>
      </c>
      <c r="C18" s="15" t="s">
        <v>28</v>
      </c>
      <c r="I18" s="30">
        <f>SUM(I15:I17)</f>
        <v>719831.83333333326</v>
      </c>
      <c r="K18" s="30">
        <f>SUM(K15:K17)</f>
        <v>6841616.3485499993</v>
      </c>
      <c r="M18" s="31">
        <f>SUM(M15:M17)</f>
        <v>623053.74893879995</v>
      </c>
      <c r="N18" s="32"/>
      <c r="O18" s="31">
        <f>SUM(O15:O17)</f>
        <v>713866.3899387999</v>
      </c>
      <c r="P18" s="32"/>
      <c r="Q18" s="31">
        <f>SUM(Q15:Q17)</f>
        <v>90812.641000000003</v>
      </c>
      <c r="S18" s="45">
        <f>Q18/M18</f>
        <v>0.1457541041277326</v>
      </c>
      <c r="U18" s="28">
        <f>ROUND(100*O18/K18,2)</f>
        <v>10.43</v>
      </c>
      <c r="W18" s="34">
        <f>SUM(W15:W17)</f>
        <v>-0.49458120005118644</v>
      </c>
      <c r="X18" s="33">
        <f t="shared" si="0"/>
        <v>0.1457541041277326</v>
      </c>
    </row>
    <row r="19" spans="1:27" ht="24.75" customHeight="1">
      <c r="C19" s="15" t="s">
        <v>29</v>
      </c>
      <c r="I19" s="30"/>
      <c r="K19" s="30"/>
      <c r="M19" s="31"/>
      <c r="N19" s="32"/>
      <c r="O19" s="31"/>
      <c r="P19" s="32"/>
      <c r="Q19" s="31"/>
      <c r="S19" s="45"/>
      <c r="W19" s="34"/>
      <c r="X19" s="33"/>
    </row>
    <row r="20" spans="1:27">
      <c r="A20" s="6">
        <f>MAX(A$14:A19)+1</f>
        <v>5</v>
      </c>
      <c r="C20" s="6" t="s">
        <v>30</v>
      </c>
      <c r="E20" s="46">
        <v>6</v>
      </c>
      <c r="G20" s="46">
        <v>6</v>
      </c>
      <c r="I20" s="30">
        <v>13159.333333333334</v>
      </c>
      <c r="K20" s="30">
        <f>SUM('Exhibit RMP-(WRG-5)'!E125,'Exhibit RMP-(WRG-5)'!E111)/1000</f>
        <v>5902812.5473389141</v>
      </c>
      <c r="M20" s="31">
        <f>('Exhibit RMP-(WRG-5)'!K125+'Exhibit RMP-(WRG-5)'!K126+'Exhibit RMP-(WRG-5)'!K111+'Exhibit RMP-(WRG-5)'!K112)/1000</f>
        <v>432435.75233699998</v>
      </c>
      <c r="N20" s="32"/>
      <c r="O20" s="31">
        <f>M20+Q20</f>
        <v>486820.30633699999</v>
      </c>
      <c r="P20" s="32"/>
      <c r="Q20" s="31">
        <f>ROUND(M20*S20,3)</f>
        <v>54384.553999999996</v>
      </c>
      <c r="S20" s="33">
        <f>Q63</f>
        <v>0.12576331615782529</v>
      </c>
      <c r="U20" s="28">
        <f t="shared" ref="U20:U37" si="1">ROUND(100*O20/K20,2)</f>
        <v>8.25</v>
      </c>
      <c r="W20" s="34">
        <f>O20-'Exhibit RMP-(WRG-1)'!O20</f>
        <v>54.035336999979336</v>
      </c>
      <c r="X20" s="33">
        <f t="shared" si="0"/>
        <v>0.12576331560489884</v>
      </c>
    </row>
    <row r="21" spans="1:27">
      <c r="A21" s="6">
        <f>MAX(A$14:A20)+1</f>
        <v>6</v>
      </c>
      <c r="C21" s="6" t="s">
        <v>31</v>
      </c>
      <c r="E21" s="35" t="s">
        <v>32</v>
      </c>
      <c r="G21" s="35" t="s">
        <v>32</v>
      </c>
      <c r="I21" s="30">
        <v>2106.083333333333</v>
      </c>
      <c r="K21" s="30">
        <f>SUM('Exhibit RMP-(WRG-5)'!E209)/1000</f>
        <v>264385.73795986269</v>
      </c>
      <c r="M21" s="31">
        <f>('Exhibit RMP-(WRG-5)'!K209+'Exhibit RMP-(WRG-5)'!K210)/1000</f>
        <v>26709.614827199999</v>
      </c>
      <c r="N21" s="32"/>
      <c r="O21" s="31">
        <f>M21+Q21</f>
        <v>30068.704827199999</v>
      </c>
      <c r="P21" s="32"/>
      <c r="Q21" s="31">
        <f>ROUND(M21*S21,3)</f>
        <v>3359.09</v>
      </c>
      <c r="S21" s="45">
        <f>S20</f>
        <v>0.12576331615782529</v>
      </c>
      <c r="U21" s="28">
        <f t="shared" si="1"/>
        <v>11.37</v>
      </c>
      <c r="W21" s="34">
        <f>O21-'Exhibit RMP-(WRG-1)'!O21</f>
        <v>-2.0172799999272684E-2</v>
      </c>
      <c r="X21" s="33">
        <f t="shared" si="0"/>
        <v>0.1257633261180254</v>
      </c>
    </row>
    <row r="22" spans="1:27">
      <c r="A22" s="6">
        <f>MAX(A$14:A21)+1</f>
        <v>7</v>
      </c>
      <c r="C22" s="6" t="s">
        <v>33</v>
      </c>
      <c r="E22" s="35" t="s">
        <v>34</v>
      </c>
      <c r="G22" s="35" t="s">
        <v>34</v>
      </c>
      <c r="I22" s="47">
        <v>30</v>
      </c>
      <c r="K22" s="47">
        <f>SUM('Exhibit RMP-(WRG-5)'!E181,'Exhibit RMP-(WRG-5)'!E195)/1000</f>
        <v>22143.24</v>
      </c>
      <c r="M22" s="40">
        <f>('Exhibit RMP-(WRG-5)'!K181+'Exhibit RMP-(WRG-5)'!K195+'Exhibit RMP-(WRG-5)'!K182+'Exhibit RMP-(WRG-5)'!K196)/1000</f>
        <v>1633.2892185999999</v>
      </c>
      <c r="N22" s="32"/>
      <c r="O22" s="40">
        <f>M22+Q22</f>
        <v>1838.6972185999998</v>
      </c>
      <c r="P22" s="32"/>
      <c r="Q22" s="40">
        <f>ROUND(M22*S22,3)</f>
        <v>205.40799999999999</v>
      </c>
      <c r="S22" s="48">
        <f>S20</f>
        <v>0.12576331615782529</v>
      </c>
      <c r="U22" s="43">
        <f t="shared" si="1"/>
        <v>8.3000000000000007</v>
      </c>
      <c r="W22" s="44">
        <f>O22-'Exhibit RMP-(WRG-1)'!O22</f>
        <v>-54.299781400000256</v>
      </c>
      <c r="X22" s="33">
        <f t="shared" si="0"/>
        <v>0.12576339674614931</v>
      </c>
    </row>
    <row r="23" spans="1:27">
      <c r="A23" s="6">
        <f>MAX(A$14:A22)+1</f>
        <v>8</v>
      </c>
      <c r="C23" s="49" t="s">
        <v>35</v>
      </c>
      <c r="I23" s="30">
        <f>SUM(I20:I22)</f>
        <v>15295.416666666668</v>
      </c>
      <c r="K23" s="30">
        <f>SUM(K20:K22)</f>
        <v>6189341.525298777</v>
      </c>
      <c r="M23" s="31">
        <f>SUM(M20:M22)</f>
        <v>460778.65638280002</v>
      </c>
      <c r="N23" s="32"/>
      <c r="O23" s="31">
        <f>SUM(O20:O22)</f>
        <v>518727.70838279999</v>
      </c>
      <c r="P23" s="32"/>
      <c r="Q23" s="31">
        <f>SUM(Q20:Q22)</f>
        <v>57949.052000000003</v>
      </c>
      <c r="S23" s="45">
        <f>Q23/M23</f>
        <v>0.12576331650192105</v>
      </c>
      <c r="U23" s="28">
        <f t="shared" si="1"/>
        <v>8.3800000000000008</v>
      </c>
      <c r="W23" s="34">
        <f>SUM(W20:W22)</f>
        <v>-0.2846172000201932</v>
      </c>
      <c r="X23" s="33">
        <f t="shared" si="0"/>
        <v>0.12576331650192105</v>
      </c>
    </row>
    <row r="24" spans="1:27" ht="23.1" customHeight="1">
      <c r="A24" s="6">
        <f>MAX(A$14:A23)+1</f>
        <v>9</v>
      </c>
      <c r="C24" s="36" t="s">
        <v>36</v>
      </c>
      <c r="E24" s="35">
        <v>8</v>
      </c>
      <c r="G24" s="6">
        <v>8</v>
      </c>
      <c r="H24" s="30"/>
      <c r="I24" s="30">
        <v>294.83333333333331</v>
      </c>
      <c r="K24" s="30">
        <f>'Exhibit RMP-(WRG-5)'!E293/1000</f>
        <v>2167936.0786941051</v>
      </c>
      <c r="M24" s="31">
        <f>('Exhibit RMP-(WRG-5)'!K293+'Exhibit RMP-(WRG-5)'!K294)/1000</f>
        <v>138876.68594639999</v>
      </c>
      <c r="N24" s="32"/>
      <c r="O24" s="31">
        <f>M24+Q24</f>
        <v>159119.81194639998</v>
      </c>
      <c r="P24" s="32"/>
      <c r="Q24" s="31">
        <f>ROUND(M24*S24,3)</f>
        <v>20243.126</v>
      </c>
      <c r="S24" s="33">
        <f>Q62</f>
        <v>0.14576331615782528</v>
      </c>
      <c r="U24" s="28">
        <f t="shared" si="1"/>
        <v>7.34</v>
      </c>
      <c r="W24" s="34">
        <f>O24-'Exhibit RMP-(WRG-1)'!O24</f>
        <v>-0.29405360002419911</v>
      </c>
      <c r="X24" s="33">
        <f t="shared" si="0"/>
        <v>0.14576331413764379</v>
      </c>
    </row>
    <row r="25" spans="1:27" ht="23.1" customHeight="1">
      <c r="A25" s="6">
        <f>MAX(A$14:A24)+1</f>
        <v>10</v>
      </c>
      <c r="C25" s="6" t="s">
        <v>37</v>
      </c>
      <c r="E25" s="6">
        <v>9</v>
      </c>
      <c r="G25" s="6">
        <v>9</v>
      </c>
      <c r="I25" s="30">
        <v>151</v>
      </c>
      <c r="K25" s="30">
        <f>('Exhibit RMP-(WRG-5)'!E334)/1000</f>
        <v>4593918.7557724277</v>
      </c>
      <c r="M25" s="31">
        <f>('Exhibit RMP-(WRG-5)'!K334+'Exhibit RMP-(WRG-5)'!K335)/1000</f>
        <v>212323.14570369999</v>
      </c>
      <c r="N25" s="32"/>
      <c r="O25" s="31">
        <f>M25+Q25</f>
        <v>247518.53470369999</v>
      </c>
      <c r="P25" s="32"/>
      <c r="Q25" s="31">
        <f>ROUND(M25*S25,3)</f>
        <v>35195.389000000003</v>
      </c>
      <c r="S25" s="33">
        <f>Q64</f>
        <v>0.16576331615782527</v>
      </c>
      <c r="U25" s="28">
        <f t="shared" si="1"/>
        <v>5.39</v>
      </c>
      <c r="W25" s="34">
        <f>O25-'Exhibit RMP-(WRG-1)'!O25</f>
        <v>1.1767036999808624</v>
      </c>
      <c r="X25" s="33">
        <f t="shared" si="0"/>
        <v>0.16576331743462239</v>
      </c>
    </row>
    <row r="26" spans="1:27">
      <c r="A26" s="6">
        <f>MAX(A$14:A25)+1</f>
        <v>11</v>
      </c>
      <c r="C26" s="6" t="s">
        <v>38</v>
      </c>
      <c r="E26" s="35" t="s">
        <v>39</v>
      </c>
      <c r="G26" s="35" t="s">
        <v>39</v>
      </c>
      <c r="I26" s="47">
        <v>9</v>
      </c>
      <c r="K26" s="47">
        <f>SUM('Exhibit RMP-(WRG-5)'!E384,'Exhibit RMP-(WRG-5)'!E394)/1000</f>
        <v>53116.208411492647</v>
      </c>
      <c r="M26" s="40">
        <f>('Exhibit RMP-(WRG-5)'!K384+'Exhibit RMP-(WRG-5)'!K394+'Exhibit RMP-(WRG-5)'!K385+'Exhibit RMP-(WRG-5)'!K395)/1000</f>
        <v>3266.6945169999999</v>
      </c>
      <c r="N26" s="32"/>
      <c r="O26" s="40">
        <f>M26+Q26</f>
        <v>3808.192517</v>
      </c>
      <c r="P26" s="32"/>
      <c r="Q26" s="40">
        <f>ROUND(M26*S26,3)</f>
        <v>541.49800000000005</v>
      </c>
      <c r="S26" s="48">
        <f>S25</f>
        <v>0.16576331615782527</v>
      </c>
      <c r="U26" s="43">
        <f t="shared" si="1"/>
        <v>7.17</v>
      </c>
      <c r="W26" s="44">
        <f>O26-'Exhibit RMP-(WRG-1)'!O26</f>
        <v>-4.4830000001638837E-3</v>
      </c>
      <c r="X26" s="33">
        <f t="shared" si="0"/>
        <v>0.16576328064409582</v>
      </c>
    </row>
    <row r="27" spans="1:27">
      <c r="A27" s="6">
        <f>MAX(A$14:A26)+1</f>
        <v>12</v>
      </c>
      <c r="C27" s="49" t="s">
        <v>40</v>
      </c>
      <c r="I27" s="30">
        <f>SUM(I25:I26)</f>
        <v>160</v>
      </c>
      <c r="K27" s="30">
        <f>SUM(K25:K26)</f>
        <v>4647034.9641839201</v>
      </c>
      <c r="M27" s="31">
        <f>SUM(M25:M26)</f>
        <v>215589.84022069999</v>
      </c>
      <c r="N27" s="32"/>
      <c r="O27" s="31">
        <f>SUM(O25:O26)</f>
        <v>251326.72722069998</v>
      </c>
      <c r="P27" s="32"/>
      <c r="Q27" s="31">
        <f>SUM(Q25:Q26)</f>
        <v>35736.887000000002</v>
      </c>
      <c r="S27" s="45">
        <f>Q27/M27</f>
        <v>0.16576331687715914</v>
      </c>
      <c r="U27" s="28">
        <f t="shared" si="1"/>
        <v>5.41</v>
      </c>
      <c r="W27" s="34">
        <f>SUM(W25:W26)</f>
        <v>1.1722206999806986</v>
      </c>
      <c r="X27" s="33">
        <f t="shared" si="0"/>
        <v>0.16576331687715914</v>
      </c>
    </row>
    <row r="28" spans="1:27" ht="23.1" customHeight="1">
      <c r="A28" s="6">
        <f>MAX(A$14:A27)+1</f>
        <v>13</v>
      </c>
      <c r="C28" s="6" t="s">
        <v>41</v>
      </c>
      <c r="E28" s="35">
        <v>10</v>
      </c>
      <c r="G28" s="35">
        <v>10</v>
      </c>
      <c r="I28" s="30">
        <f>'Exhibit RMP-(WRG-5)'!E399+'Exhibit RMP-(WRG-5)'!E400</f>
        <v>2611</v>
      </c>
      <c r="K28" s="30">
        <f>'Exhibit RMP-(WRG-5)'!E412/1000</f>
        <v>171987.00599999999</v>
      </c>
      <c r="M28" s="31">
        <f>('Exhibit RMP-(WRG-5)'!K412+'Exhibit RMP-(WRG-5)'!K413)/1000</f>
        <v>11112.272944800001</v>
      </c>
      <c r="N28" s="32"/>
      <c r="O28" s="31">
        <f>M28+Q28</f>
        <v>13176.525944800002</v>
      </c>
      <c r="P28" s="32"/>
      <c r="Q28" s="31">
        <f>ROUND(M28*S28,3)</f>
        <v>2064.2530000000002</v>
      </c>
      <c r="S28" s="33">
        <f>Q65</f>
        <v>0.18576331615782529</v>
      </c>
      <c r="U28" s="28">
        <f t="shared" si="1"/>
        <v>7.66</v>
      </c>
      <c r="W28" s="34">
        <f>O28-'Exhibit RMP-(WRG-1)'!O28</f>
        <v>-10.347055199998067</v>
      </c>
      <c r="X28" s="33">
        <f t="shared" si="0"/>
        <v>0.1857633456498177</v>
      </c>
    </row>
    <row r="29" spans="1:27">
      <c r="A29" s="6">
        <f>MAX(A$14:A28)+1</f>
        <v>14</v>
      </c>
      <c r="C29" s="6" t="s">
        <v>42</v>
      </c>
      <c r="E29" s="35" t="s">
        <v>43</v>
      </c>
      <c r="G29" s="35" t="s">
        <v>43</v>
      </c>
      <c r="I29" s="47">
        <f>'Exhibit RMP-(WRG-5)'!E417+'Exhibit RMP-(WRG-5)'!E418</f>
        <v>254.41666666666652</v>
      </c>
      <c r="K29" s="47">
        <f>'Exhibit RMP-(WRG-5)'!E430/1000</f>
        <v>15472.994049175382</v>
      </c>
      <c r="M29" s="40">
        <f>('Exhibit RMP-(WRG-5)'!K430+'Exhibit RMP-(WRG-5)'!K431)/1000</f>
        <v>1045.6100924</v>
      </c>
      <c r="N29" s="32"/>
      <c r="O29" s="40">
        <f>M29+Q29</f>
        <v>1239.8460924000001</v>
      </c>
      <c r="P29" s="32"/>
      <c r="Q29" s="40">
        <f>ROUND(M29*S29,3)</f>
        <v>194.23599999999999</v>
      </c>
      <c r="S29" s="48">
        <f>S28</f>
        <v>0.18576331615782529</v>
      </c>
      <c r="U29" s="43">
        <f t="shared" si="1"/>
        <v>8.01</v>
      </c>
      <c r="W29" s="44">
        <f>O29-'Exhibit RMP-(WRG-1)'!O29</f>
        <v>10.349092400000018</v>
      </c>
      <c r="X29" s="33">
        <f t="shared" si="0"/>
        <v>0.18576331790578648</v>
      </c>
    </row>
    <row r="30" spans="1:27">
      <c r="A30" s="6">
        <f>MAX(A$14:A29)+1</f>
        <v>15</v>
      </c>
      <c r="C30" s="49" t="s">
        <v>44</v>
      </c>
      <c r="I30" s="30">
        <f>SUM(I28:I29)</f>
        <v>2865.4166666666665</v>
      </c>
      <c r="K30" s="30">
        <f>SUM(K28:K29)</f>
        <v>187460.00004917537</v>
      </c>
      <c r="M30" s="31">
        <f>SUM(M28:M29)</f>
        <v>12157.883037200001</v>
      </c>
      <c r="N30" s="32"/>
      <c r="O30" s="31">
        <f>SUM(O28:O29)</f>
        <v>14416.372037200003</v>
      </c>
      <c r="P30" s="32"/>
      <c r="Q30" s="31">
        <f>SUM(Q28:Q29)</f>
        <v>2258.489</v>
      </c>
      <c r="S30" s="45">
        <f>Q30/M30</f>
        <v>0.18576334326375762</v>
      </c>
      <c r="U30" s="28">
        <f t="shared" si="1"/>
        <v>7.69</v>
      </c>
      <c r="W30" s="34">
        <f>SUM(W28:W29)</f>
        <v>2.0372000019506231E-3</v>
      </c>
      <c r="X30" s="33">
        <f t="shared" si="0"/>
        <v>0.18576334326375762</v>
      </c>
    </row>
    <row r="31" spans="1:27" ht="23.1" customHeight="1">
      <c r="A31" s="6">
        <f>MAX(A$14:A30)+1</f>
        <v>16</v>
      </c>
      <c r="C31" s="6" t="s">
        <v>45</v>
      </c>
      <c r="E31" s="6">
        <v>21</v>
      </c>
      <c r="G31" s="6">
        <v>21</v>
      </c>
      <c r="I31" s="30">
        <v>5</v>
      </c>
      <c r="K31" s="30">
        <f>'Exhibit RMP-(WRG-5)'!E615/1000</f>
        <v>2784.0039999999999</v>
      </c>
      <c r="M31" s="31">
        <f>('Exhibit RMP-(WRG-5)'!K615+'Exhibit RMP-(WRG-5)'!K616)/1000</f>
        <v>281.23465000000004</v>
      </c>
      <c r="N31" s="32"/>
      <c r="O31" s="31">
        <f t="shared" ref="O31:O38" si="2">M31+Q31</f>
        <v>327.85265000000004</v>
      </c>
      <c r="P31" s="32"/>
      <c r="Q31" s="31">
        <f t="shared" ref="Q31:Q38" si="3">ROUND(M31*S31,3)</f>
        <v>46.618000000000002</v>
      </c>
      <c r="S31" s="33">
        <f>Q64</f>
        <v>0.16576331615782527</v>
      </c>
      <c r="U31" s="28">
        <f t="shared" si="1"/>
        <v>11.78</v>
      </c>
      <c r="W31" s="34">
        <f>O31-'Exhibit RMP-(WRG-1)'!O31</f>
        <v>-3.4999999996898623E-4</v>
      </c>
      <c r="X31" s="33">
        <f t="shared" si="0"/>
        <v>0.16576193580698537</v>
      </c>
    </row>
    <row r="32" spans="1:27">
      <c r="A32" s="6">
        <f>MAX(A$14:A31)+1</f>
        <v>17</v>
      </c>
      <c r="C32" s="6" t="s">
        <v>46</v>
      </c>
      <c r="E32" s="46">
        <v>23</v>
      </c>
      <c r="G32" s="46">
        <v>23</v>
      </c>
      <c r="I32" s="30">
        <v>79903.666666666672</v>
      </c>
      <c r="K32" s="30">
        <f>SUM('Exhibit RMP-(WRG-5)'!E630,'Exhibit RMP-(WRG-5)'!E97)/1000</f>
        <v>1413763.5142437532</v>
      </c>
      <c r="M32" s="31">
        <f>('Exhibit RMP-(WRG-5)'!K630+'Exhibit RMP-(WRG-5)'!K631+'Exhibit RMP-(WRG-5)'!K97+'Exhibit RMP-(WRG-5)'!K98)/1000</f>
        <v>121797.0054729</v>
      </c>
      <c r="N32" s="32"/>
      <c r="O32" s="31">
        <f t="shared" si="2"/>
        <v>137114.6004729</v>
      </c>
      <c r="P32" s="32"/>
      <c r="Q32" s="31">
        <f t="shared" si="3"/>
        <v>15317.594999999999</v>
      </c>
      <c r="S32" s="33">
        <f>Q63</f>
        <v>0.12576331615782529</v>
      </c>
      <c r="U32" s="28">
        <f t="shared" si="1"/>
        <v>9.6999999999999993</v>
      </c>
      <c r="W32" s="34">
        <f>O32-'Exhibit RMP-(WRG-1)'!O32</f>
        <v>-1.3855271000065841</v>
      </c>
      <c r="X32" s="33">
        <f t="shared" si="0"/>
        <v>0.12576331364245391</v>
      </c>
      <c r="Y32" s="50" t="s">
        <v>47</v>
      </c>
      <c r="Z32" s="50" t="s">
        <v>19</v>
      </c>
      <c r="AA32" s="50" t="s">
        <v>48</v>
      </c>
    </row>
    <row r="33" spans="1:27">
      <c r="A33" s="6">
        <f>MAX(A$14:A32)+1</f>
        <v>18</v>
      </c>
      <c r="C33" s="6" t="s">
        <v>49</v>
      </c>
      <c r="E33" s="6">
        <v>31</v>
      </c>
      <c r="G33" s="6">
        <v>31</v>
      </c>
      <c r="I33" s="30">
        <v>3</v>
      </c>
      <c r="K33" s="30">
        <f>('Exhibit RMP-(WRG-5)'!E728+'Exhibit RMP-(WRG-5)'!E781)/1000</f>
        <v>10601.999</v>
      </c>
      <c r="M33" s="31">
        <f>('Exhibit RMP-(WRG-5)'!K728+'Exhibit RMP-(WRG-5)'!K781+'Exhibit RMP-(WRG-5)'!K729+'Exhibit RMP-(WRG-5)'!K782)/1000</f>
        <v>793.09077920000004</v>
      </c>
      <c r="N33" s="32"/>
      <c r="O33" s="31">
        <f t="shared" si="2"/>
        <v>907.01800000000003</v>
      </c>
      <c r="P33" s="32"/>
      <c r="Q33" s="31">
        <f>'Exhibit RMP-(WRG-1)'!Q33</f>
        <v>113.92722079999999</v>
      </c>
      <c r="S33" s="33">
        <f>Q33/M33</f>
        <v>0.1436496600236857</v>
      </c>
      <c r="U33" s="28">
        <f t="shared" si="1"/>
        <v>8.56</v>
      </c>
      <c r="W33" s="34">
        <f>O33-'Exhibit RMP-(WRG-1)'!O33</f>
        <v>0</v>
      </c>
      <c r="X33" s="33">
        <f t="shared" si="0"/>
        <v>0.1436496600236857</v>
      </c>
      <c r="Y33" s="31">
        <f>'Exhibit RMP-(WRG-1)'!O33</f>
        <v>907.01800000000003</v>
      </c>
      <c r="Z33" s="31">
        <f>Y33-M33</f>
        <v>113.92722079999999</v>
      </c>
      <c r="AA33" s="33">
        <f>Z33/M33</f>
        <v>0.1436496600236857</v>
      </c>
    </row>
    <row r="34" spans="1:27">
      <c r="A34" s="6">
        <f>MAX(A$14:A33)+1</f>
        <v>19</v>
      </c>
      <c r="C34" s="36" t="s">
        <v>50</v>
      </c>
      <c r="E34" s="35" t="s">
        <v>27</v>
      </c>
      <c r="G34" s="35" t="s">
        <v>27</v>
      </c>
      <c r="I34" s="30">
        <v>1</v>
      </c>
      <c r="K34" s="30">
        <f>'Exhibit RMP-(WRG-5)'!E791/1000</f>
        <v>566031.79094462132</v>
      </c>
      <c r="M34" s="31">
        <f>('Exhibit RMP-(WRG-5)'!K791)/1000</f>
        <v>22942.658742756612</v>
      </c>
      <c r="N34" s="32"/>
      <c r="O34" s="31">
        <f t="shared" si="2"/>
        <v>22942.658742756612</v>
      </c>
      <c r="P34" s="32"/>
      <c r="Q34" s="51">
        <f t="shared" si="3"/>
        <v>0</v>
      </c>
      <c r="S34" s="33">
        <v>0</v>
      </c>
      <c r="U34" s="28">
        <f t="shared" si="1"/>
        <v>4.05</v>
      </c>
      <c r="W34" s="34">
        <f>O34-'Exhibit RMP-(WRG-1)'!O34</f>
        <v>0</v>
      </c>
      <c r="X34" s="33">
        <f t="shared" si="0"/>
        <v>0</v>
      </c>
    </row>
    <row r="35" spans="1:27">
      <c r="A35" s="6">
        <f>MAX(A$14:A34)+1</f>
        <v>20</v>
      </c>
      <c r="C35" s="36" t="s">
        <v>51</v>
      </c>
      <c r="E35" s="35" t="s">
        <v>27</v>
      </c>
      <c r="G35" s="35" t="s">
        <v>27</v>
      </c>
      <c r="I35" s="30">
        <v>1</v>
      </c>
      <c r="K35" s="30">
        <f>'Exhibit RMP-(WRG-5)'!E796/1000</f>
        <v>906890.76634466706</v>
      </c>
      <c r="M35" s="31">
        <f>'Exhibit RMP-(WRG-5)'!K796/1000</f>
        <v>30307.371080770277</v>
      </c>
      <c r="N35" s="32"/>
      <c r="O35" s="31">
        <f t="shared" si="2"/>
        <v>30307.371080770277</v>
      </c>
      <c r="P35" s="32"/>
      <c r="Q35" s="51">
        <f t="shared" si="3"/>
        <v>0</v>
      </c>
      <c r="S35" s="33">
        <v>0</v>
      </c>
      <c r="U35" s="28">
        <f t="shared" si="1"/>
        <v>3.34</v>
      </c>
      <c r="W35" s="34">
        <f>O35-'Exhibit RMP-(WRG-1)'!O35</f>
        <v>0</v>
      </c>
      <c r="X35" s="33">
        <f t="shared" si="0"/>
        <v>0</v>
      </c>
      <c r="Y35" s="50" t="s">
        <v>47</v>
      </c>
      <c r="Z35" s="50" t="s">
        <v>19</v>
      </c>
      <c r="AA35" s="50" t="s">
        <v>48</v>
      </c>
    </row>
    <row r="36" spans="1:27">
      <c r="A36" s="6">
        <f>MAX(A$14:A35)+1</f>
        <v>21</v>
      </c>
      <c r="C36" s="36" t="s">
        <v>52</v>
      </c>
      <c r="E36" s="35" t="s">
        <v>27</v>
      </c>
      <c r="G36" s="35" t="s">
        <v>27</v>
      </c>
      <c r="I36" s="30">
        <v>1</v>
      </c>
      <c r="K36" s="30">
        <f>'Exhibit RMP-(WRG-5)'!E812/1000</f>
        <v>1153188.5036041529</v>
      </c>
      <c r="M36" s="31">
        <f>('Exhibit RMP-(WRG-5)'!K812+'Exhibit RMP-(WRG-5)'!K813)/1000</f>
        <v>46004.667615563194</v>
      </c>
      <c r="N36" s="32"/>
      <c r="O36" s="31">
        <f t="shared" si="2"/>
        <v>54266.807000000001</v>
      </c>
      <c r="P36" s="32"/>
      <c r="Q36" s="51">
        <f>'Exhibit RMP-(WRG-1)'!Q36</f>
        <v>8262.1393844368067</v>
      </c>
      <c r="S36" s="33">
        <f>Q36/M36</f>
        <v>0.17959350241325855</v>
      </c>
      <c r="U36" s="28">
        <f t="shared" si="1"/>
        <v>4.71</v>
      </c>
      <c r="W36" s="34">
        <f>O36-'Exhibit RMP-(WRG-1)'!O36</f>
        <v>0</v>
      </c>
      <c r="X36" s="33">
        <f t="shared" si="0"/>
        <v>0.17959350241325855</v>
      </c>
      <c r="Y36" s="31">
        <f>'Exhibit RMP-(WRG-5)'!O812/1000</f>
        <v>54266.807000000001</v>
      </c>
      <c r="Z36" s="31">
        <f>Y36-M36</f>
        <v>8262.1393844368067</v>
      </c>
      <c r="AA36" s="33">
        <f>Z36/M36</f>
        <v>0.17959350241325855</v>
      </c>
    </row>
    <row r="37" spans="1:27">
      <c r="A37" s="6">
        <f>MAX(A$14:A36)+1</f>
        <v>22</v>
      </c>
      <c r="C37" s="36" t="s">
        <v>53</v>
      </c>
      <c r="E37" s="35" t="s">
        <v>27</v>
      </c>
      <c r="G37" s="35" t="s">
        <v>27</v>
      </c>
      <c r="I37" s="30">
        <v>1</v>
      </c>
      <c r="K37" s="30">
        <f>'Exhibit RMP-(WRG-5)'!E823/1000</f>
        <v>246723.4468927572</v>
      </c>
      <c r="M37" s="31">
        <f>('Exhibit RMP-(WRG-5)'!K823+'Exhibit RMP-(WRG-5)'!K824)/1000</f>
        <v>10557.777273195708</v>
      </c>
      <c r="N37" s="32"/>
      <c r="O37" s="31">
        <f t="shared" si="2"/>
        <v>12157.616</v>
      </c>
      <c r="P37" s="32"/>
      <c r="Q37" s="51">
        <f>'Exhibit RMP-(WRG-1)'!Q37</f>
        <v>1599.8387268042916</v>
      </c>
      <c r="S37" s="33">
        <f>Q37/M37</f>
        <v>0.15153177467249601</v>
      </c>
      <c r="U37" s="28">
        <f t="shared" si="1"/>
        <v>4.93</v>
      </c>
      <c r="W37" s="34">
        <f>O37-'Exhibit RMP-(WRG-1)'!O37</f>
        <v>0</v>
      </c>
      <c r="X37" s="33">
        <f t="shared" si="0"/>
        <v>0.15153177467249601</v>
      </c>
      <c r="Y37" s="31">
        <f>'Exhibit RMP-(WRG-5)'!O823/1000</f>
        <v>12157.616</v>
      </c>
      <c r="Z37" s="31">
        <f>Y37-M37</f>
        <v>1599.8387268042916</v>
      </c>
      <c r="AA37" s="33">
        <f>Z37/M37</f>
        <v>0.15153177467249601</v>
      </c>
    </row>
    <row r="38" spans="1:27">
      <c r="A38" s="6">
        <f>MAX(A$14:A34)+1</f>
        <v>20</v>
      </c>
      <c r="C38" s="36" t="s">
        <v>26</v>
      </c>
      <c r="E38" s="37" t="s">
        <v>27</v>
      </c>
      <c r="F38" s="38"/>
      <c r="G38" s="37" t="s">
        <v>27</v>
      </c>
      <c r="I38" s="39"/>
      <c r="K38" s="39"/>
      <c r="M38" s="40">
        <v>3533.55807</v>
      </c>
      <c r="N38" s="32"/>
      <c r="O38" s="40">
        <f t="shared" si="2"/>
        <v>3533.55807</v>
      </c>
      <c r="P38" s="32"/>
      <c r="Q38" s="52">
        <f t="shared" si="3"/>
        <v>0</v>
      </c>
      <c r="S38" s="42">
        <v>0</v>
      </c>
      <c r="U38" s="43"/>
      <c r="W38" s="34">
        <f>O38-'Exhibit RMP-(WRG-1)'!O38</f>
        <v>0</v>
      </c>
      <c r="X38" s="33">
        <f t="shared" si="0"/>
        <v>0</v>
      </c>
    </row>
    <row r="39" spans="1:27">
      <c r="A39" s="6">
        <f>MAX(A$14:A38)+1</f>
        <v>23</v>
      </c>
      <c r="C39" s="15" t="s">
        <v>54</v>
      </c>
      <c r="I39" s="30">
        <f>SUM(I20:I22,I24:I26,I28:I29,I31:I38)</f>
        <v>98531.333333333343</v>
      </c>
      <c r="J39" s="26">
        <f t="shared" ref="J39:P39" si="4">SUM(J20:J22,J24:J26,J28:J29,J31:J38)</f>
        <v>0</v>
      </c>
      <c r="K39" s="30">
        <f t="shared" si="4"/>
        <v>17491756.593255926</v>
      </c>
      <c r="L39" s="26">
        <f t="shared" si="4"/>
        <v>0</v>
      </c>
      <c r="M39" s="31">
        <f t="shared" si="4"/>
        <v>1063620.4292714859</v>
      </c>
      <c r="N39" s="32">
        <f t="shared" si="4"/>
        <v>0</v>
      </c>
      <c r="O39" s="31">
        <f t="shared" si="4"/>
        <v>1205148.1016035269</v>
      </c>
      <c r="P39" s="32">
        <f t="shared" si="4"/>
        <v>0</v>
      </c>
      <c r="Q39" s="31">
        <f>SUM(Q20:Q22,Q24:Q26,Q28:Q29,Q31:Q38)</f>
        <v>141527.67233204111</v>
      </c>
      <c r="S39" s="45">
        <f>Q39/M39</f>
        <v>0.13306219816497772</v>
      </c>
      <c r="U39" s="28">
        <f>ROUND(100*O39/K39,2)</f>
        <v>6.89</v>
      </c>
      <c r="W39" s="34">
        <f>SUM(W23,W24,W27,W30:W38)</f>
        <v>-0.79029000006829619</v>
      </c>
      <c r="X39" s="33">
        <f t="shared" si="0"/>
        <v>0.13306219816497772</v>
      </c>
    </row>
    <row r="40" spans="1:27">
      <c r="A40" s="6">
        <f>MAX(A$14:A39)+1</f>
        <v>24</v>
      </c>
      <c r="C40" s="15" t="s">
        <v>55</v>
      </c>
      <c r="I40" s="30">
        <f>I39-SUM(I34:I35,I38)</f>
        <v>98529.333333333343</v>
      </c>
      <c r="J40" s="26">
        <f t="shared" ref="J40:P40" si="5">J39-SUM(J34:J38)</f>
        <v>0</v>
      </c>
      <c r="K40" s="30">
        <f>K39-SUM(K34:K35,K38)</f>
        <v>16018834.035966638</v>
      </c>
      <c r="L40" s="26">
        <f t="shared" si="5"/>
        <v>0</v>
      </c>
      <c r="M40" s="31">
        <f>M39-SUM(M34:M35,M38)</f>
        <v>1006836.841377959</v>
      </c>
      <c r="N40" s="32">
        <f t="shared" si="5"/>
        <v>0</v>
      </c>
      <c r="O40" s="31">
        <f>O39-SUM(O34:O35,O38)</f>
        <v>1148364.5137100001</v>
      </c>
      <c r="P40" s="32">
        <f t="shared" si="5"/>
        <v>0</v>
      </c>
      <c r="Q40" s="31">
        <f>Q39-SUM(Q34:Q35,Q38)</f>
        <v>141527.67233204111</v>
      </c>
      <c r="S40" s="45">
        <f>Q40/M40</f>
        <v>0.14056664050785631</v>
      </c>
      <c r="U40" s="28">
        <f>ROUND(100*O40/K40,2)</f>
        <v>7.17</v>
      </c>
      <c r="W40" s="34">
        <f>W39-W34-W38</f>
        <v>-0.79029000006829619</v>
      </c>
      <c r="X40" s="33">
        <f t="shared" si="0"/>
        <v>0.14056664050785631</v>
      </c>
    </row>
    <row r="41" spans="1:27" ht="28.5" customHeight="1">
      <c r="C41" s="15" t="s">
        <v>56</v>
      </c>
      <c r="I41" s="30"/>
      <c r="K41" s="30"/>
      <c r="M41" s="31"/>
      <c r="N41" s="32"/>
      <c r="O41" s="31"/>
      <c r="P41" s="32"/>
      <c r="Q41" s="31"/>
      <c r="S41" s="45"/>
      <c r="W41" s="34"/>
      <c r="X41" s="33"/>
    </row>
    <row r="42" spans="1:27">
      <c r="A42" s="6">
        <f>MAX(A$14:A41)+1</f>
        <v>25</v>
      </c>
      <c r="C42" s="6" t="s">
        <v>57</v>
      </c>
      <c r="E42" s="6">
        <v>7</v>
      </c>
      <c r="G42" s="6">
        <v>7</v>
      </c>
      <c r="I42" s="30">
        <v>7995.3333333333303</v>
      </c>
      <c r="K42" s="30">
        <f>'Exhibit RMP-(WRG-5)'!E279/1000</f>
        <v>14094.877493246233</v>
      </c>
      <c r="M42" s="31">
        <f>('Exhibit RMP-(WRG-5)'!K279+'Exhibit RMP-(WRG-5)'!K280)/1000</f>
        <v>3392.8355858999998</v>
      </c>
      <c r="N42" s="32"/>
      <c r="O42" s="31">
        <f t="shared" ref="O42:O50" si="6">M42+Q42</f>
        <v>3392.8355858999998</v>
      </c>
      <c r="P42" s="32"/>
      <c r="Q42" s="31">
        <f>ROUND(M42*S42,3)</f>
        <v>0</v>
      </c>
      <c r="S42" s="33">
        <f>Q66</f>
        <v>0</v>
      </c>
      <c r="U42" s="28">
        <f t="shared" ref="U42:U49" si="7">ROUND(100*O42/K42,2)</f>
        <v>24.07</v>
      </c>
      <c r="W42" s="34">
        <f>O42-'Exhibit RMP-(WRG-1)'!O42</f>
        <v>0.30658589999984542</v>
      </c>
      <c r="X42" s="33">
        <f t="shared" si="0"/>
        <v>0</v>
      </c>
    </row>
    <row r="43" spans="1:27">
      <c r="A43" s="6">
        <f>MAX(A$14:A42)+1</f>
        <v>26</v>
      </c>
      <c r="C43" s="6" t="s">
        <v>58</v>
      </c>
      <c r="E43" s="6">
        <v>11</v>
      </c>
      <c r="G43" s="6">
        <v>11</v>
      </c>
      <c r="I43" s="30">
        <v>872.33333333333337</v>
      </c>
      <c r="K43" s="30">
        <f>'Exhibit RMP-(WRG-5)'!E484/1000</f>
        <v>22285.519</v>
      </c>
      <c r="M43" s="31">
        <f>('Exhibit RMP-(WRG-5)'!K484+'Exhibit RMP-(WRG-5)'!K485)/1000</f>
        <v>6595.6071942999997</v>
      </c>
      <c r="N43" s="32"/>
      <c r="O43" s="31">
        <f t="shared" si="6"/>
        <v>6595.6071942999997</v>
      </c>
      <c r="P43" s="32"/>
      <c r="Q43" s="31">
        <f>ROUND(M43*S43,3)</f>
        <v>0</v>
      </c>
      <c r="S43" s="33">
        <f>S42</f>
        <v>0</v>
      </c>
      <c r="U43" s="28">
        <f t="shared" si="7"/>
        <v>29.6</v>
      </c>
      <c r="W43" s="34">
        <f>O43-'Exhibit RMP-(WRG-1)'!O43</f>
        <v>1.2201943000000028</v>
      </c>
      <c r="X43" s="33">
        <f t="shared" si="0"/>
        <v>0</v>
      </c>
    </row>
    <row r="44" spans="1:27">
      <c r="A44" s="6">
        <f>MAX(A$14:A43)+1</f>
        <v>27</v>
      </c>
      <c r="C44" s="6" t="s">
        <v>59</v>
      </c>
      <c r="E44" s="6">
        <v>12</v>
      </c>
      <c r="G44" s="6">
        <v>12</v>
      </c>
      <c r="I44" s="30">
        <v>838.16666666666663</v>
      </c>
      <c r="K44" s="53">
        <f>'Exhibit RMP-(WRG-5)'!E577/1000</f>
        <v>49417.5</v>
      </c>
      <c r="M44" s="31">
        <f>('Exhibit RMP-(WRG-5)'!K577+'Exhibit RMP-(WRG-5)'!K578)/1000</f>
        <v>3813.2070128999999</v>
      </c>
      <c r="N44" s="32"/>
      <c r="O44" s="31">
        <f t="shared" si="6"/>
        <v>3813.2070128999999</v>
      </c>
      <c r="P44" s="32"/>
      <c r="Q44" s="31">
        <f>ROUND(M44*S44,3)</f>
        <v>0</v>
      </c>
      <c r="S44" s="33">
        <f>S42</f>
        <v>0</v>
      </c>
      <c r="U44" s="28">
        <f t="shared" si="7"/>
        <v>7.72</v>
      </c>
      <c r="W44" s="34">
        <f>O44-'Exhibit RMP-(WRG-1)'!O44</f>
        <v>-0.2369871000000785</v>
      </c>
      <c r="X44" s="33">
        <f t="shared" si="0"/>
        <v>0</v>
      </c>
    </row>
    <row r="45" spans="1:27">
      <c r="A45" s="6">
        <f>MAX(A$14:A44)+1</f>
        <v>28</v>
      </c>
      <c r="C45" s="6" t="s">
        <v>60</v>
      </c>
      <c r="E45" s="6">
        <v>15</v>
      </c>
      <c r="G45" s="6">
        <v>15</v>
      </c>
      <c r="I45" s="54">
        <v>472.25</v>
      </c>
      <c r="J45" s="38"/>
      <c r="K45" s="54">
        <f>'Exhibit RMP-(WRG-5)'!E588/1000</f>
        <v>16985.647000000001</v>
      </c>
      <c r="L45" s="38"/>
      <c r="M45" s="55">
        <f>('Exhibit RMP-(WRG-5)'!K588+'Exhibit RMP-(WRG-5)'!K589)/1000</f>
        <v>1218.1327200000001</v>
      </c>
      <c r="N45" s="56"/>
      <c r="O45" s="55">
        <f t="shared" si="6"/>
        <v>1218.1327200000001</v>
      </c>
      <c r="P45" s="56"/>
      <c r="Q45" s="55">
        <f>ROUND(M45*S45,3)</f>
        <v>0</v>
      </c>
      <c r="R45" s="38"/>
      <c r="S45" s="57">
        <f>S42</f>
        <v>0</v>
      </c>
      <c r="T45" s="38"/>
      <c r="U45" s="58">
        <f t="shared" si="7"/>
        <v>7.17</v>
      </c>
      <c r="W45" s="34">
        <f>O45-'Exhibit RMP-(WRG-1)'!O45</f>
        <v>-4.2799999998806015E-3</v>
      </c>
      <c r="X45" s="33">
        <f t="shared" si="0"/>
        <v>0</v>
      </c>
    </row>
    <row r="46" spans="1:27">
      <c r="A46" s="6">
        <f>MAX(A$14:A45)+1</f>
        <v>29</v>
      </c>
      <c r="C46" s="6" t="s">
        <v>61</v>
      </c>
      <c r="E46" s="6">
        <v>15</v>
      </c>
      <c r="G46" s="6">
        <v>15</v>
      </c>
      <c r="I46" s="47">
        <v>2244.333333333333</v>
      </c>
      <c r="K46" s="47">
        <f>'Exhibit RMP-(WRG-5)'!E596/1000</f>
        <v>5513.5479999999998</v>
      </c>
      <c r="M46" s="40">
        <f>('Exhibit RMP-(WRG-5)'!K596+'Exhibit RMP-(WRG-5)'!K597)/1000</f>
        <v>521.27995859999999</v>
      </c>
      <c r="N46" s="32"/>
      <c r="O46" s="40">
        <f>M46+Q46</f>
        <v>597.26295860000005</v>
      </c>
      <c r="P46" s="32"/>
      <c r="Q46" s="40">
        <f>ROUND(M46*S46,3)</f>
        <v>75.983000000000004</v>
      </c>
      <c r="S46" s="42">
        <f>Q62</f>
        <v>0.14576331615782528</v>
      </c>
      <c r="U46" s="43">
        <f>ROUND(100*O46/K46,2)</f>
        <v>10.83</v>
      </c>
      <c r="W46" s="34">
        <f>O46-'Exhibit RMP-(WRG-1)'!O46</f>
        <v>-2.0413999999391308E-3</v>
      </c>
      <c r="X46" s="33">
        <f t="shared" si="0"/>
        <v>0.14576236578146476</v>
      </c>
    </row>
    <row r="47" spans="1:27">
      <c r="A47" s="6">
        <f>MAX(A$14:A46)+1</f>
        <v>30</v>
      </c>
      <c r="C47" s="59" t="s">
        <v>62</v>
      </c>
      <c r="D47" s="60"/>
      <c r="F47" s="60"/>
      <c r="H47" s="60"/>
      <c r="I47" s="30">
        <f>SUM(I42:J46)</f>
        <v>12422.416666666664</v>
      </c>
      <c r="J47" s="60"/>
      <c r="K47" s="30">
        <f>SUM(K42:L46)</f>
        <v>108297.09149324622</v>
      </c>
      <c r="L47" s="60"/>
      <c r="M47" s="31">
        <f>SUM(M42:N46)</f>
        <v>15541.062471699999</v>
      </c>
      <c r="N47" s="31"/>
      <c r="O47" s="31">
        <f>SUM(O42:P46)</f>
        <v>15617.045471699999</v>
      </c>
      <c r="P47" s="31"/>
      <c r="Q47" s="31">
        <f>SUM(Q42:R46)</f>
        <v>75.983000000000004</v>
      </c>
      <c r="R47" s="60"/>
      <c r="S47" s="45">
        <f>Q47/M47</f>
        <v>4.8891766659045167E-3</v>
      </c>
      <c r="T47" s="60"/>
      <c r="U47" s="28">
        <f t="shared" si="7"/>
        <v>14.42</v>
      </c>
      <c r="W47" s="34">
        <f>SUM(W42:W46)</f>
        <v>1.28347169999995</v>
      </c>
      <c r="X47" s="33">
        <f t="shared" si="0"/>
        <v>4.8891766659045167E-3</v>
      </c>
    </row>
    <row r="48" spans="1:27" ht="23.1" customHeight="1">
      <c r="A48" s="6">
        <f>MAX(A$14:A47)+1</f>
        <v>31</v>
      </c>
      <c r="C48" s="36" t="s">
        <v>63</v>
      </c>
      <c r="E48" s="35" t="s">
        <v>27</v>
      </c>
      <c r="G48" s="35" t="s">
        <v>27</v>
      </c>
      <c r="I48" s="30">
        <v>5</v>
      </c>
      <c r="K48" s="30">
        <f>'Exhibit RMP-(WRG-5)'!E842/1000</f>
        <v>8.3747600000000002</v>
      </c>
      <c r="M48" s="31">
        <f>'Exhibit RMP-(WRG-5)'!K842/1000</f>
        <v>0.629</v>
      </c>
      <c r="N48" s="32"/>
      <c r="O48" s="31">
        <f t="shared" si="6"/>
        <v>0.629</v>
      </c>
      <c r="P48" s="32"/>
      <c r="Q48" s="31">
        <f>ROUND(M48*S48,3)</f>
        <v>0</v>
      </c>
      <c r="S48" s="33">
        <v>0</v>
      </c>
      <c r="U48" s="28">
        <f t="shared" si="7"/>
        <v>7.51</v>
      </c>
      <c r="W48" s="34">
        <f>O48-'Exhibit RMP-(WRG-1)'!O48</f>
        <v>0</v>
      </c>
      <c r="X48" s="33">
        <f t="shared" si="0"/>
        <v>0</v>
      </c>
    </row>
    <row r="49" spans="1:24">
      <c r="A49" s="6">
        <f>MAX(A$14:A48)+1</f>
        <v>32</v>
      </c>
      <c r="C49" s="61" t="s">
        <v>64</v>
      </c>
      <c r="E49" s="35" t="s">
        <v>27</v>
      </c>
      <c r="G49" s="35" t="s">
        <v>27</v>
      </c>
      <c r="I49" s="30">
        <v>1</v>
      </c>
      <c r="K49" s="30">
        <f>('Exhibit RMP-(WRG-5)'!E832)/1000</f>
        <v>134.18299999999999</v>
      </c>
      <c r="M49" s="31">
        <f>'Exhibit RMP-(WRG-5)'!K832/1000</f>
        <v>17.277000000000001</v>
      </c>
      <c r="N49" s="32"/>
      <c r="O49" s="31">
        <f t="shared" si="6"/>
        <v>17.277000000000001</v>
      </c>
      <c r="P49" s="32"/>
      <c r="Q49" s="31">
        <f>ROUND(M49*S49,3)</f>
        <v>0</v>
      </c>
      <c r="S49" s="33">
        <v>0</v>
      </c>
      <c r="U49" s="28">
        <f t="shared" si="7"/>
        <v>12.88</v>
      </c>
      <c r="W49" s="34">
        <f>O49-'Exhibit RMP-(WRG-1)'!O49</f>
        <v>0</v>
      </c>
      <c r="X49" s="33">
        <f t="shared" si="0"/>
        <v>0</v>
      </c>
    </row>
    <row r="50" spans="1:24">
      <c r="A50" s="6">
        <f>MAX(A$14:A49)+1</f>
        <v>33</v>
      </c>
      <c r="C50" s="36" t="s">
        <v>26</v>
      </c>
      <c r="D50" s="62"/>
      <c r="E50" s="37" t="s">
        <v>27</v>
      </c>
      <c r="F50" s="38"/>
      <c r="G50" s="37" t="s">
        <v>27</v>
      </c>
      <c r="H50" s="62"/>
      <c r="I50" s="63"/>
      <c r="J50" s="62"/>
      <c r="K50" s="63" t="s">
        <v>27</v>
      </c>
      <c r="L50" s="62"/>
      <c r="M50" s="40">
        <v>4.6828400000000006</v>
      </c>
      <c r="N50" s="32"/>
      <c r="O50" s="40">
        <f t="shared" si="6"/>
        <v>4.6828400000000006</v>
      </c>
      <c r="P50" s="32"/>
      <c r="Q50" s="52">
        <f>ROUND(M50*S50,3)</f>
        <v>0</v>
      </c>
      <c r="R50" s="62"/>
      <c r="S50" s="42">
        <v>0</v>
      </c>
      <c r="T50" s="62"/>
      <c r="U50" s="43"/>
      <c r="W50" s="44">
        <f>O50-'Exhibit RMP-(WRG-1)'!O50</f>
        <v>0</v>
      </c>
      <c r="X50" s="33">
        <f t="shared" si="0"/>
        <v>0</v>
      </c>
    </row>
    <row r="51" spans="1:24">
      <c r="A51" s="6">
        <f>MAX(A$14:A50)+1</f>
        <v>34</v>
      </c>
      <c r="C51" s="15" t="s">
        <v>65</v>
      </c>
      <c r="E51" s="64"/>
      <c r="F51" s="38"/>
      <c r="G51" s="64"/>
      <c r="I51" s="47">
        <f>SUM(I47:I50)</f>
        <v>12428.416666666664</v>
      </c>
      <c r="K51" s="47">
        <f>SUM(K47:K50)</f>
        <v>108439.64925324623</v>
      </c>
      <c r="M51" s="65">
        <f>SUM(M47:M50)</f>
        <v>15563.651311699999</v>
      </c>
      <c r="N51" s="32"/>
      <c r="O51" s="65">
        <f>SUM(O47:O50)</f>
        <v>15639.6343117</v>
      </c>
      <c r="P51" s="32"/>
      <c r="Q51" s="65">
        <f>SUM(Q47:Q50)</f>
        <v>75.983000000000004</v>
      </c>
      <c r="S51" s="48">
        <f>Q51/M51</f>
        <v>4.8820805913892236E-3</v>
      </c>
      <c r="U51" s="43">
        <f>ROUND(100*O51/K51,2)</f>
        <v>14.42</v>
      </c>
      <c r="W51" s="34">
        <f>SUM(W47:W50)</f>
        <v>1.28347169999995</v>
      </c>
      <c r="X51" s="33">
        <f t="shared" si="0"/>
        <v>4.8820805913892236E-3</v>
      </c>
    </row>
    <row r="52" spans="1:24" ht="27.75" customHeight="1" thickBot="1">
      <c r="A52" s="6">
        <f>MAX(A$14:A51)+1</f>
        <v>35</v>
      </c>
      <c r="C52" s="15" t="s">
        <v>66</v>
      </c>
      <c r="E52" s="64"/>
      <c r="F52" s="38"/>
      <c r="G52" s="64"/>
      <c r="I52" s="66">
        <f>I51+I39+I18</f>
        <v>830791.58333333326</v>
      </c>
      <c r="K52" s="66">
        <f>K51+K39+K18</f>
        <v>24441812.591059171</v>
      </c>
      <c r="M52" s="67">
        <f>M51+M39+M18</f>
        <v>1702237.8295219857</v>
      </c>
      <c r="N52" s="32"/>
      <c r="O52" s="67">
        <f>O51+O39+O18</f>
        <v>1934654.1258540268</v>
      </c>
      <c r="P52" s="32"/>
      <c r="Q52" s="67">
        <f>Q51+Q39+Q18</f>
        <v>232416.29633204112</v>
      </c>
      <c r="S52" s="68">
        <f>Q52/M52</f>
        <v>0.13653573684078396</v>
      </c>
      <c r="U52" s="69">
        <f>ROUND(100*O52/K52,2)</f>
        <v>7.92</v>
      </c>
      <c r="W52" s="70">
        <f>W18+W39+W51</f>
        <v>-1.399500119532604E-3</v>
      </c>
      <c r="X52" s="33">
        <f t="shared" si="0"/>
        <v>0.13653573684078396</v>
      </c>
    </row>
    <row r="53" spans="1:24" ht="39.75" customHeight="1" thickTop="1" thickBot="1">
      <c r="A53" s="6">
        <f>MAX(A$14:A52)+1</f>
        <v>36</v>
      </c>
      <c r="C53" s="71" t="s">
        <v>67</v>
      </c>
      <c r="E53" s="64"/>
      <c r="F53" s="38"/>
      <c r="G53" s="64"/>
      <c r="I53" s="66">
        <f>I47+I40+I18-I17</f>
        <v>830783.58333333326</v>
      </c>
      <c r="K53" s="66">
        <f>K47+K40+K18-K17</f>
        <v>22968747.476009883</v>
      </c>
      <c r="M53" s="67">
        <f>M47+M40+M18-M17</f>
        <v>1645392.2702684589</v>
      </c>
      <c r="N53" s="32"/>
      <c r="O53" s="67">
        <f>O47+O40+O18-O17</f>
        <v>1877808.5666004999</v>
      </c>
      <c r="P53" s="32"/>
      <c r="Q53" s="67">
        <f>Q47+Q40+Q18-Q17</f>
        <v>232416.29633204112</v>
      </c>
      <c r="S53" s="68">
        <f>Q53/M53</f>
        <v>0.1412528188759028</v>
      </c>
      <c r="U53" s="69">
        <f>ROUND(100*O53/K53,2)</f>
        <v>8.18</v>
      </c>
      <c r="W53" s="70">
        <f>W52-W17-W34-W38-W48-W49-W50</f>
        <v>-1.399500119532604E-3</v>
      </c>
      <c r="X53" s="33">
        <f t="shared" si="0"/>
        <v>0.1412528188759028</v>
      </c>
    </row>
    <row r="54" spans="1:24" ht="16.5" thickTop="1">
      <c r="C54" s="15"/>
      <c r="E54" s="64"/>
      <c r="F54" s="38"/>
      <c r="G54" s="64"/>
    </row>
    <row r="55" spans="1:24">
      <c r="E55" s="64"/>
      <c r="F55" s="38"/>
      <c r="G55" s="64"/>
    </row>
    <row r="56" spans="1:24">
      <c r="C56" s="36"/>
      <c r="S56" s="72" t="s">
        <v>68</v>
      </c>
    </row>
    <row r="57" spans="1:24">
      <c r="C57" s="36"/>
      <c r="O57" s="73" t="s">
        <v>69</v>
      </c>
      <c r="Q57" s="74">
        <v>232416309</v>
      </c>
    </row>
    <row r="58" spans="1:24">
      <c r="O58" s="73" t="s">
        <v>70</v>
      </c>
      <c r="Q58" s="74">
        <f>Q57/1000</f>
        <v>232416.30900000001</v>
      </c>
      <c r="S58" s="75"/>
    </row>
    <row r="59" spans="1:24">
      <c r="O59" s="73" t="s">
        <v>71</v>
      </c>
      <c r="Q59" s="76">
        <f>Q58/M52</f>
        <v>0.13653574428272813</v>
      </c>
      <c r="S59" s="75"/>
    </row>
    <row r="60" spans="1:24">
      <c r="O60" s="73" t="s">
        <v>72</v>
      </c>
      <c r="Q60" s="76">
        <f>Q58/M53</f>
        <v>0.14125282657495372</v>
      </c>
      <c r="S60" s="75"/>
    </row>
    <row r="61" spans="1:24">
      <c r="O61" s="73" t="s">
        <v>73</v>
      </c>
      <c r="Q61" s="76">
        <f>Q58/(M53-(M47-M46))</f>
        <v>0.14255411615782529</v>
      </c>
      <c r="S61" s="75"/>
    </row>
    <row r="62" spans="1:24">
      <c r="O62" s="77" t="s">
        <v>74</v>
      </c>
      <c r="Q62" s="76">
        <f>RateSpread!$Q$61+S62</f>
        <v>0.14576331615782528</v>
      </c>
      <c r="S62" s="78">
        <v>3.2092000000000002E-3</v>
      </c>
    </row>
    <row r="63" spans="1:24">
      <c r="O63" s="77" t="s">
        <v>75</v>
      </c>
      <c r="Q63" s="76">
        <f>RateSpread!$Q$62+S63</f>
        <v>0.12576331615782529</v>
      </c>
      <c r="S63" s="79">
        <v>-0.02</v>
      </c>
      <c r="U63" s="80"/>
    </row>
    <row r="64" spans="1:24">
      <c r="O64" s="73" t="s">
        <v>76</v>
      </c>
      <c r="Q64" s="76">
        <f>RateSpread!$Q$62+S64</f>
        <v>0.16576331615782527</v>
      </c>
      <c r="S64" s="79">
        <v>0.02</v>
      </c>
    </row>
    <row r="65" spans="15:21">
      <c r="O65" s="73">
        <v>10</v>
      </c>
      <c r="Q65" s="76">
        <f>RateSpread!$Q$62+S65</f>
        <v>0.18576331615782529</v>
      </c>
      <c r="S65" s="79">
        <v>0.04</v>
      </c>
    </row>
    <row r="66" spans="15:21">
      <c r="O66" s="73" t="s">
        <v>77</v>
      </c>
      <c r="Q66" s="81">
        <v>0</v>
      </c>
      <c r="S66" s="79"/>
      <c r="U66" s="82"/>
    </row>
    <row r="67" spans="15:21">
      <c r="O67" s="73" t="s">
        <v>78</v>
      </c>
      <c r="Q67" s="76">
        <f>S36</f>
        <v>0.17959350241325855</v>
      </c>
      <c r="S67" s="83"/>
    </row>
    <row r="68" spans="15:21">
      <c r="O68" s="73" t="s">
        <v>79</v>
      </c>
      <c r="Q68" s="76">
        <f>S37</f>
        <v>0.15153177467249601</v>
      </c>
      <c r="S68" s="79"/>
    </row>
    <row r="69" spans="15:21">
      <c r="Q69" s="33"/>
      <c r="S69" s="84"/>
    </row>
    <row r="70" spans="15:21">
      <c r="Q70" s="33"/>
    </row>
  </sheetData>
  <phoneticPr fontId="67" type="noConversion"/>
  <printOptions horizontalCentered="1"/>
  <pageMargins left="0" right="0" top="0.25" bottom="0.25" header="0.25" footer="0"/>
  <pageSetup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A534"/>
  <sheetViews>
    <sheetView view="pageBreakPreview" topLeftCell="A7" zoomScale="60" zoomScaleNormal="70" workbookViewId="0">
      <pane xSplit="2" ySplit="3" topLeftCell="C318" activePane="bottomRight" state="frozen"/>
      <selection activeCell="C71" sqref="C71"/>
      <selection pane="topRight" activeCell="C71" sqref="C71"/>
      <selection pane="bottomLeft" activeCell="C71" sqref="C71"/>
      <selection pane="bottomRight" activeCell="C71" sqref="C71"/>
    </sheetView>
  </sheetViews>
  <sheetFormatPr defaultRowHeight="15.75"/>
  <cols>
    <col min="1" max="1" width="33.25" style="570" customWidth="1"/>
    <col min="2" max="2" width="2.625" style="560" customWidth="1"/>
    <col min="3" max="3" width="16.375" style="643" customWidth="1"/>
    <col min="4" max="4" width="1" style="572" customWidth="1"/>
    <col min="5" max="5" width="10.125" style="570" customWidth="1"/>
    <col min="6" max="6" width="2.25" style="572" customWidth="1"/>
    <col min="7" max="7" width="15.625" style="560" customWidth="1"/>
    <col min="8" max="8" width="1" style="572" customWidth="1"/>
    <col min="9" max="9" width="9.625" style="573" customWidth="1"/>
    <col min="10" max="10" width="2.25" style="572" bestFit="1" customWidth="1"/>
    <col min="11" max="11" width="12.75" style="560" bestFit="1" customWidth="1"/>
    <col min="12" max="12" width="1" style="572" customWidth="1"/>
    <col min="13" max="13" width="8.625" style="573" customWidth="1"/>
    <col min="14" max="14" width="2.25" style="572" customWidth="1"/>
    <col min="15" max="15" width="19" style="560" customWidth="1"/>
    <col min="16" max="16" width="1" style="572" customWidth="1"/>
    <col min="17" max="17" width="9.25" style="573" customWidth="1"/>
    <col min="18" max="18" width="2.25" style="572" customWidth="1"/>
    <col min="19" max="19" width="13" style="560" customWidth="1"/>
    <col min="20" max="20" width="3.375" style="561" customWidth="1"/>
    <col min="21" max="21" width="12.375" style="561" customWidth="1"/>
    <col min="22" max="22" width="12.5" style="561" customWidth="1"/>
    <col min="23" max="23" width="11.5" style="561" customWidth="1"/>
    <col min="24" max="24" width="16.625" style="561" customWidth="1"/>
    <col min="25" max="30" width="9" style="561" customWidth="1"/>
    <col min="31" max="16384" width="9" style="561"/>
  </cols>
  <sheetData>
    <row r="1" spans="1:27" ht="18.75">
      <c r="A1" s="552" t="s">
        <v>92</v>
      </c>
      <c r="B1" s="553"/>
      <c r="C1" s="554"/>
      <c r="D1" s="555"/>
      <c r="E1" s="556"/>
      <c r="F1" s="557"/>
      <c r="G1" s="558"/>
      <c r="H1" s="557"/>
      <c r="I1" s="559"/>
      <c r="J1" s="557"/>
      <c r="L1" s="557"/>
      <c r="M1" s="559"/>
      <c r="N1" s="557"/>
      <c r="P1" s="557"/>
      <c r="Q1" s="559"/>
      <c r="R1" s="557"/>
    </row>
    <row r="2" spans="1:27">
      <c r="A2" s="562" t="s">
        <v>499</v>
      </c>
      <c r="B2" s="563"/>
      <c r="C2" s="564"/>
      <c r="D2" s="565"/>
      <c r="E2" s="566"/>
      <c r="F2" s="567"/>
      <c r="G2" s="568"/>
      <c r="H2" s="567"/>
      <c r="I2" s="569"/>
      <c r="J2" s="567"/>
      <c r="L2" s="567"/>
      <c r="M2" s="569"/>
      <c r="N2" s="567"/>
      <c r="P2" s="567"/>
      <c r="Q2" s="569"/>
      <c r="R2" s="567"/>
    </row>
    <row r="3" spans="1:27">
      <c r="A3" s="562" t="s">
        <v>500</v>
      </c>
      <c r="B3" s="563"/>
      <c r="C3" s="564"/>
      <c r="D3" s="565"/>
      <c r="E3" s="566"/>
      <c r="F3" s="567"/>
      <c r="G3" s="568"/>
      <c r="H3" s="567"/>
      <c r="I3" s="569"/>
      <c r="J3" s="567"/>
      <c r="L3" s="567"/>
      <c r="M3" s="569"/>
      <c r="N3" s="567"/>
      <c r="P3" s="567"/>
      <c r="Q3" s="569"/>
      <c r="R3" s="567"/>
    </row>
    <row r="4" spans="1:27">
      <c r="A4" s="562" t="s">
        <v>501</v>
      </c>
      <c r="B4" s="563"/>
      <c r="C4" s="564"/>
      <c r="D4" s="565"/>
      <c r="E4" s="566"/>
      <c r="F4" s="567"/>
      <c r="G4" s="568"/>
      <c r="H4" s="567"/>
      <c r="I4" s="569"/>
      <c r="J4" s="567"/>
      <c r="L4" s="567"/>
      <c r="M4" s="569"/>
      <c r="N4" s="567"/>
      <c r="P4" s="567"/>
      <c r="Q4" s="569"/>
      <c r="R4" s="567"/>
    </row>
    <row r="5" spans="1:27">
      <c r="C5" s="571"/>
    </row>
    <row r="6" spans="1:27" ht="32.25" customHeight="1">
      <c r="C6" s="574"/>
      <c r="F6" s="567"/>
      <c r="G6" s="568"/>
      <c r="J6" s="567"/>
      <c r="K6" s="568"/>
      <c r="N6" s="567"/>
      <c r="O6" s="568"/>
      <c r="R6" s="567"/>
      <c r="S6" s="568"/>
    </row>
    <row r="7" spans="1:27">
      <c r="C7" s="575"/>
      <c r="E7" s="576"/>
      <c r="F7" s="567"/>
      <c r="G7" s="568"/>
      <c r="I7" s="569"/>
      <c r="J7" s="567"/>
      <c r="K7" s="568"/>
      <c r="M7" s="569"/>
      <c r="N7" s="567"/>
      <c r="O7" s="568"/>
      <c r="Q7" s="569"/>
      <c r="R7" s="567"/>
      <c r="S7" s="568"/>
    </row>
    <row r="8" spans="1:27">
      <c r="C8" s="577" t="s">
        <v>17</v>
      </c>
      <c r="E8" s="576" t="s">
        <v>7</v>
      </c>
      <c r="F8" s="567"/>
      <c r="G8" s="568" t="s">
        <v>98</v>
      </c>
      <c r="I8" s="578" t="s">
        <v>502</v>
      </c>
      <c r="J8" s="579"/>
      <c r="K8" s="578"/>
      <c r="M8" s="578" t="s">
        <v>503</v>
      </c>
      <c r="N8" s="579"/>
      <c r="O8" s="578"/>
      <c r="Q8" s="578" t="s">
        <v>504</v>
      </c>
      <c r="R8" s="579"/>
      <c r="S8" s="578"/>
    </row>
    <row r="9" spans="1:27">
      <c r="C9" s="580" t="s">
        <v>100</v>
      </c>
      <c r="E9" s="581" t="s">
        <v>101</v>
      </c>
      <c r="F9" s="567"/>
      <c r="G9" s="582" t="s">
        <v>102</v>
      </c>
      <c r="I9" s="583" t="s">
        <v>101</v>
      </c>
      <c r="J9" s="567"/>
      <c r="K9" s="582" t="s">
        <v>102</v>
      </c>
      <c r="M9" s="583" t="s">
        <v>101</v>
      </c>
      <c r="N9" s="567"/>
      <c r="O9" s="582" t="s">
        <v>505</v>
      </c>
      <c r="Q9" s="583" t="s">
        <v>101</v>
      </c>
      <c r="R9" s="567"/>
      <c r="S9" s="582" t="s">
        <v>102</v>
      </c>
      <c r="Y9" s="584" t="s">
        <v>506</v>
      </c>
      <c r="Z9" s="584"/>
      <c r="AA9" s="584"/>
    </row>
    <row r="10" spans="1:27">
      <c r="A10" s="562" t="s">
        <v>103</v>
      </c>
      <c r="C10" s="571"/>
    </row>
    <row r="11" spans="1:27">
      <c r="A11" s="585" t="s">
        <v>104</v>
      </c>
      <c r="C11" s="586">
        <v>8115601.214061155</v>
      </c>
      <c r="E11" s="587">
        <v>3.75</v>
      </c>
      <c r="F11" s="588"/>
      <c r="G11" s="589">
        <v>30433505</v>
      </c>
      <c r="I11" s="590"/>
      <c r="J11" s="588"/>
      <c r="K11" s="589"/>
      <c r="M11" s="590"/>
      <c r="N11" s="588"/>
      <c r="O11" s="589"/>
      <c r="Q11" s="590"/>
      <c r="R11" s="588"/>
      <c r="S11" s="589"/>
    </row>
    <row r="12" spans="1:27">
      <c r="A12" s="585" t="s">
        <v>107</v>
      </c>
      <c r="C12" s="586">
        <v>1225982405</v>
      </c>
      <c r="E12" s="591">
        <v>7.5292000000000003</v>
      </c>
      <c r="F12" s="592" t="s">
        <v>108</v>
      </c>
      <c r="G12" s="589">
        <v>92306667</v>
      </c>
      <c r="I12" s="593">
        <v>4.0599999999999997E-2</v>
      </c>
      <c r="J12" s="592"/>
      <c r="K12" s="589">
        <v>3747650.6801999998</v>
      </c>
      <c r="M12" s="593">
        <v>1.49E-2</v>
      </c>
      <c r="N12" s="592"/>
      <c r="O12" s="589">
        <v>916912.8922</v>
      </c>
      <c r="Q12" s="593">
        <v>-2.2800000000000001E-2</v>
      </c>
      <c r="R12" s="592"/>
      <c r="S12" s="589">
        <v>-2104592.0076000001</v>
      </c>
      <c r="U12" s="594" t="s">
        <v>507</v>
      </c>
      <c r="V12" s="595"/>
      <c r="W12" s="596"/>
      <c r="X12" s="596"/>
      <c r="Y12" s="593">
        <v>4.0599999999999997E-2</v>
      </c>
      <c r="Z12" s="593">
        <v>1.49E-2</v>
      </c>
      <c r="AA12" s="593">
        <v>-2.2800000000000001E-2</v>
      </c>
    </row>
    <row r="13" spans="1:27">
      <c r="A13" s="585" t="s">
        <v>110</v>
      </c>
      <c r="C13" s="586">
        <v>1038768927</v>
      </c>
      <c r="E13" s="591">
        <v>9.2749000000000006</v>
      </c>
      <c r="F13" s="592" t="s">
        <v>108</v>
      </c>
      <c r="G13" s="589">
        <v>96344779</v>
      </c>
      <c r="I13" s="593">
        <v>4.0599999999999997E-2</v>
      </c>
      <c r="J13" s="592"/>
      <c r="K13" s="589">
        <v>3911598.0273999996</v>
      </c>
      <c r="M13" s="593">
        <v>1.49E-2</v>
      </c>
      <c r="N13" s="592"/>
      <c r="O13" s="589">
        <v>957024.80473333329</v>
      </c>
      <c r="Q13" s="593">
        <v>-2.2800000000000001E-2</v>
      </c>
      <c r="R13" s="592"/>
      <c r="S13" s="589">
        <v>-2196660.9612000003</v>
      </c>
      <c r="U13" s="597"/>
      <c r="V13" s="598" t="s">
        <v>374</v>
      </c>
      <c r="W13" s="599" t="s">
        <v>453</v>
      </c>
      <c r="X13" s="598" t="s">
        <v>454</v>
      </c>
      <c r="Y13" s="593">
        <v>4.0599999999999997E-2</v>
      </c>
      <c r="Z13" s="593">
        <v>1.49E-2</v>
      </c>
      <c r="AA13" s="593">
        <v>-2.2800000000000004E-2</v>
      </c>
    </row>
    <row r="14" spans="1:27">
      <c r="A14" s="585" t="s">
        <v>112</v>
      </c>
      <c r="C14" s="586">
        <v>640561243</v>
      </c>
      <c r="E14" s="591">
        <v>11.536099999999999</v>
      </c>
      <c r="F14" s="592" t="s">
        <v>108</v>
      </c>
      <c r="G14" s="589">
        <v>73895786</v>
      </c>
      <c r="I14" s="593">
        <v>4.0599999999999997E-2</v>
      </c>
      <c r="J14" s="592"/>
      <c r="K14" s="589">
        <v>3000168.9115999998</v>
      </c>
      <c r="M14" s="593">
        <v>1.49E-2</v>
      </c>
      <c r="N14" s="592"/>
      <c r="O14" s="589">
        <v>734031.47426666657</v>
      </c>
      <c r="Q14" s="593">
        <v>-2.2800000000000001E-2</v>
      </c>
      <c r="R14" s="592"/>
      <c r="S14" s="589">
        <v>-1684823.9208</v>
      </c>
      <c r="U14" s="600" t="s">
        <v>508</v>
      </c>
      <c r="V14" s="601">
        <v>22381567.012246758</v>
      </c>
      <c r="W14" s="602">
        <v>5477340.1822976898</v>
      </c>
      <c r="X14" s="601">
        <v>-12570687.082862206</v>
      </c>
      <c r="Y14" s="593">
        <v>4.0599999999999997E-2</v>
      </c>
      <c r="Z14" s="593">
        <v>1.4899999999999997E-2</v>
      </c>
      <c r="AA14" s="593">
        <v>-2.2800000000000001E-2</v>
      </c>
    </row>
    <row r="15" spans="1:27">
      <c r="A15" s="585" t="s">
        <v>114</v>
      </c>
      <c r="C15" s="586">
        <v>3493176837</v>
      </c>
      <c r="E15" s="603">
        <v>7.8009000000000004</v>
      </c>
      <c r="F15" s="592" t="s">
        <v>108</v>
      </c>
      <c r="G15" s="589">
        <v>272499232</v>
      </c>
      <c r="I15" s="593">
        <v>4.0599999999999997E-2</v>
      </c>
      <c r="J15" s="592"/>
      <c r="K15" s="589">
        <v>11063468.8192</v>
      </c>
      <c r="M15" s="593">
        <v>1.49E-2</v>
      </c>
      <c r="N15" s="592"/>
      <c r="O15" s="589">
        <v>2706825.7045333334</v>
      </c>
      <c r="Q15" s="593">
        <v>-2.2800000000000001E-2</v>
      </c>
      <c r="R15" s="592"/>
      <c r="S15" s="589">
        <v>-6212982.4896</v>
      </c>
      <c r="U15" s="604" t="s">
        <v>509</v>
      </c>
      <c r="V15" s="601">
        <v>22390189.4188</v>
      </c>
      <c r="W15" s="602">
        <v>5478059.4801333323</v>
      </c>
      <c r="X15" s="601">
        <v>-12573800.954399999</v>
      </c>
      <c r="Y15" s="593">
        <v>4.0599999999999997E-2</v>
      </c>
      <c r="Z15" s="593">
        <v>1.4900000000000002E-2</v>
      </c>
      <c r="AA15" s="593">
        <v>-2.2800000000000001E-2</v>
      </c>
    </row>
    <row r="16" spans="1:27">
      <c r="A16" s="585" t="s">
        <v>116</v>
      </c>
      <c r="C16" s="586">
        <v>118231</v>
      </c>
      <c r="E16" s="587">
        <v>3.78</v>
      </c>
      <c r="F16" s="588"/>
      <c r="G16" s="589">
        <v>446913</v>
      </c>
      <c r="I16" s="605"/>
      <c r="J16" s="588"/>
      <c r="K16" s="589"/>
      <c r="M16" s="605"/>
      <c r="N16" s="588"/>
      <c r="O16" s="589"/>
      <c r="Q16" s="605"/>
      <c r="R16" s="588"/>
      <c r="S16" s="589"/>
      <c r="U16" s="606" t="s">
        <v>22</v>
      </c>
      <c r="V16" s="607">
        <v>8622.4065532423556</v>
      </c>
      <c r="W16" s="608">
        <v>719.29783564247191</v>
      </c>
      <c r="X16" s="607">
        <v>-3113.8715377934277</v>
      </c>
    </row>
    <row r="17" spans="1:27">
      <c r="A17" s="585" t="s">
        <v>118</v>
      </c>
      <c r="C17" s="586">
        <v>536</v>
      </c>
      <c r="E17" s="587">
        <v>11.34</v>
      </c>
      <c r="F17" s="609"/>
      <c r="G17" s="589">
        <v>6078</v>
      </c>
      <c r="I17" s="605"/>
      <c r="J17" s="609"/>
      <c r="K17" s="589"/>
      <c r="M17" s="605"/>
      <c r="N17" s="609"/>
      <c r="O17" s="589"/>
      <c r="Q17" s="605"/>
      <c r="R17" s="609"/>
      <c r="S17" s="589"/>
      <c r="U17" s="593" t="s">
        <v>510</v>
      </c>
      <c r="V17" s="610">
        <v>4.0584365040441876E-2</v>
      </c>
      <c r="W17" s="611">
        <v>1.4898043552139228E-2</v>
      </c>
      <c r="X17" s="610">
        <v>-2.279435363488581E-2</v>
      </c>
    </row>
    <row r="18" spans="1:27">
      <c r="A18" s="585" t="s">
        <v>120</v>
      </c>
      <c r="C18" s="586">
        <v>0</v>
      </c>
      <c r="E18" s="587">
        <v>47.36</v>
      </c>
      <c r="F18" s="612"/>
      <c r="G18" s="589">
        <v>0</v>
      </c>
      <c r="I18" s="605"/>
      <c r="J18" s="612"/>
      <c r="K18" s="613"/>
      <c r="M18" s="605"/>
      <c r="N18" s="612"/>
      <c r="O18" s="613"/>
      <c r="Q18" s="605"/>
      <c r="R18" s="612"/>
      <c r="S18" s="613"/>
    </row>
    <row r="19" spans="1:27">
      <c r="A19" s="614" t="s">
        <v>122</v>
      </c>
      <c r="C19" s="615">
        <v>623648.26532554626</v>
      </c>
      <c r="E19" s="603"/>
      <c r="F19" s="592"/>
      <c r="G19" s="613"/>
      <c r="I19" s="616"/>
      <c r="J19" s="592"/>
      <c r="K19" s="613"/>
      <c r="M19" s="616"/>
      <c r="N19" s="592"/>
      <c r="O19" s="613"/>
      <c r="Q19" s="616"/>
      <c r="R19" s="592"/>
      <c r="S19" s="613"/>
    </row>
    <row r="20" spans="1:27">
      <c r="A20" s="614" t="s">
        <v>124</v>
      </c>
      <c r="C20" s="586">
        <v>277180</v>
      </c>
      <c r="E20" s="603">
        <v>0</v>
      </c>
      <c r="F20" s="592"/>
      <c r="G20" s="589"/>
      <c r="I20" s="616"/>
      <c r="J20" s="592"/>
      <c r="K20" s="589"/>
      <c r="M20" s="616"/>
      <c r="N20" s="592"/>
      <c r="O20" s="589"/>
      <c r="Q20" s="616"/>
      <c r="R20" s="592"/>
      <c r="S20" s="589"/>
    </row>
    <row r="21" spans="1:27">
      <c r="A21" s="614" t="s">
        <v>126</v>
      </c>
      <c r="C21" s="586">
        <v>315212</v>
      </c>
      <c r="E21" s="603">
        <v>0</v>
      </c>
      <c r="F21" s="592"/>
      <c r="G21" s="589"/>
      <c r="I21" s="616"/>
      <c r="J21" s="592"/>
      <c r="K21" s="589"/>
      <c r="M21" s="616"/>
      <c r="N21" s="592"/>
      <c r="O21" s="589"/>
      <c r="Q21" s="616"/>
      <c r="R21" s="592"/>
      <c r="S21" s="589"/>
    </row>
    <row r="22" spans="1:27">
      <c r="A22" s="614" t="s">
        <v>128</v>
      </c>
      <c r="B22" s="572"/>
      <c r="C22" s="586">
        <v>14186</v>
      </c>
      <c r="E22" s="603"/>
      <c r="F22" s="592"/>
      <c r="G22" s="589"/>
      <c r="I22" s="616"/>
      <c r="J22" s="592"/>
      <c r="K22" s="589"/>
      <c r="M22" s="616"/>
      <c r="N22" s="592"/>
      <c r="O22" s="589"/>
      <c r="Q22" s="616"/>
      <c r="R22" s="592"/>
      <c r="S22" s="589"/>
    </row>
    <row r="23" spans="1:27">
      <c r="A23" s="614" t="s">
        <v>130</v>
      </c>
      <c r="B23" s="572"/>
      <c r="C23" s="615">
        <v>17070.265325546265</v>
      </c>
      <c r="E23" s="603"/>
      <c r="F23" s="592"/>
      <c r="G23" s="589"/>
      <c r="I23" s="616"/>
      <c r="J23" s="592"/>
      <c r="K23" s="589"/>
      <c r="M23" s="616"/>
      <c r="N23" s="592"/>
      <c r="O23" s="589"/>
      <c r="Q23" s="616"/>
      <c r="R23" s="592"/>
      <c r="S23" s="589"/>
    </row>
    <row r="24" spans="1:27">
      <c r="A24" s="585" t="s">
        <v>132</v>
      </c>
      <c r="C24" s="617">
        <v>0</v>
      </c>
      <c r="G24" s="618"/>
      <c r="K24" s="618"/>
      <c r="O24" s="618"/>
      <c r="S24" s="618"/>
    </row>
    <row r="25" spans="1:27" s="623" customFormat="1" ht="16.5" thickBot="1">
      <c r="A25" s="585" t="s">
        <v>134</v>
      </c>
      <c r="B25" s="560"/>
      <c r="C25" s="619">
        <v>6399113060.2653255</v>
      </c>
      <c r="D25" s="572"/>
      <c r="E25" s="620"/>
      <c r="F25" s="572"/>
      <c r="G25" s="621">
        <v>565932960</v>
      </c>
      <c r="H25" s="572"/>
      <c r="I25" s="622"/>
      <c r="J25" s="572"/>
      <c r="K25" s="621">
        <v>21722886.4384</v>
      </c>
      <c r="L25" s="572"/>
      <c r="M25" s="622"/>
      <c r="N25" s="572"/>
      <c r="O25" s="621">
        <v>5314794.8757333327</v>
      </c>
      <c r="P25" s="572"/>
      <c r="Q25" s="622"/>
      <c r="R25" s="572"/>
      <c r="S25" s="621">
        <v>-12199059.3792</v>
      </c>
      <c r="V25" s="593">
        <v>3.838420444428612E-2</v>
      </c>
      <c r="W25" s="593">
        <v>1.4086813946302049E-2</v>
      </c>
      <c r="X25" s="593">
        <v>-2.1555661609106491E-2</v>
      </c>
      <c r="Y25" s="593">
        <v>3.838420444428612E-2</v>
      </c>
      <c r="Z25" s="593">
        <v>1.4086813946302047E-2</v>
      </c>
      <c r="AA25" s="593">
        <v>-2.1555661609106491E-2</v>
      </c>
    </row>
    <row r="26" spans="1:27" ht="16.5" thickTop="1">
      <c r="C26" s="624"/>
    </row>
    <row r="27" spans="1:27">
      <c r="A27" s="562" t="s">
        <v>137</v>
      </c>
      <c r="C27" s="571"/>
    </row>
    <row r="28" spans="1:27">
      <c r="A28" s="585" t="s">
        <v>104</v>
      </c>
      <c r="C28" s="615">
        <v>286598.3222260169</v>
      </c>
      <c r="E28" s="587">
        <v>3.75</v>
      </c>
      <c r="F28" s="625"/>
      <c r="G28" s="589">
        <v>1074744</v>
      </c>
      <c r="I28" s="626"/>
      <c r="J28" s="625"/>
      <c r="K28" s="589"/>
      <c r="M28" s="626"/>
      <c r="N28" s="625"/>
      <c r="O28" s="589"/>
      <c r="Q28" s="626"/>
      <c r="R28" s="625"/>
      <c r="S28" s="589"/>
    </row>
    <row r="29" spans="1:27">
      <c r="A29" s="585" t="s">
        <v>107</v>
      </c>
      <c r="C29" s="586">
        <v>45997068.495300777</v>
      </c>
      <c r="E29" s="603">
        <v>7.5292000000000003</v>
      </c>
      <c r="F29" s="592" t="s">
        <v>108</v>
      </c>
      <c r="G29" s="589">
        <v>3463211</v>
      </c>
      <c r="I29" s="626">
        <v>4.0599999999999997E-2</v>
      </c>
      <c r="J29" s="592"/>
      <c r="K29" s="589">
        <v>140606.36659999998</v>
      </c>
      <c r="M29" s="626">
        <v>1.49E-2</v>
      </c>
      <c r="N29" s="592"/>
      <c r="O29" s="589">
        <v>34401.229266666669</v>
      </c>
      <c r="Q29" s="626">
        <v>-2.2800000000000001E-2</v>
      </c>
      <c r="R29" s="592"/>
      <c r="S29" s="589">
        <v>-78961.210800000001</v>
      </c>
      <c r="U29" s="593"/>
      <c r="V29" s="593"/>
      <c r="W29" s="627"/>
      <c r="X29" s="593"/>
      <c r="Y29" s="593">
        <v>4.0599999999999997E-2</v>
      </c>
      <c r="Z29" s="593">
        <v>1.49E-2</v>
      </c>
      <c r="AA29" s="593">
        <v>-2.2800000000000001E-2</v>
      </c>
    </row>
    <row r="30" spans="1:27">
      <c r="A30" s="585" t="s">
        <v>110</v>
      </c>
      <c r="C30" s="586">
        <v>28555821.107309479</v>
      </c>
      <c r="E30" s="603">
        <v>9.2749000000000006</v>
      </c>
      <c r="F30" s="592" t="s">
        <v>108</v>
      </c>
      <c r="G30" s="589">
        <v>2648524</v>
      </c>
      <c r="I30" s="626">
        <v>4.0599999999999997E-2</v>
      </c>
      <c r="J30" s="592"/>
      <c r="K30" s="589">
        <v>107530.0744</v>
      </c>
      <c r="M30" s="626">
        <v>1.49E-2</v>
      </c>
      <c r="N30" s="592"/>
      <c r="O30" s="589">
        <v>26308.671733333333</v>
      </c>
      <c r="Q30" s="626">
        <v>-2.2800000000000001E-2</v>
      </c>
      <c r="R30" s="592"/>
      <c r="S30" s="589">
        <v>-60386.347200000004</v>
      </c>
      <c r="U30" s="593"/>
      <c r="V30" s="593"/>
      <c r="W30" s="627"/>
      <c r="X30" s="593"/>
      <c r="Y30" s="593">
        <v>4.0599999999999997E-2</v>
      </c>
      <c r="Z30" s="593">
        <v>1.4899999999999998E-2</v>
      </c>
      <c r="AA30" s="593">
        <v>-2.2800000000000001E-2</v>
      </c>
    </row>
    <row r="31" spans="1:27">
      <c r="A31" s="585" t="s">
        <v>112</v>
      </c>
      <c r="C31" s="586">
        <v>8161320.6696636202</v>
      </c>
      <c r="E31" s="603">
        <v>11.536099999999999</v>
      </c>
      <c r="F31" s="592" t="s">
        <v>108</v>
      </c>
      <c r="G31" s="589">
        <v>941498</v>
      </c>
      <c r="I31" s="626">
        <v>4.0599999999999997E-2</v>
      </c>
      <c r="J31" s="592"/>
      <c r="K31" s="589">
        <v>38224.818800000001</v>
      </c>
      <c r="M31" s="626">
        <v>1.49E-2</v>
      </c>
      <c r="N31" s="592"/>
      <c r="O31" s="589">
        <v>9352.2134666666661</v>
      </c>
      <c r="Q31" s="626">
        <v>-2.2800000000000001E-2</v>
      </c>
      <c r="R31" s="592"/>
      <c r="S31" s="589">
        <v>-21466.154399999999</v>
      </c>
      <c r="U31" s="593"/>
      <c r="V31" s="593"/>
      <c r="W31" s="627"/>
      <c r="X31" s="593"/>
      <c r="Y31" s="593">
        <v>4.0600000000000004E-2</v>
      </c>
      <c r="Z31" s="593">
        <v>1.4899999999999998E-2</v>
      </c>
      <c r="AA31" s="593">
        <v>-2.2800000000000001E-2</v>
      </c>
    </row>
    <row r="32" spans="1:27">
      <c r="A32" s="585" t="s">
        <v>114</v>
      </c>
      <c r="C32" s="586">
        <v>117397728.52484001</v>
      </c>
      <c r="E32" s="603">
        <v>7.8009000000000004</v>
      </c>
      <c r="F32" s="592" t="s">
        <v>108</v>
      </c>
      <c r="G32" s="589">
        <v>9158079</v>
      </c>
      <c r="I32" s="626">
        <v>4.0599999999999997E-2</v>
      </c>
      <c r="J32" s="592"/>
      <c r="K32" s="589">
        <v>371818.0074</v>
      </c>
      <c r="M32" s="626">
        <v>1.49E-2</v>
      </c>
      <c r="N32" s="592"/>
      <c r="O32" s="589">
        <v>90970.251400000008</v>
      </c>
      <c r="Q32" s="626">
        <v>-2.2800000000000001E-2</v>
      </c>
      <c r="R32" s="592"/>
      <c r="S32" s="589">
        <v>-208804.20120000001</v>
      </c>
      <c r="U32" s="593"/>
      <c r="V32" s="593"/>
      <c r="W32" s="627"/>
      <c r="X32" s="593"/>
      <c r="Y32" s="593">
        <v>4.0599999999999997E-2</v>
      </c>
      <c r="Z32" s="593">
        <v>1.4900000000000002E-2</v>
      </c>
      <c r="AA32" s="593">
        <v>-2.2800000000000001E-2</v>
      </c>
    </row>
    <row r="33" spans="1:27">
      <c r="A33" s="585" t="s">
        <v>116</v>
      </c>
      <c r="C33" s="615">
        <v>1167</v>
      </c>
      <c r="E33" s="587">
        <v>3.78</v>
      </c>
      <c r="F33" s="625"/>
      <c r="G33" s="589">
        <v>4411</v>
      </c>
      <c r="I33" s="626"/>
      <c r="J33" s="625"/>
      <c r="K33" s="589"/>
      <c r="M33" s="626"/>
      <c r="N33" s="625"/>
      <c r="O33" s="589"/>
      <c r="Q33" s="626"/>
      <c r="R33" s="625"/>
      <c r="S33" s="589"/>
    </row>
    <row r="34" spans="1:27">
      <c r="A34" s="585" t="s">
        <v>118</v>
      </c>
      <c r="C34" s="615">
        <v>10</v>
      </c>
      <c r="E34" s="587">
        <v>11.34</v>
      </c>
      <c r="F34" s="625"/>
      <c r="G34" s="589">
        <v>113</v>
      </c>
      <c r="I34" s="626"/>
      <c r="J34" s="625"/>
      <c r="K34" s="589"/>
      <c r="M34" s="626"/>
      <c r="N34" s="625"/>
      <c r="O34" s="589"/>
      <c r="Q34" s="626"/>
      <c r="R34" s="625"/>
      <c r="S34" s="589"/>
    </row>
    <row r="35" spans="1:27">
      <c r="A35" s="585" t="s">
        <v>120</v>
      </c>
      <c r="C35" s="615">
        <v>0</v>
      </c>
      <c r="E35" s="587">
        <v>47.36</v>
      </c>
      <c r="F35" s="625"/>
      <c r="G35" s="589">
        <v>0</v>
      </c>
      <c r="I35" s="626"/>
      <c r="J35" s="625"/>
      <c r="K35" s="613"/>
      <c r="M35" s="626"/>
      <c r="N35" s="625"/>
      <c r="O35" s="613"/>
      <c r="Q35" s="626"/>
      <c r="R35" s="625"/>
      <c r="S35" s="613"/>
    </row>
    <row r="36" spans="1:27">
      <c r="A36" s="614" t="s">
        <v>122</v>
      </c>
      <c r="B36" s="572"/>
      <c r="C36" s="615">
        <v>7140.4604920231486</v>
      </c>
      <c r="E36" s="628"/>
      <c r="F36" s="592"/>
      <c r="G36" s="613"/>
      <c r="I36" s="629"/>
      <c r="J36" s="592"/>
      <c r="K36" s="613"/>
      <c r="M36" s="629"/>
      <c r="N36" s="592"/>
      <c r="O36" s="613"/>
      <c r="Q36" s="629"/>
      <c r="R36" s="592"/>
      <c r="S36" s="613"/>
    </row>
    <row r="37" spans="1:27">
      <c r="A37" s="614" t="s">
        <v>124</v>
      </c>
      <c r="B37" s="572"/>
      <c r="C37" s="586">
        <v>2395.8556453019487</v>
      </c>
      <c r="E37" s="628">
        <v>0</v>
      </c>
      <c r="F37" s="592"/>
      <c r="G37" s="589"/>
      <c r="I37" s="629"/>
      <c r="J37" s="592"/>
      <c r="K37" s="613"/>
      <c r="M37" s="629"/>
      <c r="N37" s="592"/>
      <c r="O37" s="613"/>
      <c r="Q37" s="629"/>
      <c r="R37" s="592"/>
      <c r="S37" s="613"/>
    </row>
    <row r="38" spans="1:27" s="623" customFormat="1">
      <c r="A38" s="614" t="s">
        <v>126</v>
      </c>
      <c r="B38" s="560"/>
      <c r="C38" s="586">
        <v>3782.756992788125</v>
      </c>
      <c r="D38" s="572"/>
      <c r="E38" s="628">
        <v>0</v>
      </c>
      <c r="F38" s="592"/>
      <c r="G38" s="589"/>
      <c r="H38" s="572"/>
      <c r="I38" s="629"/>
      <c r="J38" s="592"/>
      <c r="K38" s="613"/>
      <c r="L38" s="572"/>
      <c r="M38" s="629"/>
      <c r="N38" s="592"/>
      <c r="O38" s="613"/>
      <c r="P38" s="572"/>
      <c r="Q38" s="629"/>
      <c r="R38" s="592"/>
      <c r="S38" s="613"/>
    </row>
    <row r="39" spans="1:27" s="623" customFormat="1">
      <c r="A39" s="614" t="s">
        <v>128</v>
      </c>
      <c r="B39" s="572"/>
      <c r="C39" s="586">
        <v>419.57600006888265</v>
      </c>
      <c r="D39" s="572"/>
      <c r="E39" s="628"/>
      <c r="F39" s="592"/>
      <c r="G39" s="589"/>
      <c r="H39" s="572"/>
      <c r="I39" s="629"/>
      <c r="J39" s="592"/>
      <c r="K39" s="613"/>
      <c r="L39" s="572"/>
      <c r="M39" s="629"/>
      <c r="N39" s="592"/>
      <c r="O39" s="613"/>
      <c r="P39" s="572"/>
      <c r="Q39" s="629"/>
      <c r="R39" s="592"/>
      <c r="S39" s="613"/>
    </row>
    <row r="40" spans="1:27" s="623" customFormat="1">
      <c r="A40" s="614" t="s">
        <v>130</v>
      </c>
      <c r="B40" s="560"/>
      <c r="C40" s="615">
        <v>542.27185386419296</v>
      </c>
      <c r="D40" s="572"/>
      <c r="E40" s="628"/>
      <c r="F40" s="592"/>
      <c r="G40" s="589"/>
      <c r="H40" s="572"/>
      <c r="I40" s="629"/>
      <c r="J40" s="592"/>
      <c r="K40" s="613"/>
      <c r="L40" s="572"/>
      <c r="M40" s="629"/>
      <c r="N40" s="592"/>
      <c r="O40" s="613"/>
      <c r="P40" s="572"/>
      <c r="Q40" s="629"/>
      <c r="R40" s="592"/>
      <c r="S40" s="613"/>
    </row>
    <row r="41" spans="1:27">
      <c r="A41" s="585" t="s">
        <v>132</v>
      </c>
      <c r="C41" s="617">
        <v>0</v>
      </c>
      <c r="G41" s="618"/>
      <c r="K41" s="618"/>
      <c r="O41" s="618"/>
      <c r="S41" s="618"/>
    </row>
    <row r="42" spans="1:27" ht="16.5" thickBot="1">
      <c r="A42" s="585" t="s">
        <v>134</v>
      </c>
      <c r="C42" s="619">
        <v>200119079.25760591</v>
      </c>
      <c r="E42" s="620"/>
      <c r="G42" s="621">
        <v>17290580</v>
      </c>
      <c r="I42" s="622"/>
      <c r="K42" s="621">
        <v>658179.2672</v>
      </c>
      <c r="M42" s="622"/>
      <c r="O42" s="621">
        <v>161032.36586666666</v>
      </c>
      <c r="Q42" s="622"/>
      <c r="S42" s="621">
        <v>-369617.91360000003</v>
      </c>
      <c r="V42" s="593">
        <v>3.8065771489446856E-2</v>
      </c>
      <c r="W42" s="593">
        <v>1.3969950620511283E-2</v>
      </c>
      <c r="X42" s="593">
        <v>-2.137683719111794E-2</v>
      </c>
      <c r="Y42" s="593">
        <v>3.8065771489446856E-2</v>
      </c>
      <c r="Z42" s="593">
        <v>1.3969950620511283E-2</v>
      </c>
      <c r="AA42" s="593">
        <v>-2.137683719111794E-2</v>
      </c>
    </row>
    <row r="43" spans="1:27" ht="16.5" thickTop="1">
      <c r="C43" s="571"/>
    </row>
    <row r="44" spans="1:27">
      <c r="A44" s="562" t="s">
        <v>142</v>
      </c>
      <c r="C44" s="571"/>
    </row>
    <row r="45" spans="1:27">
      <c r="A45" s="585" t="s">
        <v>104</v>
      </c>
      <c r="C45" s="615">
        <v>3588.4637128274585</v>
      </c>
      <c r="E45" s="587">
        <v>3.75</v>
      </c>
      <c r="F45" s="625"/>
      <c r="G45" s="589">
        <v>13457</v>
      </c>
      <c r="I45" s="626"/>
      <c r="J45" s="625"/>
      <c r="K45" s="589"/>
      <c r="M45" s="626"/>
      <c r="N45" s="625"/>
      <c r="O45" s="589"/>
      <c r="Q45" s="626"/>
      <c r="R45" s="625"/>
      <c r="S45" s="589"/>
    </row>
    <row r="46" spans="1:27">
      <c r="A46" s="585" t="s">
        <v>143</v>
      </c>
      <c r="C46" s="615">
        <v>248161.68689175072</v>
      </c>
      <c r="E46" s="630">
        <v>4.3761999999999999</v>
      </c>
      <c r="F46" s="592" t="s">
        <v>108</v>
      </c>
      <c r="G46" s="589">
        <v>10860</v>
      </c>
      <c r="I46" s="590"/>
      <c r="J46" s="592"/>
      <c r="K46" s="589"/>
      <c r="M46" s="590"/>
      <c r="N46" s="592"/>
      <c r="O46" s="589"/>
      <c r="Q46" s="590"/>
      <c r="R46" s="592"/>
      <c r="S46" s="589"/>
    </row>
    <row r="47" spans="1:27">
      <c r="A47" s="585" t="s">
        <v>144</v>
      </c>
      <c r="C47" s="615">
        <v>864799.28589865856</v>
      </c>
      <c r="E47" s="630">
        <v>-1.4014</v>
      </c>
      <c r="F47" s="592" t="s">
        <v>108</v>
      </c>
      <c r="G47" s="589">
        <v>-12119</v>
      </c>
      <c r="I47" s="590"/>
      <c r="J47" s="592"/>
      <c r="K47" s="589"/>
      <c r="M47" s="590"/>
      <c r="N47" s="592"/>
      <c r="O47" s="589"/>
      <c r="Q47" s="590"/>
      <c r="R47" s="592"/>
      <c r="S47" s="589"/>
    </row>
    <row r="48" spans="1:27">
      <c r="A48" s="585" t="s">
        <v>107</v>
      </c>
      <c r="C48" s="615">
        <v>542279.20117879263</v>
      </c>
      <c r="E48" s="603">
        <v>7.5292000000000003</v>
      </c>
      <c r="F48" s="592" t="s">
        <v>108</v>
      </c>
      <c r="G48" s="589">
        <v>40829</v>
      </c>
      <c r="I48" s="626">
        <v>4.0599999999999997E-2</v>
      </c>
      <c r="J48" s="592"/>
      <c r="K48" s="589">
        <v>1657.6573999999998</v>
      </c>
      <c r="M48" s="626">
        <v>1.49E-2</v>
      </c>
      <c r="N48" s="592"/>
      <c r="O48" s="589">
        <v>405.56806666666665</v>
      </c>
      <c r="Q48" s="626">
        <v>-2.2800000000000001E-2</v>
      </c>
      <c r="R48" s="592"/>
      <c r="S48" s="589">
        <v>-930.90120000000002</v>
      </c>
      <c r="U48" s="593"/>
      <c r="V48" s="593"/>
      <c r="W48" s="627"/>
      <c r="X48" s="593"/>
      <c r="Y48" s="593">
        <v>4.0599999999999997E-2</v>
      </c>
      <c r="Z48" s="593">
        <v>1.49E-2</v>
      </c>
      <c r="AA48" s="593">
        <v>-2.2800000000000001E-2</v>
      </c>
    </row>
    <row r="49" spans="1:27">
      <c r="A49" s="585" t="s">
        <v>110</v>
      </c>
      <c r="C49" s="615">
        <v>390844.03743135341</v>
      </c>
      <c r="E49" s="603">
        <v>9.2749000000000006</v>
      </c>
      <c r="F49" s="592" t="s">
        <v>108</v>
      </c>
      <c r="G49" s="589">
        <v>36250</v>
      </c>
      <c r="I49" s="626">
        <v>4.0599999999999997E-2</v>
      </c>
      <c r="J49" s="592"/>
      <c r="K49" s="589">
        <v>1471.75</v>
      </c>
      <c r="M49" s="626">
        <v>1.49E-2</v>
      </c>
      <c r="N49" s="592"/>
      <c r="O49" s="589">
        <v>360.08333333333331</v>
      </c>
      <c r="Q49" s="626">
        <v>-2.2800000000000001E-2</v>
      </c>
      <c r="R49" s="592"/>
      <c r="S49" s="589">
        <v>-826.5</v>
      </c>
      <c r="U49" s="593"/>
      <c r="V49" s="593"/>
      <c r="W49" s="627"/>
      <c r="X49" s="593"/>
      <c r="Y49" s="593">
        <v>4.0599999999999997E-2</v>
      </c>
      <c r="Z49" s="593">
        <v>1.4899999999999998E-2</v>
      </c>
      <c r="AA49" s="593">
        <v>-2.2800000000000001E-2</v>
      </c>
    </row>
    <row r="50" spans="1:27">
      <c r="A50" s="585" t="s">
        <v>112</v>
      </c>
      <c r="C50" s="615">
        <v>179832.26025080253</v>
      </c>
      <c r="E50" s="603">
        <v>11.536099999999999</v>
      </c>
      <c r="F50" s="592" t="s">
        <v>108</v>
      </c>
      <c r="G50" s="589">
        <v>20746</v>
      </c>
      <c r="I50" s="626">
        <v>4.0599999999999997E-2</v>
      </c>
      <c r="J50" s="592"/>
      <c r="K50" s="589">
        <v>842.2876</v>
      </c>
      <c r="M50" s="626">
        <v>1.49E-2</v>
      </c>
      <c r="N50" s="592"/>
      <c r="O50" s="589">
        <v>206.07693333333336</v>
      </c>
      <c r="Q50" s="626">
        <v>-2.2800000000000001E-2</v>
      </c>
      <c r="R50" s="592"/>
      <c r="S50" s="589">
        <v>-473.00880000000001</v>
      </c>
      <c r="U50" s="593"/>
      <c r="V50" s="593"/>
      <c r="W50" s="627"/>
      <c r="X50" s="593"/>
      <c r="Y50" s="593">
        <v>4.0599999999999997E-2</v>
      </c>
      <c r="Z50" s="593">
        <v>1.4900000000000002E-2</v>
      </c>
      <c r="AA50" s="593">
        <v>-2.2800000000000001E-2</v>
      </c>
    </row>
    <row r="51" spans="1:27">
      <c r="A51" s="585" t="s">
        <v>114</v>
      </c>
      <c r="C51" s="615">
        <v>1626697.3178143469</v>
      </c>
      <c r="E51" s="603">
        <v>7.8009000000000004</v>
      </c>
      <c r="F51" s="592" t="s">
        <v>108</v>
      </c>
      <c r="G51" s="589">
        <v>126897</v>
      </c>
      <c r="I51" s="626">
        <v>4.0599999999999997E-2</v>
      </c>
      <c r="J51" s="592"/>
      <c r="K51" s="589">
        <v>5152.0181999999995</v>
      </c>
      <c r="M51" s="626">
        <v>1.49E-2</v>
      </c>
      <c r="N51" s="592"/>
      <c r="O51" s="589">
        <v>1260.5101999999999</v>
      </c>
      <c r="Q51" s="626">
        <v>-2.2800000000000001E-2</v>
      </c>
      <c r="R51" s="592"/>
      <c r="S51" s="589">
        <v>-2893.2516000000001</v>
      </c>
      <c r="U51" s="593"/>
      <c r="V51" s="593"/>
      <c r="W51" s="627"/>
      <c r="X51" s="593"/>
      <c r="Y51" s="593">
        <v>4.0599999999999997E-2</v>
      </c>
      <c r="Z51" s="593">
        <v>1.49E-2</v>
      </c>
      <c r="AA51" s="593">
        <v>-2.2800000000000001E-2</v>
      </c>
    </row>
    <row r="52" spans="1:27">
      <c r="A52" s="585" t="s">
        <v>116</v>
      </c>
      <c r="C52" s="615">
        <v>76</v>
      </c>
      <c r="E52" s="587">
        <v>3.78</v>
      </c>
      <c r="F52" s="625"/>
      <c r="G52" s="589">
        <v>287</v>
      </c>
      <c r="I52" s="626"/>
      <c r="J52" s="625"/>
      <c r="K52" s="589"/>
      <c r="M52" s="626"/>
      <c r="N52" s="625"/>
      <c r="O52" s="589"/>
      <c r="Q52" s="626"/>
      <c r="R52" s="625"/>
      <c r="S52" s="589"/>
    </row>
    <row r="53" spans="1:27" s="623" customFormat="1">
      <c r="A53" s="585" t="s">
        <v>118</v>
      </c>
      <c r="B53" s="560"/>
      <c r="C53" s="615">
        <v>10</v>
      </c>
      <c r="D53" s="572"/>
      <c r="E53" s="587">
        <v>11.34</v>
      </c>
      <c r="F53" s="625"/>
      <c r="G53" s="589">
        <v>113</v>
      </c>
      <c r="H53" s="572"/>
      <c r="I53" s="626"/>
      <c r="J53" s="625"/>
      <c r="K53" s="589"/>
      <c r="L53" s="572"/>
      <c r="M53" s="626"/>
      <c r="N53" s="625"/>
      <c r="O53" s="589"/>
      <c r="P53" s="572"/>
      <c r="Q53" s="626"/>
      <c r="R53" s="625"/>
      <c r="S53" s="589"/>
    </row>
    <row r="54" spans="1:27" s="623" customFormat="1">
      <c r="A54" s="585" t="s">
        <v>120</v>
      </c>
      <c r="B54" s="560"/>
      <c r="C54" s="615">
        <v>0</v>
      </c>
      <c r="D54" s="572"/>
      <c r="E54" s="587">
        <v>47.36</v>
      </c>
      <c r="F54" s="625"/>
      <c r="G54" s="589">
        <v>0</v>
      </c>
      <c r="H54" s="572"/>
      <c r="I54" s="626"/>
      <c r="J54" s="625"/>
      <c r="K54" s="589"/>
      <c r="L54" s="572"/>
      <c r="M54" s="626"/>
      <c r="N54" s="625"/>
      <c r="O54" s="589"/>
      <c r="P54" s="572"/>
      <c r="Q54" s="626"/>
      <c r="R54" s="625"/>
      <c r="S54" s="589"/>
    </row>
    <row r="55" spans="1:27" s="623" customFormat="1">
      <c r="A55" s="614" t="s">
        <v>122</v>
      </c>
      <c r="B55" s="572"/>
      <c r="C55" s="615">
        <v>423.68214026631108</v>
      </c>
      <c r="D55" s="572"/>
      <c r="E55" s="628"/>
      <c r="F55" s="592"/>
      <c r="G55" s="613"/>
      <c r="H55" s="572"/>
      <c r="I55" s="629"/>
      <c r="J55" s="592"/>
      <c r="K55" s="613"/>
      <c r="L55" s="572"/>
      <c r="M55" s="629"/>
      <c r="N55" s="592"/>
      <c r="O55" s="613"/>
      <c r="P55" s="572"/>
      <c r="Q55" s="629"/>
      <c r="R55" s="592"/>
      <c r="S55" s="613"/>
    </row>
    <row r="56" spans="1:27">
      <c r="A56" s="614" t="s">
        <v>124</v>
      </c>
      <c r="B56" s="572"/>
      <c r="C56" s="615">
        <v>126.99516349081104</v>
      </c>
      <c r="E56" s="628">
        <v>0</v>
      </c>
      <c r="F56" s="592"/>
      <c r="G56" s="589"/>
      <c r="I56" s="629"/>
      <c r="J56" s="592"/>
      <c r="K56" s="613"/>
      <c r="M56" s="629"/>
      <c r="N56" s="592"/>
      <c r="O56" s="613"/>
      <c r="Q56" s="629"/>
      <c r="R56" s="592"/>
      <c r="S56" s="613"/>
    </row>
    <row r="57" spans="1:27">
      <c r="A57" s="614" t="s">
        <v>126</v>
      </c>
      <c r="C57" s="615">
        <v>99.62551618675694</v>
      </c>
      <c r="E57" s="628">
        <v>0</v>
      </c>
      <c r="F57" s="592"/>
      <c r="G57" s="589"/>
      <c r="I57" s="629"/>
      <c r="J57" s="592"/>
      <c r="K57" s="613"/>
      <c r="M57" s="629"/>
      <c r="N57" s="592"/>
      <c r="O57" s="613"/>
      <c r="Q57" s="629"/>
      <c r="R57" s="592"/>
      <c r="S57" s="613"/>
    </row>
    <row r="58" spans="1:27">
      <c r="A58" s="614" t="s">
        <v>128</v>
      </c>
      <c r="B58" s="572"/>
      <c r="C58" s="615">
        <v>194.87188880486522</v>
      </c>
      <c r="E58" s="628"/>
      <c r="F58" s="592"/>
      <c r="G58" s="589"/>
      <c r="I58" s="629"/>
      <c r="J58" s="592"/>
      <c r="K58" s="613"/>
      <c r="M58" s="629"/>
      <c r="N58" s="592"/>
      <c r="O58" s="613"/>
      <c r="Q58" s="629"/>
      <c r="R58" s="592"/>
      <c r="S58" s="613"/>
    </row>
    <row r="59" spans="1:27">
      <c r="A59" s="614" t="s">
        <v>130</v>
      </c>
      <c r="C59" s="615">
        <v>2.1895717838779092</v>
      </c>
      <c r="E59" s="628"/>
      <c r="F59" s="592"/>
      <c r="G59" s="589"/>
      <c r="I59" s="629"/>
      <c r="J59" s="592"/>
      <c r="K59" s="613"/>
      <c r="M59" s="629"/>
      <c r="N59" s="592"/>
      <c r="O59" s="613"/>
      <c r="Q59" s="629"/>
      <c r="R59" s="592"/>
      <c r="S59" s="613"/>
    </row>
    <row r="60" spans="1:27">
      <c r="A60" s="585" t="s">
        <v>132</v>
      </c>
      <c r="C60" s="617">
        <v>0</v>
      </c>
      <c r="G60" s="618"/>
      <c r="K60" s="618"/>
      <c r="O60" s="618"/>
      <c r="S60" s="618"/>
    </row>
    <row r="61" spans="1:27" ht="16.5" thickBot="1">
      <c r="A61" s="585" t="s">
        <v>134</v>
      </c>
      <c r="C61" s="619">
        <v>2740076.4988155621</v>
      </c>
      <c r="E61" s="631"/>
      <c r="G61" s="632">
        <v>237320</v>
      </c>
      <c r="I61" s="633"/>
      <c r="K61" s="632">
        <v>9123.7132000000001</v>
      </c>
      <c r="M61" s="633"/>
      <c r="O61" s="632">
        <v>2232.2385333333332</v>
      </c>
      <c r="Q61" s="633"/>
      <c r="S61" s="632">
        <v>-5123.6615999999995</v>
      </c>
      <c r="V61" s="593">
        <v>3.844477161638294E-2</v>
      </c>
      <c r="W61" s="593">
        <v>1.410904180010113E-2</v>
      </c>
      <c r="X61" s="593">
        <v>-2.1589674700825887E-2</v>
      </c>
      <c r="Y61" s="593">
        <v>3.844477161638294E-2</v>
      </c>
      <c r="Z61" s="593">
        <v>1.4109041800101127E-2</v>
      </c>
      <c r="AA61" s="593">
        <v>-2.1589674700825887E-2</v>
      </c>
    </row>
    <row r="62" spans="1:27" ht="16.5" thickTop="1">
      <c r="C62" s="571"/>
    </row>
    <row r="63" spans="1:27">
      <c r="A63" s="562" t="s">
        <v>146</v>
      </c>
      <c r="C63" s="571"/>
    </row>
    <row r="64" spans="1:27">
      <c r="A64" s="585" t="s">
        <v>104</v>
      </c>
      <c r="C64" s="615">
        <v>132</v>
      </c>
      <c r="E64" s="587">
        <v>20</v>
      </c>
      <c r="F64" s="588"/>
      <c r="G64" s="589">
        <v>2640</v>
      </c>
      <c r="I64" s="616"/>
      <c r="J64" s="588"/>
      <c r="K64" s="589"/>
      <c r="M64" s="616"/>
      <c r="N64" s="588"/>
      <c r="O64" s="589"/>
      <c r="Q64" s="616"/>
      <c r="R64" s="588"/>
      <c r="S64" s="589"/>
      <c r="U64" s="594" t="s">
        <v>511</v>
      </c>
      <c r="V64" s="595"/>
      <c r="W64" s="596"/>
      <c r="X64" s="596"/>
    </row>
    <row r="65" spans="1:27">
      <c r="A65" s="585" t="s">
        <v>147</v>
      </c>
      <c r="C65" s="615">
        <v>28933</v>
      </c>
      <c r="E65" s="587">
        <v>5.6</v>
      </c>
      <c r="F65" s="588"/>
      <c r="G65" s="589">
        <v>162025</v>
      </c>
      <c r="I65" s="616">
        <v>4.53E-2</v>
      </c>
      <c r="J65" s="588"/>
      <c r="K65" s="589">
        <v>7339.7325000000001</v>
      </c>
      <c r="M65" s="616">
        <v>1.67E-2</v>
      </c>
      <c r="N65" s="588"/>
      <c r="O65" s="589">
        <v>1803.8783333333333</v>
      </c>
      <c r="Q65" s="616">
        <v>-2.5399999999999999E-2</v>
      </c>
      <c r="R65" s="588"/>
      <c r="S65" s="589">
        <v>-4115.4349999999995</v>
      </c>
      <c r="U65" s="597"/>
      <c r="V65" s="598" t="s">
        <v>374</v>
      </c>
      <c r="W65" s="599" t="s">
        <v>453</v>
      </c>
      <c r="X65" s="598" t="s">
        <v>454</v>
      </c>
      <c r="Y65" s="593">
        <v>4.53E-2</v>
      </c>
      <c r="Z65" s="593">
        <v>1.67E-2</v>
      </c>
      <c r="AA65" s="593">
        <v>-2.5399999999999995E-2</v>
      </c>
    </row>
    <row r="66" spans="1:27">
      <c r="A66" s="585" t="s">
        <v>148</v>
      </c>
      <c r="C66" s="615">
        <v>19876</v>
      </c>
      <c r="E66" s="587">
        <v>-0.5</v>
      </c>
      <c r="F66" s="588"/>
      <c r="G66" s="589">
        <v>-9938</v>
      </c>
      <c r="I66" s="634"/>
      <c r="J66" s="588"/>
      <c r="K66" s="589"/>
      <c r="M66" s="634"/>
      <c r="N66" s="588"/>
      <c r="O66" s="589"/>
      <c r="Q66" s="634"/>
      <c r="R66" s="588"/>
      <c r="S66" s="589"/>
      <c r="U66" s="600" t="s">
        <v>508</v>
      </c>
      <c r="V66" s="601">
        <v>39720.497352515667</v>
      </c>
      <c r="W66" s="602">
        <v>9745.2060132465831</v>
      </c>
      <c r="X66" s="601">
        <v>-22309.159261320547</v>
      </c>
    </row>
    <row r="67" spans="1:27">
      <c r="A67" s="585" t="s">
        <v>149</v>
      </c>
      <c r="C67" s="615">
        <v>12008765.335020855</v>
      </c>
      <c r="E67" s="603">
        <v>5.9532999999999996</v>
      </c>
      <c r="F67" s="592" t="s">
        <v>108</v>
      </c>
      <c r="G67" s="589">
        <v>714918</v>
      </c>
      <c r="I67" s="616">
        <v>4.53E-2</v>
      </c>
      <c r="J67" s="592"/>
      <c r="K67" s="589">
        <v>32385.785400000001</v>
      </c>
      <c r="M67" s="616">
        <v>1.67E-2</v>
      </c>
      <c r="N67" s="592"/>
      <c r="O67" s="589">
        <v>7959.4204</v>
      </c>
      <c r="Q67" s="616">
        <v>-2.5399999999999999E-2</v>
      </c>
      <c r="R67" s="592"/>
      <c r="S67" s="589">
        <v>-18158.9172</v>
      </c>
      <c r="U67" s="604" t="s">
        <v>509</v>
      </c>
      <c r="V67" s="601">
        <v>39725.517899999999</v>
      </c>
      <c r="W67" s="602">
        <v>9763.2987333333331</v>
      </c>
      <c r="X67" s="601">
        <v>-22274.352200000001</v>
      </c>
      <c r="Y67" s="593">
        <v>4.53E-2</v>
      </c>
      <c r="Z67" s="593">
        <v>1.67E-2</v>
      </c>
      <c r="AA67" s="593">
        <v>-2.5399999999999999E-2</v>
      </c>
    </row>
    <row r="68" spans="1:27">
      <c r="A68" s="585" t="s">
        <v>150</v>
      </c>
      <c r="C68" s="615">
        <v>0</v>
      </c>
      <c r="E68" s="587">
        <v>5</v>
      </c>
      <c r="F68" s="588"/>
      <c r="G68" s="589">
        <v>0</v>
      </c>
      <c r="I68" s="616"/>
      <c r="J68" s="588"/>
      <c r="K68" s="589"/>
      <c r="M68" s="616"/>
      <c r="N68" s="588"/>
      <c r="O68" s="589"/>
      <c r="Q68" s="616"/>
      <c r="R68" s="588"/>
      <c r="S68" s="589"/>
      <c r="U68" s="606" t="s">
        <v>22</v>
      </c>
      <c r="V68" s="607">
        <v>5.0205474843314732</v>
      </c>
      <c r="W68" s="608">
        <v>18.092720086749978</v>
      </c>
      <c r="X68" s="607">
        <v>34.807061320545472</v>
      </c>
    </row>
    <row r="69" spans="1:27">
      <c r="A69" s="585" t="s">
        <v>132</v>
      </c>
      <c r="C69" s="617">
        <v>0</v>
      </c>
      <c r="G69" s="618"/>
      <c r="K69" s="618"/>
      <c r="O69" s="618"/>
      <c r="S69" s="618"/>
      <c r="U69" s="593" t="s">
        <v>510</v>
      </c>
      <c r="V69" s="610">
        <v>4.5294274944341496E-2</v>
      </c>
      <c r="W69" s="611">
        <v>1.6669052629269949E-2</v>
      </c>
      <c r="X69" s="610">
        <v>-2.5439691361149524E-2</v>
      </c>
    </row>
    <row r="70" spans="1:27" ht="16.5" thickBot="1">
      <c r="A70" s="585" t="s">
        <v>134</v>
      </c>
      <c r="C70" s="619">
        <v>12008765.335020855</v>
      </c>
      <c r="E70" s="635"/>
      <c r="F70" s="636"/>
      <c r="G70" s="632">
        <v>869645</v>
      </c>
      <c r="I70" s="637"/>
      <c r="J70" s="636"/>
      <c r="K70" s="632">
        <v>39725.517899999999</v>
      </c>
      <c r="M70" s="637"/>
      <c r="N70" s="636"/>
      <c r="O70" s="632">
        <v>9763.2987333333331</v>
      </c>
      <c r="Q70" s="637"/>
      <c r="R70" s="636"/>
      <c r="S70" s="632">
        <v>-22274.352200000001</v>
      </c>
      <c r="V70" s="593">
        <v>4.5680154430830969E-2</v>
      </c>
      <c r="W70" s="593">
        <v>1.6840145231674992E-2</v>
      </c>
      <c r="X70" s="593">
        <v>-2.5613155023026638E-2</v>
      </c>
      <c r="Y70" s="593">
        <v>4.5680154430830969E-2</v>
      </c>
      <c r="Z70" s="593">
        <v>1.6840145231674992E-2</v>
      </c>
      <c r="AA70" s="593">
        <v>-2.5613155023026638E-2</v>
      </c>
    </row>
    <row r="71" spans="1:27" ht="16.5" thickTop="1">
      <c r="A71" s="585"/>
      <c r="C71" s="571"/>
      <c r="E71" s="638"/>
      <c r="F71" s="636"/>
      <c r="I71" s="639"/>
      <c r="J71" s="636"/>
      <c r="M71" s="639"/>
      <c r="N71" s="636"/>
      <c r="Q71" s="639"/>
      <c r="R71" s="636"/>
    </row>
    <row r="72" spans="1:27">
      <c r="A72" s="562" t="s">
        <v>165</v>
      </c>
      <c r="C72" s="571"/>
    </row>
    <row r="73" spans="1:27">
      <c r="A73" s="585" t="s">
        <v>104</v>
      </c>
      <c r="C73" s="571">
        <v>160064</v>
      </c>
      <c r="E73" s="587">
        <v>45</v>
      </c>
      <c r="F73" s="588"/>
      <c r="G73" s="589">
        <v>7202880</v>
      </c>
      <c r="I73" s="616"/>
      <c r="J73" s="588"/>
      <c r="K73" s="589"/>
      <c r="M73" s="616"/>
      <c r="N73" s="588"/>
      <c r="O73" s="589"/>
      <c r="Q73" s="616"/>
      <c r="R73" s="588"/>
      <c r="S73" s="589"/>
    </row>
    <row r="74" spans="1:27">
      <c r="A74" s="585" t="s">
        <v>161</v>
      </c>
      <c r="C74" s="571">
        <v>7256011</v>
      </c>
      <c r="E74" s="587">
        <v>15.16</v>
      </c>
      <c r="F74" s="588"/>
      <c r="G74" s="589">
        <v>110001127</v>
      </c>
      <c r="I74" s="616">
        <v>4.8099999999999997E-2</v>
      </c>
      <c r="J74" s="588"/>
      <c r="K74" s="589">
        <v>5291054.2086999994</v>
      </c>
      <c r="M74" s="616">
        <v>1.7600000000000001E-2</v>
      </c>
      <c r="N74" s="588"/>
      <c r="O74" s="589">
        <v>1290679.8901333334</v>
      </c>
      <c r="Q74" s="616">
        <v>-2.7E-2</v>
      </c>
      <c r="R74" s="588"/>
      <c r="S74" s="589">
        <v>-2970030.429</v>
      </c>
      <c r="U74" s="594" t="s">
        <v>512</v>
      </c>
      <c r="V74" s="595"/>
      <c r="W74" s="596"/>
      <c r="X74" s="596"/>
      <c r="Y74" s="593">
        <v>4.8099999999999997E-2</v>
      </c>
      <c r="Z74" s="593">
        <v>1.7600000000000001E-2</v>
      </c>
      <c r="AA74" s="593">
        <v>-2.7E-2</v>
      </c>
    </row>
    <row r="75" spans="1:27">
      <c r="A75" s="585" t="s">
        <v>162</v>
      </c>
      <c r="C75" s="571">
        <v>8682583</v>
      </c>
      <c r="E75" s="587">
        <v>12.17</v>
      </c>
      <c r="F75" s="588"/>
      <c r="G75" s="589">
        <v>105667035</v>
      </c>
      <c r="I75" s="616">
        <v>4.8099999999999997E-2</v>
      </c>
      <c r="J75" s="588"/>
      <c r="K75" s="589">
        <v>5082584.3834999995</v>
      </c>
      <c r="M75" s="616">
        <v>1.7600000000000001E-2</v>
      </c>
      <c r="N75" s="588"/>
      <c r="O75" s="589">
        <v>1239826.544</v>
      </c>
      <c r="Q75" s="616">
        <v>-2.7E-2</v>
      </c>
      <c r="R75" s="588"/>
      <c r="S75" s="589">
        <v>-2853009.9449999998</v>
      </c>
      <c r="U75" s="597"/>
      <c r="V75" s="598" t="s">
        <v>374</v>
      </c>
      <c r="W75" s="599" t="s">
        <v>453</v>
      </c>
      <c r="X75" s="598" t="s">
        <v>454</v>
      </c>
      <c r="Y75" s="593">
        <v>4.8099999999999997E-2</v>
      </c>
      <c r="Z75" s="593">
        <v>1.7600000000000001E-2</v>
      </c>
      <c r="AA75" s="593">
        <v>-2.7E-2</v>
      </c>
    </row>
    <row r="76" spans="1:27">
      <c r="A76" s="585" t="s">
        <v>154</v>
      </c>
      <c r="C76" s="571">
        <v>420688</v>
      </c>
      <c r="E76" s="587">
        <v>-0.78</v>
      </c>
      <c r="F76" s="588"/>
      <c r="G76" s="589">
        <v>-328137</v>
      </c>
      <c r="I76" s="616"/>
      <c r="J76" s="588"/>
      <c r="K76" s="589"/>
      <c r="M76" s="616"/>
      <c r="N76" s="588"/>
      <c r="O76" s="589"/>
      <c r="Q76" s="616"/>
      <c r="R76" s="588"/>
      <c r="S76" s="589"/>
      <c r="U76" s="600" t="s">
        <v>508</v>
      </c>
      <c r="V76" s="601">
        <v>18571275.59976089</v>
      </c>
      <c r="W76" s="602">
        <v>4537330.2354848711</v>
      </c>
      <c r="X76" s="601">
        <v>-10430623.296681909</v>
      </c>
    </row>
    <row r="77" spans="1:27">
      <c r="A77" s="585" t="s">
        <v>149</v>
      </c>
      <c r="C77" s="571">
        <v>5561682145.2124758</v>
      </c>
      <c r="E77" s="630"/>
      <c r="F77" s="592"/>
      <c r="G77" s="589"/>
      <c r="I77" s="616"/>
      <c r="J77" s="592"/>
      <c r="K77" s="589"/>
      <c r="M77" s="616"/>
      <c r="N77" s="592"/>
      <c r="O77" s="589"/>
      <c r="Q77" s="616"/>
      <c r="R77" s="592"/>
      <c r="S77" s="589"/>
      <c r="U77" s="604" t="s">
        <v>509</v>
      </c>
      <c r="V77" s="601">
        <v>18568342.037699997</v>
      </c>
      <c r="W77" s="602">
        <v>4529491.6127999993</v>
      </c>
      <c r="X77" s="601">
        <v>-10422977.858999999</v>
      </c>
    </row>
    <row r="78" spans="1:27">
      <c r="A78" s="585" t="s">
        <v>166</v>
      </c>
      <c r="C78" s="571">
        <v>2517184734</v>
      </c>
      <c r="E78" s="638">
        <v>3.1907000000000001</v>
      </c>
      <c r="F78" s="592" t="s">
        <v>108</v>
      </c>
      <c r="G78" s="589">
        <v>80315813</v>
      </c>
      <c r="I78" s="616">
        <v>4.8099999999999997E-2</v>
      </c>
      <c r="J78" s="592"/>
      <c r="K78" s="589">
        <v>3863190.6052999999</v>
      </c>
      <c r="M78" s="616">
        <v>1.7600000000000001E-2</v>
      </c>
      <c r="N78" s="592"/>
      <c r="O78" s="589">
        <v>942372.20586666663</v>
      </c>
      <c r="Q78" s="616">
        <v>-2.7E-2</v>
      </c>
      <c r="R78" s="592"/>
      <c r="S78" s="589">
        <v>-2168526.9509999999</v>
      </c>
      <c r="U78" s="606" t="s">
        <v>22</v>
      </c>
      <c r="V78" s="607">
        <v>-2933.5620608925819</v>
      </c>
      <c r="W78" s="608">
        <v>-7838.6226848717779</v>
      </c>
      <c r="X78" s="607">
        <v>7645.4376819096506</v>
      </c>
      <c r="Y78" s="593">
        <v>4.8099999999999997E-2</v>
      </c>
      <c r="Z78" s="593">
        <v>1.7599999999999998E-2</v>
      </c>
      <c r="AA78" s="593">
        <v>-2.7E-2</v>
      </c>
    </row>
    <row r="79" spans="1:27">
      <c r="A79" s="585" t="s">
        <v>167</v>
      </c>
      <c r="C79" s="571">
        <v>3044497411.2124767</v>
      </c>
      <c r="E79" s="638">
        <v>2.9416000000000002</v>
      </c>
      <c r="F79" s="592" t="s">
        <v>108</v>
      </c>
      <c r="G79" s="589">
        <v>89556936</v>
      </c>
      <c r="I79" s="616">
        <v>4.8099999999999997E-2</v>
      </c>
      <c r="J79" s="592"/>
      <c r="K79" s="589">
        <v>4307688.6216000002</v>
      </c>
      <c r="M79" s="616">
        <v>1.7600000000000001E-2</v>
      </c>
      <c r="N79" s="592"/>
      <c r="O79" s="589">
        <v>1050801.3824</v>
      </c>
      <c r="Q79" s="616">
        <v>-2.7E-2</v>
      </c>
      <c r="R79" s="592"/>
      <c r="S79" s="589">
        <v>-2418037.2719999999</v>
      </c>
      <c r="U79" s="593" t="s">
        <v>510</v>
      </c>
      <c r="V79" s="610">
        <v>4.8107599188707439E-2</v>
      </c>
      <c r="W79" s="611">
        <v>1.7630458111206976E-2</v>
      </c>
      <c r="X79" s="610">
        <v>-2.7019804975142808E-2</v>
      </c>
      <c r="Y79" s="593">
        <v>4.8100000000000004E-2</v>
      </c>
      <c r="Z79" s="593">
        <v>1.7600000000000001E-2</v>
      </c>
      <c r="AA79" s="593">
        <v>-2.7E-2</v>
      </c>
    </row>
    <row r="80" spans="1:27">
      <c r="A80" s="585" t="s">
        <v>159</v>
      </c>
      <c r="C80" s="571">
        <v>0</v>
      </c>
      <c r="E80" s="587">
        <v>540</v>
      </c>
      <c r="F80" s="625"/>
      <c r="G80" s="589">
        <v>0</v>
      </c>
      <c r="I80" s="616"/>
      <c r="J80" s="625"/>
      <c r="K80" s="589"/>
      <c r="M80" s="616"/>
      <c r="N80" s="625"/>
      <c r="O80" s="589"/>
      <c r="Q80" s="616"/>
      <c r="R80" s="625"/>
      <c r="S80" s="589"/>
    </row>
    <row r="81" spans="1:27">
      <c r="A81" s="585" t="s">
        <v>132</v>
      </c>
      <c r="C81" s="617">
        <v>0</v>
      </c>
      <c r="G81" s="618">
        <v>0</v>
      </c>
      <c r="I81" s="640"/>
      <c r="K81" s="618"/>
      <c r="M81" s="640"/>
      <c r="O81" s="618"/>
      <c r="Q81" s="640"/>
      <c r="S81" s="618"/>
    </row>
    <row r="82" spans="1:27" ht="16.5" thickBot="1">
      <c r="A82" s="585" t="s">
        <v>134</v>
      </c>
      <c r="C82" s="641">
        <v>5561682145.2124758</v>
      </c>
      <c r="E82" s="631"/>
      <c r="G82" s="632">
        <v>392415654</v>
      </c>
      <c r="I82" s="642"/>
      <c r="K82" s="632">
        <v>18544517.8191</v>
      </c>
      <c r="M82" s="642"/>
      <c r="O82" s="632">
        <v>4523680.0223999992</v>
      </c>
      <c r="Q82" s="642"/>
      <c r="S82" s="632">
        <v>-10409604.596999999</v>
      </c>
      <c r="V82" s="593">
        <v>4.7257334487222059E-2</v>
      </c>
      <c r="W82" s="593">
        <v>1.7291665009877506E-2</v>
      </c>
      <c r="X82" s="593">
        <v>-2.6526986094698453E-2</v>
      </c>
      <c r="Y82" s="593">
        <v>4.7257334487222059E-2</v>
      </c>
      <c r="Z82" s="593">
        <v>1.729166500987751E-2</v>
      </c>
      <c r="AA82" s="593">
        <v>-2.6526986094698453E-2</v>
      </c>
    </row>
    <row r="83" spans="1:27" ht="16.5" thickTop="1"/>
    <row r="84" spans="1:27">
      <c r="A84" s="562" t="s">
        <v>176</v>
      </c>
      <c r="C84" s="571"/>
      <c r="E84" s="638"/>
      <c r="F84" s="636"/>
      <c r="I84" s="639"/>
      <c r="J84" s="636"/>
      <c r="M84" s="639"/>
      <c r="N84" s="636"/>
      <c r="Q84" s="639"/>
      <c r="R84" s="636"/>
    </row>
    <row r="85" spans="1:27">
      <c r="A85" s="585" t="s">
        <v>104</v>
      </c>
      <c r="C85" s="571">
        <v>25141</v>
      </c>
      <c r="E85" s="587">
        <v>45</v>
      </c>
      <c r="F85" s="625"/>
      <c r="G85" s="589">
        <v>1131345</v>
      </c>
      <c r="I85" s="616"/>
      <c r="J85" s="625"/>
      <c r="K85" s="589"/>
      <c r="M85" s="616"/>
      <c r="N85" s="625"/>
      <c r="O85" s="589"/>
      <c r="Q85" s="616"/>
      <c r="R85" s="625"/>
      <c r="S85" s="589"/>
      <c r="U85" s="594" t="s">
        <v>513</v>
      </c>
      <c r="V85" s="595"/>
      <c r="W85" s="596"/>
      <c r="X85" s="596"/>
    </row>
    <row r="86" spans="1:27">
      <c r="A86" s="585" t="s">
        <v>177</v>
      </c>
      <c r="C86" s="571">
        <v>783880</v>
      </c>
      <c r="D86" s="644"/>
      <c r="E86" s="587">
        <v>5.37</v>
      </c>
      <c r="F86" s="588"/>
      <c r="G86" s="589">
        <v>4209436</v>
      </c>
      <c r="H86" s="644"/>
      <c r="I86" s="616"/>
      <c r="J86" s="588"/>
      <c r="K86" s="589"/>
      <c r="L86" s="644"/>
      <c r="M86" s="616"/>
      <c r="N86" s="588"/>
      <c r="O86" s="589"/>
      <c r="P86" s="644"/>
      <c r="Q86" s="616"/>
      <c r="R86" s="588"/>
      <c r="S86" s="589"/>
      <c r="U86" s="597"/>
      <c r="V86" s="598" t="s">
        <v>374</v>
      </c>
      <c r="W86" s="599" t="s">
        <v>453</v>
      </c>
      <c r="X86" s="598" t="s">
        <v>454</v>
      </c>
    </row>
    <row r="87" spans="1:27">
      <c r="A87" s="585" t="s">
        <v>178</v>
      </c>
      <c r="C87" s="571">
        <v>897905</v>
      </c>
      <c r="D87" s="644"/>
      <c r="E87" s="587">
        <v>4.5</v>
      </c>
      <c r="F87" s="588"/>
      <c r="G87" s="589">
        <v>4040573</v>
      </c>
      <c r="H87" s="644"/>
      <c r="I87" s="616"/>
      <c r="J87" s="588"/>
      <c r="K87" s="589"/>
      <c r="L87" s="644"/>
      <c r="M87" s="616"/>
      <c r="N87" s="588"/>
      <c r="O87" s="589"/>
      <c r="P87" s="644"/>
      <c r="Q87" s="616"/>
      <c r="R87" s="588"/>
      <c r="S87" s="589"/>
      <c r="U87" s="600" t="s">
        <v>508</v>
      </c>
      <c r="V87" s="601">
        <v>1130826.7178138411</v>
      </c>
      <c r="W87" s="602">
        <v>276283.35114992963</v>
      </c>
      <c r="X87" s="601">
        <v>-635132.86655932537</v>
      </c>
    </row>
    <row r="88" spans="1:27">
      <c r="A88" s="585" t="s">
        <v>154</v>
      </c>
      <c r="C88" s="571">
        <v>43628</v>
      </c>
      <c r="D88" s="644"/>
      <c r="E88" s="587">
        <v>-0.5</v>
      </c>
      <c r="F88" s="588"/>
      <c r="G88" s="589">
        <v>-21814</v>
      </c>
      <c r="H88" s="644"/>
      <c r="I88" s="616"/>
      <c r="J88" s="588"/>
      <c r="K88" s="589"/>
      <c r="L88" s="644"/>
      <c r="M88" s="616"/>
      <c r="N88" s="588"/>
      <c r="O88" s="589"/>
      <c r="P88" s="644"/>
      <c r="Q88" s="616"/>
      <c r="R88" s="588"/>
      <c r="S88" s="589"/>
      <c r="U88" s="604" t="s">
        <v>509</v>
      </c>
      <c r="V88" s="601">
        <v>1130338.8272000002</v>
      </c>
      <c r="W88" s="602">
        <v>276758.21800000005</v>
      </c>
      <c r="X88" s="601">
        <v>-635087.27919999999</v>
      </c>
    </row>
    <row r="89" spans="1:27">
      <c r="A89" s="585" t="s">
        <v>143</v>
      </c>
      <c r="C89" s="571">
        <v>51554143</v>
      </c>
      <c r="D89" s="644"/>
      <c r="E89" s="630">
        <v>9.8184000000000005</v>
      </c>
      <c r="F89" s="592" t="s">
        <v>108</v>
      </c>
      <c r="G89" s="589">
        <v>5061792</v>
      </c>
      <c r="H89" s="644"/>
      <c r="I89" s="616">
        <v>7.7600000000000002E-2</v>
      </c>
      <c r="J89" s="588"/>
      <c r="K89" s="589">
        <v>392795.05920000002</v>
      </c>
      <c r="M89" s="616">
        <v>2.8500000000000001E-2</v>
      </c>
      <c r="N89" s="588"/>
      <c r="O89" s="589">
        <v>96174.04800000001</v>
      </c>
      <c r="Q89" s="616">
        <v>-4.36E-2</v>
      </c>
      <c r="R89" s="588"/>
      <c r="S89" s="589">
        <v>-220694.1312</v>
      </c>
      <c r="U89" s="606" t="s">
        <v>22</v>
      </c>
      <c r="V89" s="607">
        <v>-487.89061384089291</v>
      </c>
      <c r="W89" s="608">
        <v>474.86685007042252</v>
      </c>
      <c r="X89" s="607">
        <v>45.587359325378202</v>
      </c>
      <c r="Y89" s="593">
        <v>7.7600000000000002E-2</v>
      </c>
      <c r="Z89" s="593">
        <v>2.8500000000000004E-2</v>
      </c>
      <c r="AA89" s="593">
        <v>-4.36E-2</v>
      </c>
    </row>
    <row r="90" spans="1:27">
      <c r="A90" s="585" t="s">
        <v>144</v>
      </c>
      <c r="C90" s="571">
        <v>57444983</v>
      </c>
      <c r="D90" s="644"/>
      <c r="E90" s="630">
        <v>2.956</v>
      </c>
      <c r="F90" s="592" t="s">
        <v>108</v>
      </c>
      <c r="G90" s="589">
        <v>1698074</v>
      </c>
      <c r="H90" s="644"/>
      <c r="I90" s="616">
        <v>7.7600000000000002E-2</v>
      </c>
      <c r="J90" s="592"/>
      <c r="K90" s="589">
        <v>131770.54240000001</v>
      </c>
      <c r="L90" s="644"/>
      <c r="M90" s="616">
        <v>2.8500000000000001E-2</v>
      </c>
      <c r="N90" s="592"/>
      <c r="O90" s="589">
        <v>32263.406000000003</v>
      </c>
      <c r="P90" s="644"/>
      <c r="Q90" s="616">
        <v>-4.36E-2</v>
      </c>
      <c r="R90" s="592"/>
      <c r="S90" s="589">
        <v>-74036.026400000002</v>
      </c>
      <c r="U90" s="593" t="s">
        <v>510</v>
      </c>
      <c r="V90" s="610">
        <v>7.7633494657285945E-2</v>
      </c>
      <c r="W90" s="611">
        <v>2.8451099174850863E-2</v>
      </c>
      <c r="X90" s="610">
        <v>-4.3603129662538806E-2</v>
      </c>
      <c r="Y90" s="593">
        <v>7.7600000000000002E-2</v>
      </c>
      <c r="Z90" s="593">
        <v>2.8500000000000004E-2</v>
      </c>
      <c r="AA90" s="593">
        <v>-4.36E-2</v>
      </c>
    </row>
    <row r="91" spans="1:27">
      <c r="A91" s="585" t="s">
        <v>179</v>
      </c>
      <c r="C91" s="571">
        <v>73889396</v>
      </c>
      <c r="D91" s="644"/>
      <c r="E91" s="630">
        <v>8.2071000000000005</v>
      </c>
      <c r="F91" s="592" t="s">
        <v>108</v>
      </c>
      <c r="G91" s="589">
        <v>6064177</v>
      </c>
      <c r="H91" s="644"/>
      <c r="I91" s="616">
        <v>7.7600000000000002E-2</v>
      </c>
      <c r="J91" s="592"/>
      <c r="K91" s="589">
        <v>470580.13520000002</v>
      </c>
      <c r="L91" s="644"/>
      <c r="M91" s="616">
        <v>2.8500000000000001E-2</v>
      </c>
      <c r="N91" s="592"/>
      <c r="O91" s="589">
        <v>115219.36300000001</v>
      </c>
      <c r="P91" s="644"/>
      <c r="Q91" s="616">
        <v>-4.36E-2</v>
      </c>
      <c r="R91" s="592"/>
      <c r="S91" s="589">
        <v>-264398.11719999998</v>
      </c>
      <c r="Y91" s="593">
        <v>7.7600000000000002E-2</v>
      </c>
      <c r="Z91" s="593">
        <v>2.8500000000000004E-2</v>
      </c>
      <c r="AA91" s="593">
        <v>-4.36E-2</v>
      </c>
    </row>
    <row r="92" spans="1:27">
      <c r="A92" s="585" t="s">
        <v>180</v>
      </c>
      <c r="C92" s="571">
        <v>70300194.834369659</v>
      </c>
      <c r="D92" s="644"/>
      <c r="E92" s="630">
        <v>2.4782000000000002</v>
      </c>
      <c r="F92" s="592" t="s">
        <v>108</v>
      </c>
      <c r="G92" s="589">
        <v>1742179</v>
      </c>
      <c r="H92" s="644"/>
      <c r="I92" s="616">
        <v>7.7600000000000002E-2</v>
      </c>
      <c r="J92" s="592"/>
      <c r="K92" s="589">
        <v>135193.09040000002</v>
      </c>
      <c r="L92" s="644"/>
      <c r="M92" s="616">
        <v>2.8500000000000001E-2</v>
      </c>
      <c r="N92" s="592"/>
      <c r="O92" s="589">
        <v>33101.401000000005</v>
      </c>
      <c r="P92" s="644"/>
      <c r="Q92" s="616">
        <v>-4.36E-2</v>
      </c>
      <c r="R92" s="592"/>
      <c r="S92" s="589">
        <v>-75959.004400000005</v>
      </c>
      <c r="Y92" s="593">
        <v>7.7600000000000002E-2</v>
      </c>
      <c r="Z92" s="593">
        <v>2.8500000000000001E-2</v>
      </c>
      <c r="AA92" s="593">
        <v>-4.36E-2</v>
      </c>
    </row>
    <row r="93" spans="1:27">
      <c r="A93" s="585" t="s">
        <v>132</v>
      </c>
      <c r="C93" s="617">
        <v>0</v>
      </c>
      <c r="G93" s="618"/>
      <c r="K93" s="645"/>
      <c r="O93" s="645"/>
      <c r="S93" s="645"/>
    </row>
    <row r="94" spans="1:27" ht="16.5" thickBot="1">
      <c r="A94" s="585" t="s">
        <v>134</v>
      </c>
      <c r="C94" s="641">
        <v>253188716.83436966</v>
      </c>
      <c r="E94" s="631"/>
      <c r="G94" s="632">
        <v>23925762</v>
      </c>
      <c r="I94" s="633"/>
      <c r="K94" s="632">
        <v>1130338.8272000002</v>
      </c>
      <c r="M94" s="633"/>
      <c r="O94" s="632">
        <v>276758.21800000005</v>
      </c>
      <c r="Q94" s="633"/>
      <c r="S94" s="632">
        <v>-635087.27919999999</v>
      </c>
      <c r="V94" s="593">
        <v>4.7243587359934461E-2</v>
      </c>
      <c r="W94" s="593">
        <v>1.7351059790697579E-2</v>
      </c>
      <c r="X94" s="593">
        <v>-2.6544077434189975E-2</v>
      </c>
      <c r="Y94" s="593">
        <v>4.7243587359934461E-2</v>
      </c>
      <c r="Z94" s="593">
        <v>1.7351059790697579E-2</v>
      </c>
      <c r="AA94" s="593">
        <v>-2.6544077434189975E-2</v>
      </c>
    </row>
    <row r="95" spans="1:27" ht="16.5" thickTop="1">
      <c r="D95" s="644"/>
      <c r="H95" s="644"/>
      <c r="L95" s="644"/>
      <c r="P95" s="644"/>
    </row>
    <row r="96" spans="1:27">
      <c r="A96" s="562" t="s">
        <v>172</v>
      </c>
      <c r="C96" s="571"/>
      <c r="D96" s="644"/>
      <c r="H96" s="644"/>
      <c r="L96" s="644"/>
      <c r="P96" s="644"/>
    </row>
    <row r="97" spans="1:27">
      <c r="A97" s="585" t="s">
        <v>104</v>
      </c>
      <c r="C97" s="571">
        <v>216</v>
      </c>
      <c r="E97" s="587">
        <v>45</v>
      </c>
      <c r="F97" s="646"/>
      <c r="G97" s="589">
        <v>9720</v>
      </c>
      <c r="I97" s="616"/>
      <c r="J97" s="646"/>
      <c r="K97" s="589"/>
      <c r="M97" s="616"/>
      <c r="N97" s="646"/>
      <c r="O97" s="589"/>
      <c r="Q97" s="616"/>
      <c r="R97" s="646"/>
      <c r="S97" s="589"/>
    </row>
    <row r="98" spans="1:27">
      <c r="A98" s="585" t="s">
        <v>173</v>
      </c>
      <c r="C98" s="571">
        <v>4109</v>
      </c>
      <c r="E98" s="587">
        <v>15.16</v>
      </c>
      <c r="F98" s="646"/>
      <c r="G98" s="589">
        <v>62292</v>
      </c>
      <c r="I98" s="616">
        <v>4.8099999999999997E-2</v>
      </c>
      <c r="J98" s="592"/>
      <c r="K98" s="589">
        <v>2996.2451999999998</v>
      </c>
      <c r="M98" s="616">
        <v>1.7600000000000001E-2</v>
      </c>
      <c r="N98" s="592"/>
      <c r="O98" s="589">
        <v>730.89280000000008</v>
      </c>
      <c r="Q98" s="616">
        <v>-2.7E-2</v>
      </c>
      <c r="R98" s="592"/>
      <c r="S98" s="589">
        <v>-1681.884</v>
      </c>
      <c r="U98" s="593"/>
      <c r="V98" s="593"/>
      <c r="W98" s="627"/>
      <c r="X98" s="593"/>
      <c r="Y98" s="593">
        <v>4.8099999999999997E-2</v>
      </c>
      <c r="Z98" s="593">
        <v>1.7600000000000001E-2</v>
      </c>
      <c r="AA98" s="593">
        <v>-2.7E-2</v>
      </c>
    </row>
    <row r="99" spans="1:27">
      <c r="A99" s="585" t="s">
        <v>174</v>
      </c>
      <c r="C99" s="571">
        <v>5438</v>
      </c>
      <c r="E99" s="587">
        <v>12.17</v>
      </c>
      <c r="F99" s="646"/>
      <c r="G99" s="589">
        <v>66180</v>
      </c>
      <c r="I99" s="616">
        <v>4.8099999999999997E-2</v>
      </c>
      <c r="J99" s="592"/>
      <c r="K99" s="589">
        <v>3183.2579999999998</v>
      </c>
      <c r="M99" s="616">
        <v>1.7600000000000001E-2</v>
      </c>
      <c r="N99" s="592"/>
      <c r="O99" s="589">
        <v>776.51200000000006</v>
      </c>
      <c r="Q99" s="616">
        <v>-2.7E-2</v>
      </c>
      <c r="R99" s="592"/>
      <c r="S99" s="589">
        <v>-1786.86</v>
      </c>
      <c r="U99" s="593"/>
      <c r="V99" s="593"/>
      <c r="W99" s="627"/>
      <c r="X99" s="593"/>
      <c r="Y99" s="593">
        <v>4.8099999999999997E-2</v>
      </c>
      <c r="Z99" s="593">
        <v>1.7600000000000001E-2</v>
      </c>
      <c r="AA99" s="593">
        <v>-2.7E-2</v>
      </c>
    </row>
    <row r="100" spans="1:27">
      <c r="A100" s="585" t="s">
        <v>154</v>
      </c>
      <c r="C100" s="571">
        <v>0</v>
      </c>
      <c r="E100" s="587">
        <v>-0.78</v>
      </c>
      <c r="F100" s="646"/>
      <c r="G100" s="589">
        <v>0</v>
      </c>
      <c r="I100" s="616"/>
      <c r="J100" s="646"/>
      <c r="K100" s="589"/>
      <c r="M100" s="616"/>
      <c r="N100" s="646"/>
      <c r="O100" s="589"/>
      <c r="Q100" s="616"/>
      <c r="R100" s="646"/>
      <c r="S100" s="589"/>
    </row>
    <row r="101" spans="1:27">
      <c r="A101" s="585" t="s">
        <v>149</v>
      </c>
      <c r="C101" s="571">
        <v>2973992.7247523493</v>
      </c>
      <c r="E101" s="638"/>
      <c r="F101" s="592"/>
      <c r="G101" s="589"/>
      <c r="I101" s="639"/>
      <c r="J101" s="592"/>
      <c r="K101" s="589"/>
      <c r="M101" s="639"/>
      <c r="N101" s="592"/>
      <c r="O101" s="589"/>
      <c r="Q101" s="639"/>
      <c r="R101" s="592"/>
      <c r="S101" s="589"/>
    </row>
    <row r="102" spans="1:27">
      <c r="A102" s="585" t="s">
        <v>163</v>
      </c>
      <c r="C102" s="571">
        <v>1208093</v>
      </c>
      <c r="E102" s="638">
        <v>3.1907000000000001</v>
      </c>
      <c r="F102" s="592" t="s">
        <v>108</v>
      </c>
      <c r="G102" s="589">
        <v>38547</v>
      </c>
      <c r="I102" s="616">
        <v>4.8099999999999997E-2</v>
      </c>
      <c r="J102" s="592"/>
      <c r="K102" s="589">
        <v>1854.1107</v>
      </c>
      <c r="M102" s="616">
        <v>1.7600000000000001E-2</v>
      </c>
      <c r="N102" s="592"/>
      <c r="O102" s="589">
        <v>452.28480000000008</v>
      </c>
      <c r="Q102" s="616">
        <v>-2.7E-2</v>
      </c>
      <c r="R102" s="592"/>
      <c r="S102" s="589">
        <v>-1040.769</v>
      </c>
      <c r="U102" s="593"/>
      <c r="V102" s="593"/>
      <c r="W102" s="627"/>
      <c r="X102" s="593"/>
      <c r="Y102" s="593">
        <v>4.8099999999999997E-2</v>
      </c>
      <c r="Z102" s="593">
        <v>1.7600000000000005E-2</v>
      </c>
      <c r="AA102" s="593">
        <v>-2.7E-2</v>
      </c>
    </row>
    <row r="103" spans="1:27">
      <c r="A103" s="585" t="s">
        <v>164</v>
      </c>
      <c r="C103" s="571">
        <v>1765899.7247523493</v>
      </c>
      <c r="E103" s="638">
        <v>2.9416000000000002</v>
      </c>
      <c r="F103" s="592" t="s">
        <v>108</v>
      </c>
      <c r="G103" s="589">
        <v>51946</v>
      </c>
      <c r="I103" s="616">
        <v>4.8099999999999997E-2</v>
      </c>
      <c r="J103" s="592"/>
      <c r="K103" s="589">
        <v>2498.6025999999997</v>
      </c>
      <c r="M103" s="616">
        <v>1.7600000000000001E-2</v>
      </c>
      <c r="N103" s="592"/>
      <c r="O103" s="589">
        <v>609.49973333333344</v>
      </c>
      <c r="Q103" s="616">
        <v>-2.7E-2</v>
      </c>
      <c r="R103" s="592"/>
      <c r="S103" s="589">
        <v>-1402.5419999999999</v>
      </c>
      <c r="U103" s="593"/>
      <c r="V103" s="593"/>
      <c r="W103" s="627"/>
      <c r="X103" s="593"/>
      <c r="Y103" s="593">
        <v>4.8099999999999997E-2</v>
      </c>
      <c r="Z103" s="593">
        <v>1.7600000000000005E-2</v>
      </c>
      <c r="AA103" s="593">
        <v>-2.7E-2</v>
      </c>
    </row>
    <row r="104" spans="1:27">
      <c r="A104" s="585" t="s">
        <v>159</v>
      </c>
      <c r="C104" s="571">
        <v>0</v>
      </c>
      <c r="D104" s="644"/>
      <c r="E104" s="587">
        <v>540</v>
      </c>
      <c r="F104" s="625"/>
      <c r="G104" s="589">
        <v>0</v>
      </c>
      <c r="H104" s="644"/>
      <c r="I104" s="616"/>
      <c r="J104" s="625"/>
      <c r="K104" s="589"/>
      <c r="L104" s="644"/>
      <c r="M104" s="616"/>
      <c r="N104" s="625"/>
      <c r="O104" s="589"/>
      <c r="P104" s="644"/>
      <c r="Q104" s="616"/>
      <c r="R104" s="625"/>
      <c r="S104" s="589"/>
    </row>
    <row r="105" spans="1:27">
      <c r="A105" s="585" t="s">
        <v>132</v>
      </c>
      <c r="C105" s="617">
        <v>0</v>
      </c>
      <c r="G105" s="618">
        <v>0</v>
      </c>
      <c r="K105" s="618"/>
      <c r="O105" s="618"/>
      <c r="S105" s="618"/>
    </row>
    <row r="106" spans="1:27" ht="16.5" thickBot="1">
      <c r="A106" s="585" t="s">
        <v>134</v>
      </c>
      <c r="C106" s="641">
        <v>2973992.7247523493</v>
      </c>
      <c r="E106" s="631"/>
      <c r="G106" s="632">
        <v>228685</v>
      </c>
      <c r="I106" s="633"/>
      <c r="K106" s="632">
        <v>10532.216499999999</v>
      </c>
      <c r="M106" s="633"/>
      <c r="O106" s="632">
        <v>2569.1893333333337</v>
      </c>
      <c r="Q106" s="633"/>
      <c r="S106" s="632">
        <v>-5912.0550000000003</v>
      </c>
      <c r="V106" s="593">
        <v>4.605556332947066E-2</v>
      </c>
      <c r="W106" s="593">
        <v>1.6851931696438335E-2</v>
      </c>
      <c r="X106" s="593">
        <v>-2.5852395216126988E-2</v>
      </c>
      <c r="Y106" s="593">
        <v>4.605556332947066E-2</v>
      </c>
      <c r="Z106" s="593">
        <v>1.6851931696438335E-2</v>
      </c>
      <c r="AA106" s="593">
        <v>-2.5852395216126988E-2</v>
      </c>
    </row>
    <row r="107" spans="1:27" ht="16.5" thickTop="1">
      <c r="C107" s="571"/>
    </row>
    <row r="108" spans="1:27">
      <c r="A108" s="562" t="s">
        <v>175</v>
      </c>
      <c r="C108" s="571"/>
    </row>
    <row r="109" spans="1:27">
      <c r="A109" s="647" t="s">
        <v>104</v>
      </c>
      <c r="C109" s="571">
        <v>132</v>
      </c>
      <c r="E109" s="587">
        <v>45</v>
      </c>
      <c r="F109" s="646"/>
      <c r="G109" s="589">
        <v>5940</v>
      </c>
      <c r="I109" s="616"/>
      <c r="J109" s="646"/>
      <c r="K109" s="589"/>
      <c r="M109" s="616"/>
      <c r="N109" s="646"/>
      <c r="O109" s="589"/>
      <c r="Q109" s="616"/>
      <c r="R109" s="646"/>
      <c r="S109" s="589"/>
    </row>
    <row r="110" spans="1:27">
      <c r="A110" s="585" t="s">
        <v>173</v>
      </c>
      <c r="C110" s="571">
        <v>5416</v>
      </c>
      <c r="E110" s="587">
        <v>15.16</v>
      </c>
      <c r="F110" s="646"/>
      <c r="G110" s="589">
        <v>82107</v>
      </c>
      <c r="I110" s="616">
        <v>4.8099999999999997E-2</v>
      </c>
      <c r="J110" s="592"/>
      <c r="K110" s="589">
        <v>3949.3466999999996</v>
      </c>
      <c r="M110" s="616">
        <v>1.7600000000000001E-2</v>
      </c>
      <c r="N110" s="592"/>
      <c r="O110" s="589">
        <v>963.38880000000006</v>
      </c>
      <c r="Q110" s="616">
        <v>-2.7E-2</v>
      </c>
      <c r="R110" s="592"/>
      <c r="S110" s="589">
        <v>-2216.8890000000001</v>
      </c>
      <c r="U110" s="593"/>
      <c r="V110" s="593"/>
      <c r="W110" s="627"/>
      <c r="X110" s="593"/>
      <c r="Y110" s="593">
        <v>4.8099999999999997E-2</v>
      </c>
      <c r="Z110" s="593">
        <v>1.7600000000000001E-2</v>
      </c>
      <c r="AA110" s="593">
        <v>-2.7000000000000003E-2</v>
      </c>
    </row>
    <row r="111" spans="1:27">
      <c r="A111" s="585" t="s">
        <v>174</v>
      </c>
      <c r="C111" s="571">
        <v>7238</v>
      </c>
      <c r="E111" s="587">
        <v>12.17</v>
      </c>
      <c r="F111" s="646"/>
      <c r="G111" s="589">
        <v>88086</v>
      </c>
      <c r="I111" s="616">
        <v>4.8099999999999997E-2</v>
      </c>
      <c r="J111" s="592"/>
      <c r="K111" s="589">
        <v>4236.9366</v>
      </c>
      <c r="M111" s="616">
        <v>1.7600000000000001E-2</v>
      </c>
      <c r="N111" s="592"/>
      <c r="O111" s="589">
        <v>1033.5424</v>
      </c>
      <c r="Q111" s="616">
        <v>-2.7E-2</v>
      </c>
      <c r="R111" s="592"/>
      <c r="S111" s="589">
        <v>-2378.3220000000001</v>
      </c>
      <c r="U111" s="593"/>
      <c r="V111" s="593"/>
      <c r="W111" s="627"/>
      <c r="X111" s="593"/>
      <c r="Y111" s="593">
        <v>4.8099999999999997E-2</v>
      </c>
      <c r="Z111" s="593">
        <v>1.7600000000000001E-2</v>
      </c>
      <c r="AA111" s="593">
        <v>-2.7E-2</v>
      </c>
    </row>
    <row r="112" spans="1:27">
      <c r="A112" s="585" t="s">
        <v>154</v>
      </c>
      <c r="C112" s="571">
        <v>0</v>
      </c>
      <c r="E112" s="587">
        <v>-0.78</v>
      </c>
      <c r="F112" s="646"/>
      <c r="G112" s="589">
        <v>0</v>
      </c>
      <c r="I112" s="616"/>
      <c r="J112" s="646"/>
      <c r="K112" s="589"/>
      <c r="M112" s="616"/>
      <c r="N112" s="646"/>
      <c r="O112" s="589"/>
      <c r="Q112" s="616"/>
      <c r="R112" s="646"/>
      <c r="S112" s="589"/>
    </row>
    <row r="113" spans="1:27">
      <c r="A113" s="585" t="s">
        <v>149</v>
      </c>
      <c r="C113" s="571">
        <v>3464946.3000638145</v>
      </c>
      <c r="E113" s="638"/>
      <c r="F113" s="592"/>
      <c r="G113" s="589"/>
      <c r="I113" s="639"/>
      <c r="J113" s="592"/>
      <c r="K113" s="589"/>
      <c r="M113" s="639"/>
      <c r="N113" s="592"/>
      <c r="O113" s="589"/>
      <c r="Q113" s="639"/>
      <c r="R113" s="592"/>
      <c r="S113" s="589"/>
    </row>
    <row r="114" spans="1:27">
      <c r="A114" s="585" t="s">
        <v>163</v>
      </c>
      <c r="C114" s="571">
        <v>1695323</v>
      </c>
      <c r="E114" s="638">
        <v>3.1907000000000001</v>
      </c>
      <c r="F114" s="592" t="s">
        <v>108</v>
      </c>
      <c r="G114" s="589">
        <v>54093</v>
      </c>
      <c r="I114" s="616">
        <v>4.8099999999999997E-2</v>
      </c>
      <c r="J114" s="592"/>
      <c r="K114" s="589">
        <v>2601.8732999999997</v>
      </c>
      <c r="M114" s="616">
        <v>1.7600000000000001E-2</v>
      </c>
      <c r="N114" s="592"/>
      <c r="O114" s="589">
        <v>634.69120000000009</v>
      </c>
      <c r="Q114" s="616">
        <v>-2.7E-2</v>
      </c>
      <c r="R114" s="592"/>
      <c r="S114" s="589">
        <v>-1460.511</v>
      </c>
      <c r="U114" s="593"/>
      <c r="V114" s="593"/>
      <c r="W114" s="627"/>
      <c r="X114" s="593"/>
      <c r="Y114" s="593">
        <v>4.8099999999999997E-2</v>
      </c>
      <c r="Z114" s="593">
        <v>1.7600000000000001E-2</v>
      </c>
      <c r="AA114" s="593">
        <v>-2.7E-2</v>
      </c>
    </row>
    <row r="115" spans="1:27">
      <c r="A115" s="585" t="s">
        <v>164</v>
      </c>
      <c r="C115" s="571">
        <v>1769623.3000638145</v>
      </c>
      <c r="E115" s="638">
        <v>2.9416000000000002</v>
      </c>
      <c r="F115" s="592" t="s">
        <v>108</v>
      </c>
      <c r="G115" s="589">
        <v>52055</v>
      </c>
      <c r="I115" s="616">
        <v>4.8099999999999997E-2</v>
      </c>
      <c r="J115" s="592"/>
      <c r="K115" s="589">
        <v>2503.8454999999999</v>
      </c>
      <c r="M115" s="616">
        <v>1.7600000000000001E-2</v>
      </c>
      <c r="N115" s="592"/>
      <c r="O115" s="589">
        <v>610.77866666666671</v>
      </c>
      <c r="Q115" s="616">
        <v>-2.7E-2</v>
      </c>
      <c r="R115" s="592"/>
      <c r="S115" s="589">
        <v>-1405.4849999999999</v>
      </c>
      <c r="U115" s="593"/>
      <c r="V115" s="593"/>
      <c r="W115" s="627"/>
      <c r="X115" s="593"/>
      <c r="Y115" s="593">
        <v>4.8099999999999997E-2</v>
      </c>
      <c r="Z115" s="593">
        <v>1.7600000000000001E-2</v>
      </c>
      <c r="AA115" s="593">
        <v>-2.7E-2</v>
      </c>
    </row>
    <row r="116" spans="1:27">
      <c r="A116" s="585" t="s">
        <v>159</v>
      </c>
      <c r="C116" s="571">
        <v>0</v>
      </c>
      <c r="D116" s="644"/>
      <c r="E116" s="587">
        <v>540</v>
      </c>
      <c r="F116" s="625"/>
      <c r="G116" s="589">
        <v>0</v>
      </c>
      <c r="H116" s="644"/>
      <c r="I116" s="616"/>
      <c r="J116" s="625"/>
      <c r="K116" s="589"/>
      <c r="L116" s="644"/>
      <c r="M116" s="616"/>
      <c r="N116" s="625"/>
      <c r="O116" s="589"/>
      <c r="P116" s="644"/>
      <c r="Q116" s="616"/>
      <c r="R116" s="625"/>
      <c r="S116" s="589"/>
    </row>
    <row r="117" spans="1:27">
      <c r="A117" s="585" t="s">
        <v>132</v>
      </c>
      <c r="C117" s="617">
        <v>0</v>
      </c>
      <c r="G117" s="618"/>
      <c r="K117" s="618"/>
      <c r="O117" s="618"/>
      <c r="S117" s="618"/>
    </row>
    <row r="118" spans="1:27" ht="16.5" thickBot="1">
      <c r="A118" s="585" t="s">
        <v>134</v>
      </c>
      <c r="C118" s="641">
        <v>3464946.3000638145</v>
      </c>
      <c r="E118" s="631"/>
      <c r="G118" s="632">
        <v>282281</v>
      </c>
      <c r="I118" s="633"/>
      <c r="K118" s="632">
        <v>13292.002099999998</v>
      </c>
      <c r="M118" s="633"/>
      <c r="O118" s="632">
        <v>3242.4010666666668</v>
      </c>
      <c r="Q118" s="633"/>
      <c r="S118" s="632">
        <v>-7461.2069999999994</v>
      </c>
      <c r="V118" s="593">
        <v>4.7087838359648714E-2</v>
      </c>
      <c r="W118" s="593">
        <v>1.7229645636794542E-2</v>
      </c>
      <c r="X118" s="593">
        <v>-2.6431842738264353E-2</v>
      </c>
      <c r="Y118" s="593">
        <v>4.7087838359648714E-2</v>
      </c>
      <c r="Z118" s="593">
        <v>1.7229645636794542E-2</v>
      </c>
      <c r="AA118" s="593">
        <v>-2.6431842738264353E-2</v>
      </c>
    </row>
    <row r="119" spans="1:27" ht="16.5" thickTop="1">
      <c r="C119" s="571"/>
    </row>
    <row r="120" spans="1:27">
      <c r="A120" s="562" t="s">
        <v>186</v>
      </c>
      <c r="C120" s="571"/>
    </row>
    <row r="121" spans="1:27">
      <c r="A121" s="648" t="s">
        <v>187</v>
      </c>
      <c r="C121" s="571"/>
      <c r="G121" s="589"/>
      <c r="K121" s="589"/>
      <c r="O121" s="589"/>
      <c r="S121" s="589"/>
      <c r="U121" s="594" t="s">
        <v>514</v>
      </c>
      <c r="V121" s="595"/>
      <c r="W121" s="596"/>
      <c r="X121" s="596"/>
    </row>
    <row r="122" spans="1:27">
      <c r="A122" s="585" t="s">
        <v>188</v>
      </c>
      <c r="C122" s="571">
        <v>35</v>
      </c>
      <c r="E122" s="587">
        <v>5.63</v>
      </c>
      <c r="F122" s="588"/>
      <c r="G122" s="589">
        <v>197</v>
      </c>
      <c r="I122" s="616">
        <v>1.01E-2</v>
      </c>
      <c r="J122" s="592"/>
      <c r="K122" s="589">
        <v>1.9897</v>
      </c>
      <c r="M122" s="616">
        <v>3.5000000000000001E-3</v>
      </c>
      <c r="N122" s="592"/>
      <c r="O122" s="589">
        <v>0.45966666666666667</v>
      </c>
      <c r="Q122" s="616">
        <v>-5.7000000000000002E-3</v>
      </c>
      <c r="R122" s="592"/>
      <c r="S122" s="589">
        <v>-1.1229</v>
      </c>
      <c r="U122" s="597"/>
      <c r="V122" s="598" t="s">
        <v>374</v>
      </c>
      <c r="W122" s="599" t="s">
        <v>453</v>
      </c>
      <c r="X122" s="598" t="s">
        <v>454</v>
      </c>
      <c r="Y122" s="593">
        <v>1.01E-2</v>
      </c>
      <c r="Z122" s="593">
        <v>3.4999999999999996E-3</v>
      </c>
      <c r="AA122" s="593">
        <v>-5.7000000000000002E-3</v>
      </c>
    </row>
    <row r="123" spans="1:27">
      <c r="A123" s="585" t="s">
        <v>189</v>
      </c>
      <c r="C123" s="571">
        <v>48195</v>
      </c>
      <c r="E123" s="587">
        <v>16.23</v>
      </c>
      <c r="F123" s="588"/>
      <c r="G123" s="589">
        <v>782205</v>
      </c>
      <c r="I123" s="616">
        <v>1.01E-2</v>
      </c>
      <c r="J123" s="592"/>
      <c r="K123" s="589">
        <v>7900.2704999999996</v>
      </c>
      <c r="M123" s="616">
        <v>3.5000000000000001E-3</v>
      </c>
      <c r="N123" s="592"/>
      <c r="O123" s="589">
        <v>1825.1450000000002</v>
      </c>
      <c r="Q123" s="616">
        <v>-5.7000000000000002E-3</v>
      </c>
      <c r="R123" s="592"/>
      <c r="S123" s="589">
        <v>-4458.5685000000003</v>
      </c>
      <c r="U123" s="600" t="s">
        <v>508</v>
      </c>
      <c r="V123" s="601">
        <v>31509.236857923832</v>
      </c>
      <c r="W123" s="602">
        <v>7253.404710988957</v>
      </c>
      <c r="X123" s="601">
        <v>-17697.275465297611</v>
      </c>
      <c r="Y123" s="593">
        <v>1.01E-2</v>
      </c>
      <c r="Z123" s="593">
        <v>3.5000000000000005E-3</v>
      </c>
      <c r="AA123" s="593">
        <v>-5.7000000000000002E-3</v>
      </c>
    </row>
    <row r="124" spans="1:27">
      <c r="A124" s="585" t="s">
        <v>190</v>
      </c>
      <c r="C124" s="571">
        <v>266</v>
      </c>
      <c r="E124" s="587">
        <v>7.98</v>
      </c>
      <c r="F124" s="588"/>
      <c r="G124" s="589">
        <v>2123</v>
      </c>
      <c r="I124" s="616">
        <v>1.01E-2</v>
      </c>
      <c r="J124" s="592"/>
      <c r="K124" s="589">
        <v>21.442299999999999</v>
      </c>
      <c r="M124" s="616">
        <v>3.5000000000000001E-3</v>
      </c>
      <c r="N124" s="592"/>
      <c r="O124" s="589">
        <v>4.9536666666666669</v>
      </c>
      <c r="Q124" s="616">
        <v>-5.7000000000000002E-3</v>
      </c>
      <c r="R124" s="592"/>
      <c r="S124" s="589">
        <v>-12.101100000000001</v>
      </c>
      <c r="U124" s="604" t="s">
        <v>509</v>
      </c>
      <c r="V124" s="601">
        <v>31511.585899999995</v>
      </c>
      <c r="W124" s="602">
        <v>7279.9043333333329</v>
      </c>
      <c r="X124" s="601">
        <v>-17783.766300000003</v>
      </c>
      <c r="Y124" s="593">
        <v>1.01E-2</v>
      </c>
      <c r="Z124" s="593">
        <v>3.5000000000000005E-3</v>
      </c>
      <c r="AA124" s="593">
        <v>-5.7000000000000002E-3</v>
      </c>
    </row>
    <row r="125" spans="1:27">
      <c r="A125" s="585" t="s">
        <v>191</v>
      </c>
      <c r="C125" s="571">
        <v>12645</v>
      </c>
      <c r="E125" s="587">
        <v>26.53</v>
      </c>
      <c r="F125" s="588"/>
      <c r="G125" s="589">
        <v>335472</v>
      </c>
      <c r="I125" s="616">
        <v>1.01E-2</v>
      </c>
      <c r="J125" s="592"/>
      <c r="K125" s="589">
        <v>3388.2671999999998</v>
      </c>
      <c r="M125" s="616">
        <v>3.5000000000000001E-3</v>
      </c>
      <c r="N125" s="592"/>
      <c r="O125" s="589">
        <v>782.76800000000003</v>
      </c>
      <c r="Q125" s="616">
        <v>-5.7000000000000002E-3</v>
      </c>
      <c r="R125" s="592"/>
      <c r="S125" s="589">
        <v>-1912.1904000000002</v>
      </c>
      <c r="U125" s="606" t="s">
        <v>22</v>
      </c>
      <c r="V125" s="607">
        <v>2.349042076162732</v>
      </c>
      <c r="W125" s="608">
        <v>26.499622344375894</v>
      </c>
      <c r="X125" s="607">
        <v>-86.490834702392021</v>
      </c>
      <c r="Y125" s="593">
        <v>1.01E-2</v>
      </c>
      <c r="Z125" s="593">
        <v>3.5000000000000001E-3</v>
      </c>
      <c r="AA125" s="593">
        <v>-5.7000000000000002E-3</v>
      </c>
    </row>
    <row r="126" spans="1:27">
      <c r="A126" s="648" t="s">
        <v>192</v>
      </c>
      <c r="C126" s="571"/>
      <c r="G126" s="589"/>
      <c r="I126" s="640"/>
      <c r="K126" s="589"/>
      <c r="M126" s="640"/>
      <c r="O126" s="589"/>
      <c r="Q126" s="640"/>
      <c r="S126" s="589"/>
      <c r="U126" s="593" t="s">
        <v>510</v>
      </c>
      <c r="V126" s="610">
        <v>1.009924709200468E-2</v>
      </c>
      <c r="W126" s="611">
        <v>3.487259629528284E-3</v>
      </c>
      <c r="X126" s="610">
        <v>-5.6722782143283331E-3</v>
      </c>
    </row>
    <row r="127" spans="1:27">
      <c r="A127" s="585" t="s">
        <v>193</v>
      </c>
      <c r="C127" s="571">
        <v>3518</v>
      </c>
      <c r="E127" s="587">
        <v>14.46</v>
      </c>
      <c r="F127" s="588"/>
      <c r="G127" s="589">
        <v>50870</v>
      </c>
      <c r="I127" s="616">
        <v>1.01E-2</v>
      </c>
      <c r="J127" s="592"/>
      <c r="K127" s="589">
        <v>513.78700000000003</v>
      </c>
      <c r="M127" s="616">
        <v>3.5000000000000001E-3</v>
      </c>
      <c r="N127" s="592"/>
      <c r="O127" s="589">
        <v>118.69666666666667</v>
      </c>
      <c r="Q127" s="616">
        <v>-5.7000000000000002E-3</v>
      </c>
      <c r="R127" s="592"/>
      <c r="S127" s="589">
        <v>-289.959</v>
      </c>
      <c r="Y127" s="593">
        <v>1.0100000000000001E-2</v>
      </c>
      <c r="Z127" s="593">
        <v>3.5000000000000001E-3</v>
      </c>
      <c r="AA127" s="593">
        <v>-5.7000000000000002E-3</v>
      </c>
    </row>
    <row r="128" spans="1:27">
      <c r="A128" s="585" t="s">
        <v>194</v>
      </c>
      <c r="C128" s="571">
        <v>1852</v>
      </c>
      <c r="E128" s="587">
        <v>12.12</v>
      </c>
      <c r="F128" s="588"/>
      <c r="G128" s="589">
        <v>22446</v>
      </c>
      <c r="I128" s="616">
        <v>1.01E-2</v>
      </c>
      <c r="J128" s="592"/>
      <c r="K128" s="589">
        <v>226.7046</v>
      </c>
      <c r="M128" s="616">
        <v>3.5000000000000001E-3</v>
      </c>
      <c r="N128" s="592"/>
      <c r="O128" s="589">
        <v>52.374000000000002</v>
      </c>
      <c r="Q128" s="616">
        <v>-5.7000000000000002E-3</v>
      </c>
      <c r="R128" s="592"/>
      <c r="S128" s="589">
        <v>-127.9422</v>
      </c>
      <c r="Y128" s="593">
        <v>1.01E-2</v>
      </c>
      <c r="Z128" s="593">
        <v>3.5000000000000001E-3</v>
      </c>
      <c r="AA128" s="593">
        <v>-5.7000000000000002E-3</v>
      </c>
    </row>
    <row r="129" spans="1:27">
      <c r="A129" s="585" t="s">
        <v>195</v>
      </c>
      <c r="C129" s="571">
        <v>24004</v>
      </c>
      <c r="E129" s="587">
        <v>15.33</v>
      </c>
      <c r="F129" s="588"/>
      <c r="G129" s="589">
        <v>367981</v>
      </c>
      <c r="I129" s="616">
        <v>1.01E-2</v>
      </c>
      <c r="J129" s="592"/>
      <c r="K129" s="589">
        <v>3716.6080999999999</v>
      </c>
      <c r="M129" s="616">
        <v>3.5000000000000001E-3</v>
      </c>
      <c r="N129" s="592"/>
      <c r="O129" s="589">
        <v>858.62233333333336</v>
      </c>
      <c r="Q129" s="616">
        <v>-5.7000000000000002E-3</v>
      </c>
      <c r="R129" s="592"/>
      <c r="S129" s="589">
        <v>-2097.4917</v>
      </c>
      <c r="Y129" s="593">
        <v>1.01E-2</v>
      </c>
      <c r="Z129" s="593">
        <v>3.5000000000000001E-3</v>
      </c>
      <c r="AA129" s="593">
        <v>-5.7000000000000002E-3</v>
      </c>
    </row>
    <row r="130" spans="1:27">
      <c r="A130" s="585" t="s">
        <v>196</v>
      </c>
      <c r="C130" s="571">
        <v>23681</v>
      </c>
      <c r="E130" s="587">
        <v>13.19</v>
      </c>
      <c r="F130" s="588"/>
      <c r="G130" s="589">
        <v>312352</v>
      </c>
      <c r="I130" s="616">
        <v>1.01E-2</v>
      </c>
      <c r="J130" s="592"/>
      <c r="K130" s="589">
        <v>3154.7552000000001</v>
      </c>
      <c r="M130" s="616">
        <v>3.5000000000000001E-3</v>
      </c>
      <c r="N130" s="592"/>
      <c r="O130" s="589">
        <v>728.82133333333331</v>
      </c>
      <c r="Q130" s="616">
        <v>-5.7000000000000002E-3</v>
      </c>
      <c r="R130" s="592"/>
      <c r="S130" s="589">
        <v>-1780.4064000000001</v>
      </c>
      <c r="Y130" s="593">
        <v>1.01E-2</v>
      </c>
      <c r="Z130" s="593">
        <v>3.5000000000000001E-3</v>
      </c>
      <c r="AA130" s="593">
        <v>-5.7000000000000002E-3</v>
      </c>
    </row>
    <row r="131" spans="1:27">
      <c r="A131" s="585" t="s">
        <v>197</v>
      </c>
      <c r="C131" s="571">
        <v>2694</v>
      </c>
      <c r="E131" s="587">
        <v>19.28</v>
      </c>
      <c r="F131" s="588"/>
      <c r="G131" s="589">
        <v>51940</v>
      </c>
      <c r="I131" s="616">
        <v>1.01E-2</v>
      </c>
      <c r="J131" s="592"/>
      <c r="K131" s="589">
        <v>524.59399999999994</v>
      </c>
      <c r="M131" s="616">
        <v>3.5000000000000001E-3</v>
      </c>
      <c r="N131" s="592"/>
      <c r="O131" s="589">
        <v>121.19333333333333</v>
      </c>
      <c r="Q131" s="616">
        <v>-5.7000000000000002E-3</v>
      </c>
      <c r="R131" s="592"/>
      <c r="S131" s="589">
        <v>-296.05799999999999</v>
      </c>
      <c r="Y131" s="593">
        <v>1.01E-2</v>
      </c>
      <c r="Z131" s="593">
        <v>3.5000000000000001E-3</v>
      </c>
      <c r="AA131" s="593">
        <v>-5.7000000000000002E-3</v>
      </c>
    </row>
    <row r="132" spans="1:27">
      <c r="A132" s="585" t="s">
        <v>198</v>
      </c>
      <c r="C132" s="571">
        <v>2584</v>
      </c>
      <c r="E132" s="587">
        <v>16.97</v>
      </c>
      <c r="F132" s="588"/>
      <c r="G132" s="589">
        <v>43850</v>
      </c>
      <c r="I132" s="616">
        <v>1.01E-2</v>
      </c>
      <c r="J132" s="592"/>
      <c r="K132" s="589">
        <v>442.88499999999999</v>
      </c>
      <c r="M132" s="616">
        <v>3.5000000000000001E-3</v>
      </c>
      <c r="N132" s="592"/>
      <c r="O132" s="589">
        <v>102.31666666666666</v>
      </c>
      <c r="Q132" s="616">
        <v>-5.7000000000000002E-3</v>
      </c>
      <c r="R132" s="592"/>
      <c r="S132" s="589">
        <v>-249.94500000000002</v>
      </c>
      <c r="Y132" s="593">
        <v>1.01E-2</v>
      </c>
      <c r="Z132" s="593">
        <v>3.5000000000000001E-3</v>
      </c>
      <c r="AA132" s="593">
        <v>-5.7000000000000002E-3</v>
      </c>
    </row>
    <row r="133" spans="1:27">
      <c r="A133" s="585" t="s">
        <v>199</v>
      </c>
      <c r="C133" s="571">
        <v>123</v>
      </c>
      <c r="E133" s="587">
        <v>20.87</v>
      </c>
      <c r="F133" s="588"/>
      <c r="G133" s="589">
        <v>2567</v>
      </c>
      <c r="I133" s="616">
        <v>1.01E-2</v>
      </c>
      <c r="J133" s="592"/>
      <c r="K133" s="589">
        <v>25.9267</v>
      </c>
      <c r="M133" s="616">
        <v>3.5000000000000001E-3</v>
      </c>
      <c r="N133" s="592"/>
      <c r="O133" s="589">
        <v>5.9896666666666674</v>
      </c>
      <c r="Q133" s="616">
        <v>-5.7000000000000002E-3</v>
      </c>
      <c r="R133" s="592"/>
      <c r="S133" s="589">
        <v>-14.6319</v>
      </c>
      <c r="Y133" s="593">
        <v>1.01E-2</v>
      </c>
      <c r="Z133" s="593">
        <v>3.5000000000000005E-3</v>
      </c>
      <c r="AA133" s="593">
        <v>-5.7000000000000002E-3</v>
      </c>
    </row>
    <row r="134" spans="1:27">
      <c r="A134" s="585" t="s">
        <v>200</v>
      </c>
      <c r="C134" s="571">
        <v>3416</v>
      </c>
      <c r="E134" s="587">
        <v>23.29</v>
      </c>
      <c r="F134" s="588"/>
      <c r="G134" s="589">
        <v>79559</v>
      </c>
      <c r="I134" s="616">
        <v>1.01E-2</v>
      </c>
      <c r="J134" s="592"/>
      <c r="K134" s="589">
        <v>803.54589999999996</v>
      </c>
      <c r="M134" s="616">
        <v>3.5000000000000001E-3</v>
      </c>
      <c r="N134" s="592"/>
      <c r="O134" s="589">
        <v>185.63766666666666</v>
      </c>
      <c r="Q134" s="616">
        <v>-5.7000000000000002E-3</v>
      </c>
      <c r="R134" s="592"/>
      <c r="S134" s="589">
        <v>-453.48630000000003</v>
      </c>
      <c r="Y134" s="593">
        <v>1.01E-2</v>
      </c>
      <c r="Z134" s="593">
        <v>3.4999999999999996E-3</v>
      </c>
      <c r="AA134" s="593">
        <v>-5.7000000000000002E-3</v>
      </c>
    </row>
    <row r="135" spans="1:27">
      <c r="A135" s="585" t="s">
        <v>201</v>
      </c>
      <c r="C135" s="571">
        <v>3283</v>
      </c>
      <c r="E135" s="587">
        <v>21.03</v>
      </c>
      <c r="F135" s="588"/>
      <c r="G135" s="589">
        <v>69041</v>
      </c>
      <c r="I135" s="616">
        <v>1.01E-2</v>
      </c>
      <c r="J135" s="592"/>
      <c r="K135" s="589">
        <v>697.31409999999994</v>
      </c>
      <c r="M135" s="616">
        <v>3.5000000000000001E-3</v>
      </c>
      <c r="N135" s="592"/>
      <c r="O135" s="589">
        <v>161.09566666666669</v>
      </c>
      <c r="Q135" s="616">
        <v>-5.7000000000000002E-3</v>
      </c>
      <c r="R135" s="592"/>
      <c r="S135" s="589">
        <v>-393.53370000000001</v>
      </c>
      <c r="Y135" s="593">
        <v>1.01E-2</v>
      </c>
      <c r="Z135" s="593">
        <v>3.5000000000000001E-3</v>
      </c>
      <c r="AA135" s="593">
        <v>-5.7000000000000002E-3</v>
      </c>
    </row>
    <row r="136" spans="1:27">
      <c r="A136" s="585" t="s">
        <v>202</v>
      </c>
      <c r="C136" s="571">
        <v>1186</v>
      </c>
      <c r="E136" s="587">
        <v>28.04</v>
      </c>
      <c r="F136" s="588"/>
      <c r="G136" s="589">
        <v>33255</v>
      </c>
      <c r="I136" s="616">
        <v>1.01E-2</v>
      </c>
      <c r="J136" s="592"/>
      <c r="K136" s="589">
        <v>335.87549999999999</v>
      </c>
      <c r="M136" s="616">
        <v>3.5000000000000001E-3</v>
      </c>
      <c r="N136" s="592"/>
      <c r="O136" s="589">
        <v>77.594999999999999</v>
      </c>
      <c r="Q136" s="616">
        <v>-5.7000000000000002E-3</v>
      </c>
      <c r="R136" s="592"/>
      <c r="S136" s="589">
        <v>-189.55350000000001</v>
      </c>
      <c r="Y136" s="593">
        <v>1.01E-2</v>
      </c>
      <c r="Z136" s="593">
        <v>3.5000000000000001E-3</v>
      </c>
      <c r="AA136" s="593">
        <v>-5.7000000000000002E-3</v>
      </c>
    </row>
    <row r="137" spans="1:27">
      <c r="A137" s="585" t="s">
        <v>203</v>
      </c>
      <c r="C137" s="571">
        <v>1895</v>
      </c>
      <c r="E137" s="587">
        <v>25.75</v>
      </c>
      <c r="F137" s="588"/>
      <c r="G137" s="589">
        <v>48796</v>
      </c>
      <c r="I137" s="616">
        <v>1.01E-2</v>
      </c>
      <c r="J137" s="592"/>
      <c r="K137" s="589">
        <v>492.83959999999996</v>
      </c>
      <c r="M137" s="616">
        <v>3.5000000000000001E-3</v>
      </c>
      <c r="N137" s="592"/>
      <c r="O137" s="589">
        <v>113.85733333333333</v>
      </c>
      <c r="Q137" s="616">
        <v>-5.7000000000000002E-3</v>
      </c>
      <c r="R137" s="592"/>
      <c r="S137" s="589">
        <v>-278.13720000000001</v>
      </c>
      <c r="Y137" s="593">
        <v>1.01E-2</v>
      </c>
      <c r="Z137" s="593">
        <v>3.4999999999999996E-3</v>
      </c>
      <c r="AA137" s="593">
        <v>-5.7000000000000002E-3</v>
      </c>
    </row>
    <row r="138" spans="1:27">
      <c r="A138" s="648" t="s">
        <v>204</v>
      </c>
      <c r="C138" s="571"/>
      <c r="G138" s="589"/>
      <c r="I138" s="640"/>
      <c r="K138" s="589"/>
      <c r="M138" s="640"/>
      <c r="O138" s="589"/>
      <c r="Q138" s="640"/>
      <c r="S138" s="589"/>
    </row>
    <row r="139" spans="1:27">
      <c r="A139" s="585" t="s">
        <v>197</v>
      </c>
      <c r="C139" s="571">
        <v>4939</v>
      </c>
      <c r="E139" s="587">
        <v>19.28</v>
      </c>
      <c r="F139" s="588"/>
      <c r="G139" s="589">
        <v>95224</v>
      </c>
      <c r="I139" s="616">
        <v>1.01E-2</v>
      </c>
      <c r="J139" s="592"/>
      <c r="K139" s="589">
        <v>961.76239999999996</v>
      </c>
      <c r="M139" s="616">
        <v>3.5000000000000001E-3</v>
      </c>
      <c r="N139" s="592"/>
      <c r="O139" s="589">
        <v>222.18933333333334</v>
      </c>
      <c r="Q139" s="616">
        <v>-5.7000000000000002E-3</v>
      </c>
      <c r="R139" s="592"/>
      <c r="S139" s="589">
        <v>-542.77679999999998</v>
      </c>
      <c r="Y139" s="593">
        <v>1.01E-2</v>
      </c>
      <c r="Z139" s="593">
        <v>3.5000000000000001E-3</v>
      </c>
      <c r="AA139" s="593">
        <v>-5.7000000000000002E-3</v>
      </c>
    </row>
    <row r="140" spans="1:27">
      <c r="A140" s="585" t="s">
        <v>198</v>
      </c>
      <c r="C140" s="571">
        <v>5318</v>
      </c>
      <c r="E140" s="587">
        <v>16.97</v>
      </c>
      <c r="F140" s="588"/>
      <c r="G140" s="589">
        <v>90246</v>
      </c>
      <c r="I140" s="616">
        <v>1.01E-2</v>
      </c>
      <c r="J140" s="592"/>
      <c r="K140" s="589">
        <v>911.4846</v>
      </c>
      <c r="M140" s="616">
        <v>3.5000000000000001E-3</v>
      </c>
      <c r="N140" s="592"/>
      <c r="O140" s="589">
        <v>210.57399999999998</v>
      </c>
      <c r="Q140" s="616">
        <v>-5.7000000000000002E-3</v>
      </c>
      <c r="R140" s="592"/>
      <c r="S140" s="589">
        <v>-514.40219999999999</v>
      </c>
      <c r="Y140" s="593">
        <v>1.01E-2</v>
      </c>
      <c r="Z140" s="593">
        <v>3.4999999999999996E-3</v>
      </c>
      <c r="AA140" s="593">
        <v>-5.7000000000000002E-3</v>
      </c>
    </row>
    <row r="141" spans="1:27">
      <c r="A141" s="585" t="s">
        <v>200</v>
      </c>
      <c r="C141" s="571">
        <v>1162</v>
      </c>
      <c r="E141" s="587">
        <v>23.29</v>
      </c>
      <c r="F141" s="588"/>
      <c r="G141" s="589">
        <v>27063</v>
      </c>
      <c r="I141" s="616">
        <v>1.01E-2</v>
      </c>
      <c r="J141" s="592"/>
      <c r="K141" s="589">
        <v>273.33629999999999</v>
      </c>
      <c r="M141" s="616">
        <v>3.5000000000000001E-3</v>
      </c>
      <c r="N141" s="592"/>
      <c r="O141" s="589">
        <v>63.146999999999998</v>
      </c>
      <c r="Q141" s="616">
        <v>-5.7000000000000002E-3</v>
      </c>
      <c r="R141" s="592"/>
      <c r="S141" s="589">
        <v>-154.25910000000002</v>
      </c>
      <c r="Y141" s="593">
        <v>1.01E-2</v>
      </c>
      <c r="Z141" s="593">
        <v>3.5000000000000001E-3</v>
      </c>
      <c r="AA141" s="593">
        <v>-5.7000000000000011E-3</v>
      </c>
    </row>
    <row r="142" spans="1:27">
      <c r="A142" s="585" t="s">
        <v>201</v>
      </c>
      <c r="C142" s="571">
        <v>1804</v>
      </c>
      <c r="E142" s="587">
        <v>21.03</v>
      </c>
      <c r="F142" s="588"/>
      <c r="G142" s="589">
        <v>37938</v>
      </c>
      <c r="I142" s="616">
        <v>1.01E-2</v>
      </c>
      <c r="J142" s="592"/>
      <c r="K142" s="589">
        <v>383.17379999999997</v>
      </c>
      <c r="M142" s="616">
        <v>3.5000000000000001E-3</v>
      </c>
      <c r="N142" s="592"/>
      <c r="O142" s="589">
        <v>88.522000000000006</v>
      </c>
      <c r="Q142" s="616">
        <v>-5.7000000000000002E-3</v>
      </c>
      <c r="R142" s="592"/>
      <c r="S142" s="589">
        <v>-216.2466</v>
      </c>
      <c r="Y142" s="593">
        <v>1.01E-2</v>
      </c>
      <c r="Z142" s="593">
        <v>3.5000000000000001E-3</v>
      </c>
      <c r="AA142" s="593">
        <v>-5.7000000000000002E-3</v>
      </c>
    </row>
    <row r="143" spans="1:27">
      <c r="A143" s="585" t="s">
        <v>202</v>
      </c>
      <c r="C143" s="571">
        <v>10639</v>
      </c>
      <c r="E143" s="587">
        <v>28.04</v>
      </c>
      <c r="F143" s="588"/>
      <c r="G143" s="589">
        <v>298318</v>
      </c>
      <c r="I143" s="616">
        <v>1.01E-2</v>
      </c>
      <c r="J143" s="592"/>
      <c r="K143" s="589">
        <v>3013.0117999999998</v>
      </c>
      <c r="M143" s="616">
        <v>3.5000000000000001E-3</v>
      </c>
      <c r="N143" s="592"/>
      <c r="O143" s="589">
        <v>696.07533333333333</v>
      </c>
      <c r="Q143" s="616">
        <v>-5.7000000000000002E-3</v>
      </c>
      <c r="R143" s="592"/>
      <c r="S143" s="589">
        <v>-1700.4126000000001</v>
      </c>
      <c r="Y143" s="593">
        <v>1.01E-2</v>
      </c>
      <c r="Z143" s="593">
        <v>3.5000000000000001E-3</v>
      </c>
      <c r="AA143" s="593">
        <v>-5.7000000000000002E-3</v>
      </c>
    </row>
    <row r="144" spans="1:27">
      <c r="A144" s="585" t="s">
        <v>203</v>
      </c>
      <c r="C144" s="571">
        <v>12200</v>
      </c>
      <c r="E144" s="587">
        <v>25.75</v>
      </c>
      <c r="F144" s="588"/>
      <c r="G144" s="589">
        <v>314150</v>
      </c>
      <c r="I144" s="616">
        <v>1.01E-2</v>
      </c>
      <c r="J144" s="592"/>
      <c r="K144" s="589">
        <v>3172.915</v>
      </c>
      <c r="M144" s="616">
        <v>3.5000000000000001E-3</v>
      </c>
      <c r="N144" s="592"/>
      <c r="O144" s="589">
        <v>733.01666666666677</v>
      </c>
      <c r="Q144" s="616">
        <v>-5.7000000000000002E-3</v>
      </c>
      <c r="R144" s="592"/>
      <c r="S144" s="589">
        <v>-1790.655</v>
      </c>
      <c r="Y144" s="593">
        <v>1.01E-2</v>
      </c>
      <c r="Z144" s="593">
        <v>3.5000000000000005E-3</v>
      </c>
      <c r="AA144" s="593">
        <v>-5.7000000000000002E-3</v>
      </c>
    </row>
    <row r="145" spans="1:27">
      <c r="A145" s="648" t="s">
        <v>205</v>
      </c>
      <c r="C145" s="571"/>
      <c r="I145" s="640"/>
      <c r="M145" s="640"/>
      <c r="Q145" s="640"/>
    </row>
    <row r="146" spans="1:27">
      <c r="A146" s="585" t="s">
        <v>206</v>
      </c>
      <c r="C146" s="571">
        <v>0</v>
      </c>
      <c r="E146" s="587">
        <v>29.13</v>
      </c>
      <c r="F146" s="588"/>
      <c r="G146" s="589">
        <v>0</v>
      </c>
      <c r="I146" s="616">
        <v>1.01E-2</v>
      </c>
      <c r="J146" s="592"/>
      <c r="K146" s="589">
        <v>0</v>
      </c>
      <c r="M146" s="616">
        <v>3.5000000000000001E-3</v>
      </c>
      <c r="N146" s="592"/>
      <c r="O146" s="589">
        <v>0</v>
      </c>
      <c r="Q146" s="616">
        <v>-5.7000000000000002E-3</v>
      </c>
      <c r="R146" s="592"/>
      <c r="S146" s="589">
        <v>0</v>
      </c>
      <c r="Y146" s="593" t="e">
        <v>#DIV/0!</v>
      </c>
      <c r="Z146" s="593" t="e">
        <v>#DIV/0!</v>
      </c>
      <c r="AA146" s="593" t="e">
        <v>#DIV/0!</v>
      </c>
    </row>
    <row r="147" spans="1:27">
      <c r="A147" s="585" t="s">
        <v>207</v>
      </c>
      <c r="C147" s="571">
        <v>243</v>
      </c>
      <c r="E147" s="587">
        <v>21.59</v>
      </c>
      <c r="F147" s="588"/>
      <c r="G147" s="589">
        <v>5246</v>
      </c>
      <c r="I147" s="616">
        <v>1.01E-2</v>
      </c>
      <c r="J147" s="592"/>
      <c r="K147" s="589">
        <v>52.9846</v>
      </c>
      <c r="M147" s="616">
        <v>3.5000000000000001E-3</v>
      </c>
      <c r="N147" s="592"/>
      <c r="O147" s="589">
        <v>12.240666666666668</v>
      </c>
      <c r="Q147" s="616">
        <v>-5.7000000000000002E-3</v>
      </c>
      <c r="R147" s="592"/>
      <c r="S147" s="589">
        <v>-29.902200000000001</v>
      </c>
      <c r="Y147" s="593">
        <v>1.01E-2</v>
      </c>
      <c r="Z147" s="593">
        <v>3.5000000000000001E-3</v>
      </c>
      <c r="AA147" s="593">
        <v>-5.7000000000000002E-3</v>
      </c>
    </row>
    <row r="148" spans="1:27">
      <c r="A148" s="585" t="s">
        <v>208</v>
      </c>
      <c r="C148" s="571">
        <v>105</v>
      </c>
      <c r="E148" s="587">
        <v>34.020000000000003</v>
      </c>
      <c r="F148" s="588"/>
      <c r="G148" s="589">
        <v>3572</v>
      </c>
      <c r="I148" s="616">
        <v>1.01E-2</v>
      </c>
      <c r="J148" s="592"/>
      <c r="K148" s="589">
        <v>36.077199999999998</v>
      </c>
      <c r="M148" s="616">
        <v>3.5000000000000001E-3</v>
      </c>
      <c r="N148" s="592"/>
      <c r="O148" s="589">
        <v>8.3346666666666671</v>
      </c>
      <c r="Q148" s="616">
        <v>-5.7000000000000002E-3</v>
      </c>
      <c r="R148" s="592"/>
      <c r="S148" s="589">
        <v>-20.360400000000002</v>
      </c>
      <c r="Y148" s="593">
        <v>1.01E-2</v>
      </c>
      <c r="Z148" s="593">
        <v>3.5000000000000001E-3</v>
      </c>
      <c r="AA148" s="593">
        <v>-5.7000000000000002E-3</v>
      </c>
    </row>
    <row r="149" spans="1:27">
      <c r="A149" s="585" t="s">
        <v>209</v>
      </c>
      <c r="C149" s="571">
        <v>93</v>
      </c>
      <c r="E149" s="587">
        <v>27.18</v>
      </c>
      <c r="F149" s="588"/>
      <c r="G149" s="589">
        <v>2528</v>
      </c>
      <c r="I149" s="616">
        <v>1.01E-2</v>
      </c>
      <c r="J149" s="592"/>
      <c r="K149" s="589">
        <v>25.532799999999998</v>
      </c>
      <c r="M149" s="616">
        <v>3.5000000000000001E-3</v>
      </c>
      <c r="N149" s="592"/>
      <c r="O149" s="589">
        <v>5.8986666666666672</v>
      </c>
      <c r="Q149" s="616">
        <v>-5.7000000000000002E-3</v>
      </c>
      <c r="R149" s="592"/>
      <c r="S149" s="589">
        <v>-14.409600000000001</v>
      </c>
      <c r="Y149" s="593">
        <v>1.01E-2</v>
      </c>
      <c r="Z149" s="593">
        <v>3.5000000000000005E-3</v>
      </c>
      <c r="AA149" s="593">
        <v>-5.7000000000000002E-3</v>
      </c>
    </row>
    <row r="150" spans="1:27" s="649" customFormat="1">
      <c r="A150" s="585" t="s">
        <v>210</v>
      </c>
      <c r="B150" s="560"/>
      <c r="C150" s="571">
        <v>417</v>
      </c>
      <c r="D150" s="572"/>
      <c r="E150" s="587">
        <v>36.35</v>
      </c>
      <c r="F150" s="588"/>
      <c r="G150" s="589">
        <v>15158</v>
      </c>
      <c r="H150" s="572"/>
      <c r="I150" s="616">
        <v>1.01E-2</v>
      </c>
      <c r="J150" s="592"/>
      <c r="K150" s="589">
        <v>153.0958</v>
      </c>
      <c r="L150" s="572"/>
      <c r="M150" s="616">
        <v>3.5000000000000001E-3</v>
      </c>
      <c r="N150" s="592"/>
      <c r="O150" s="589">
        <v>35.36866666666667</v>
      </c>
      <c r="P150" s="572"/>
      <c r="Q150" s="616">
        <v>-5.7000000000000002E-3</v>
      </c>
      <c r="R150" s="592"/>
      <c r="S150" s="589">
        <v>-86.400599999999997</v>
      </c>
      <c r="Y150" s="593">
        <v>1.01E-2</v>
      </c>
      <c r="Z150" s="593">
        <v>3.5000000000000001E-3</v>
      </c>
      <c r="AA150" s="593">
        <v>-5.7000000000000002E-3</v>
      </c>
    </row>
    <row r="151" spans="1:27">
      <c r="A151" s="585" t="s">
        <v>211</v>
      </c>
      <c r="C151" s="571">
        <v>730</v>
      </c>
      <c r="E151" s="587">
        <v>29.44</v>
      </c>
      <c r="F151" s="588"/>
      <c r="G151" s="589">
        <v>21491</v>
      </c>
      <c r="I151" s="616">
        <v>1.01E-2</v>
      </c>
      <c r="J151" s="592"/>
      <c r="K151" s="589">
        <v>217.0591</v>
      </c>
      <c r="M151" s="616">
        <v>3.5000000000000001E-3</v>
      </c>
      <c r="N151" s="592"/>
      <c r="O151" s="589">
        <v>50.145666666666671</v>
      </c>
      <c r="Q151" s="616">
        <v>-5.7000000000000002E-3</v>
      </c>
      <c r="R151" s="592"/>
      <c r="S151" s="589">
        <v>-122.4987</v>
      </c>
      <c r="Y151" s="593">
        <v>1.01E-2</v>
      </c>
      <c r="Z151" s="593">
        <v>3.5000000000000001E-3</v>
      </c>
      <c r="AA151" s="593">
        <v>-5.7000000000000002E-3</v>
      </c>
    </row>
    <row r="152" spans="1:27">
      <c r="A152" s="585" t="s">
        <v>212</v>
      </c>
      <c r="C152" s="571">
        <v>23</v>
      </c>
      <c r="E152" s="587">
        <v>57.05</v>
      </c>
      <c r="F152" s="588"/>
      <c r="G152" s="589">
        <v>1312</v>
      </c>
      <c r="I152" s="616">
        <v>1.01E-2</v>
      </c>
      <c r="J152" s="592"/>
      <c r="K152" s="589">
        <v>13.251199999999999</v>
      </c>
      <c r="M152" s="616">
        <v>3.5000000000000001E-3</v>
      </c>
      <c r="N152" s="592"/>
      <c r="O152" s="589">
        <v>3.0613333333333337</v>
      </c>
      <c r="Q152" s="616">
        <v>-5.7000000000000002E-3</v>
      </c>
      <c r="R152" s="592"/>
      <c r="S152" s="589">
        <v>-7.4784000000000006</v>
      </c>
      <c r="Y152" s="593">
        <v>1.01E-2</v>
      </c>
      <c r="Z152" s="593">
        <v>3.5000000000000005E-3</v>
      </c>
      <c r="AA152" s="593">
        <v>-5.7000000000000002E-3</v>
      </c>
    </row>
    <row r="153" spans="1:27">
      <c r="A153" s="585" t="s">
        <v>213</v>
      </c>
      <c r="C153" s="571">
        <v>104</v>
      </c>
      <c r="E153" s="587">
        <v>48.64</v>
      </c>
      <c r="F153" s="588"/>
      <c r="G153" s="589">
        <v>5059</v>
      </c>
      <c r="I153" s="616">
        <v>1.01E-2</v>
      </c>
      <c r="J153" s="592"/>
      <c r="K153" s="589">
        <v>51.0959</v>
      </c>
      <c r="M153" s="616">
        <v>3.5000000000000001E-3</v>
      </c>
      <c r="N153" s="592"/>
      <c r="O153" s="589">
        <v>11.804333333333334</v>
      </c>
      <c r="Q153" s="616">
        <v>-5.7000000000000002E-3</v>
      </c>
      <c r="R153" s="592"/>
      <c r="S153" s="589">
        <v>-28.836300000000001</v>
      </c>
      <c r="Y153" s="593">
        <v>1.01E-2</v>
      </c>
      <c r="Z153" s="593">
        <v>3.5000000000000005E-3</v>
      </c>
      <c r="AA153" s="593">
        <v>-5.7000000000000002E-3</v>
      </c>
    </row>
    <row r="154" spans="1:27">
      <c r="A154" s="585" t="s">
        <v>214</v>
      </c>
      <c r="B154" s="650"/>
      <c r="C154" s="571">
        <v>167154</v>
      </c>
      <c r="D154" s="651"/>
      <c r="F154" s="651"/>
      <c r="G154" s="652">
        <v>3119959</v>
      </c>
      <c r="H154" s="651"/>
      <c r="I154" s="640"/>
      <c r="J154" s="651"/>
      <c r="K154" s="652"/>
      <c r="L154" s="651"/>
      <c r="M154" s="640"/>
      <c r="N154" s="651"/>
      <c r="O154" s="652"/>
      <c r="P154" s="651"/>
      <c r="Q154" s="640"/>
      <c r="R154" s="651"/>
      <c r="S154" s="652"/>
    </row>
    <row r="155" spans="1:27">
      <c r="A155" s="585" t="s">
        <v>215</v>
      </c>
      <c r="C155" s="586">
        <v>13124895.452613896</v>
      </c>
      <c r="G155" s="652"/>
      <c r="I155" s="640"/>
      <c r="J155" s="592"/>
      <c r="K155" s="589"/>
      <c r="M155" s="640"/>
      <c r="N155" s="592"/>
      <c r="O155" s="589"/>
      <c r="Q155" s="640"/>
      <c r="R155" s="592"/>
      <c r="S155" s="589"/>
      <c r="U155" s="593"/>
      <c r="V155" s="593"/>
      <c r="W155" s="627"/>
      <c r="X155" s="593"/>
    </row>
    <row r="156" spans="1:27">
      <c r="A156" s="585" t="s">
        <v>216</v>
      </c>
      <c r="C156" s="653">
        <v>0</v>
      </c>
      <c r="E156" s="654"/>
      <c r="G156" s="655"/>
      <c r="I156" s="656"/>
      <c r="K156" s="655"/>
      <c r="M156" s="656"/>
      <c r="O156" s="655"/>
      <c r="Q156" s="656"/>
      <c r="S156" s="655"/>
    </row>
    <row r="157" spans="1:27">
      <c r="A157" s="585" t="s">
        <v>11</v>
      </c>
      <c r="C157" s="571">
        <v>8478.8333333333303</v>
      </c>
      <c r="I157" s="640"/>
      <c r="M157" s="640"/>
      <c r="Q157" s="640"/>
    </row>
    <row r="158" spans="1:27" ht="16.5" thickBot="1">
      <c r="A158" s="585" t="s">
        <v>218</v>
      </c>
      <c r="C158" s="657">
        <v>13124895.452613896</v>
      </c>
      <c r="E158" s="620"/>
      <c r="G158" s="658">
        <v>3119959</v>
      </c>
      <c r="I158" s="659"/>
      <c r="K158" s="658">
        <v>31511.585899999995</v>
      </c>
      <c r="M158" s="659"/>
      <c r="O158" s="658">
        <v>7279.9043333333329</v>
      </c>
      <c r="Q158" s="659"/>
      <c r="S158" s="658">
        <v>-17783.766300000003</v>
      </c>
      <c r="V158" s="593">
        <v>1.0099999999999998E-2</v>
      </c>
      <c r="W158" s="593">
        <v>3.4999999999999996E-3</v>
      </c>
      <c r="X158" s="593">
        <v>-5.7000000000000011E-3</v>
      </c>
      <c r="Y158" s="593">
        <v>1.0099999999999998E-2</v>
      </c>
      <c r="Z158" s="593">
        <v>3.4999999999999996E-3</v>
      </c>
      <c r="AA158" s="593">
        <v>-5.7000000000000011E-3</v>
      </c>
    </row>
    <row r="159" spans="1:27" ht="16.5" thickTop="1">
      <c r="C159" s="571"/>
    </row>
    <row r="160" spans="1:27">
      <c r="A160" s="562" t="s">
        <v>219</v>
      </c>
      <c r="C160" s="571"/>
    </row>
    <row r="161" spans="1:27">
      <c r="A161" s="585" t="s">
        <v>104</v>
      </c>
      <c r="C161" s="571">
        <v>3283</v>
      </c>
      <c r="E161" s="587">
        <v>55</v>
      </c>
      <c r="F161" s="625"/>
      <c r="G161" s="589">
        <v>180565</v>
      </c>
      <c r="I161" s="590"/>
      <c r="J161" s="625"/>
      <c r="K161" s="589"/>
      <c r="M161" s="590"/>
      <c r="N161" s="625"/>
      <c r="O161" s="589"/>
      <c r="Q161" s="590"/>
      <c r="R161" s="625"/>
      <c r="S161" s="589"/>
      <c r="U161" s="594" t="s">
        <v>515</v>
      </c>
      <c r="V161" s="595"/>
      <c r="W161" s="596"/>
      <c r="X161" s="596"/>
    </row>
    <row r="162" spans="1:27">
      <c r="A162" s="585" t="s">
        <v>220</v>
      </c>
      <c r="C162" s="571">
        <v>4527748</v>
      </c>
      <c r="E162" s="587">
        <v>3.77</v>
      </c>
      <c r="F162" s="625"/>
      <c r="G162" s="589">
        <v>17069610</v>
      </c>
      <c r="I162" s="616"/>
      <c r="J162" s="625"/>
      <c r="K162" s="589"/>
      <c r="M162" s="616"/>
      <c r="N162" s="625"/>
      <c r="O162" s="589"/>
      <c r="Q162" s="616"/>
      <c r="R162" s="625"/>
      <c r="S162" s="589"/>
      <c r="U162" s="597"/>
      <c r="V162" s="598" t="s">
        <v>374</v>
      </c>
      <c r="W162" s="599" t="s">
        <v>453</v>
      </c>
      <c r="X162" s="598" t="s">
        <v>454</v>
      </c>
    </row>
    <row r="163" spans="1:27">
      <c r="A163" s="585" t="s">
        <v>221</v>
      </c>
      <c r="C163" s="571">
        <v>1922144</v>
      </c>
      <c r="E163" s="587">
        <v>12.33</v>
      </c>
      <c r="F163" s="588"/>
      <c r="G163" s="589">
        <v>23700036</v>
      </c>
      <c r="I163" s="616">
        <v>5.5599999999999997E-2</v>
      </c>
      <c r="J163" s="592"/>
      <c r="K163" s="589">
        <v>1317722.0015999998</v>
      </c>
      <c r="M163" s="616">
        <v>2.0500000000000001E-2</v>
      </c>
      <c r="N163" s="592"/>
      <c r="O163" s="589">
        <v>323900.49200000003</v>
      </c>
      <c r="Q163" s="616">
        <v>-3.1199999999999999E-2</v>
      </c>
      <c r="R163" s="592"/>
      <c r="S163" s="589">
        <v>-739441.12319999991</v>
      </c>
      <c r="U163" s="600" t="s">
        <v>508</v>
      </c>
      <c r="V163" s="601">
        <v>5827982.9663953148</v>
      </c>
      <c r="W163" s="602">
        <v>1435199.9743406668</v>
      </c>
      <c r="X163" s="601">
        <v>-3273307.4567441661</v>
      </c>
      <c r="Y163" s="593">
        <v>5.5599999999999997E-2</v>
      </c>
      <c r="Z163" s="593">
        <v>2.0500000000000001E-2</v>
      </c>
      <c r="AA163" s="593">
        <v>-3.1199999999999995E-2</v>
      </c>
    </row>
    <row r="164" spans="1:27">
      <c r="A164" s="585" t="s">
        <v>222</v>
      </c>
      <c r="C164" s="571">
        <v>2508971</v>
      </c>
      <c r="E164" s="587">
        <v>8.8800000000000008</v>
      </c>
      <c r="F164" s="588"/>
      <c r="G164" s="589">
        <v>22279662</v>
      </c>
      <c r="I164" s="616">
        <v>5.5599999999999997E-2</v>
      </c>
      <c r="J164" s="592"/>
      <c r="K164" s="589">
        <v>1238749.2071999998</v>
      </c>
      <c r="M164" s="616">
        <v>2.0500000000000001E-2</v>
      </c>
      <c r="N164" s="592"/>
      <c r="O164" s="589">
        <v>304488.71399999998</v>
      </c>
      <c r="Q164" s="616">
        <v>-3.1199999999999999E-2</v>
      </c>
      <c r="R164" s="592"/>
      <c r="S164" s="589">
        <v>-695125.45439999993</v>
      </c>
      <c r="U164" s="604" t="s">
        <v>509</v>
      </c>
      <c r="V164" s="601">
        <v>5826953.7255999995</v>
      </c>
      <c r="W164" s="602">
        <v>1432284.7886666667</v>
      </c>
      <c r="X164" s="601">
        <v>-3269801.3711999999</v>
      </c>
      <c r="Y164" s="593">
        <v>5.559999999999999E-2</v>
      </c>
      <c r="Z164" s="593">
        <v>2.0499999999999997E-2</v>
      </c>
      <c r="AA164" s="593">
        <v>-3.1199999999999999E-2</v>
      </c>
    </row>
    <row r="165" spans="1:27">
      <c r="A165" s="585" t="s">
        <v>154</v>
      </c>
      <c r="C165" s="571">
        <v>1716399</v>
      </c>
      <c r="E165" s="587">
        <v>-0.9</v>
      </c>
      <c r="F165" s="588"/>
      <c r="G165" s="589">
        <v>-1544759</v>
      </c>
      <c r="I165" s="616"/>
      <c r="J165" s="588"/>
      <c r="K165" s="589"/>
      <c r="M165" s="616"/>
      <c r="N165" s="588"/>
      <c r="O165" s="589"/>
      <c r="Q165" s="616"/>
      <c r="R165" s="588"/>
      <c r="S165" s="589"/>
      <c r="U165" s="606" t="s">
        <v>22</v>
      </c>
      <c r="V165" s="607">
        <v>-1029.2407953152433</v>
      </c>
      <c r="W165" s="608">
        <v>-2915.1856740000658</v>
      </c>
      <c r="X165" s="607">
        <v>3506.0855441661552</v>
      </c>
    </row>
    <row r="166" spans="1:27">
      <c r="A166" s="585" t="s">
        <v>143</v>
      </c>
      <c r="C166" s="571">
        <v>240701778</v>
      </c>
      <c r="E166" s="660">
        <v>4.0021000000000004</v>
      </c>
      <c r="F166" s="592" t="s">
        <v>108</v>
      </c>
      <c r="G166" s="589">
        <v>9633126</v>
      </c>
      <c r="I166" s="616">
        <v>5.5599999999999997E-2</v>
      </c>
      <c r="J166" s="592"/>
      <c r="K166" s="589">
        <v>535601.80559999996</v>
      </c>
      <c r="M166" s="616">
        <v>2.0500000000000001E-2</v>
      </c>
      <c r="N166" s="592"/>
      <c r="O166" s="589">
        <v>131652.72200000001</v>
      </c>
      <c r="Q166" s="616">
        <v>-3.1199999999999999E-2</v>
      </c>
      <c r="R166" s="592"/>
      <c r="S166" s="589">
        <v>-300553.53119999997</v>
      </c>
      <c r="U166" s="593" t="s">
        <v>510</v>
      </c>
      <c r="V166" s="610">
        <v>5.5609820875694979E-2</v>
      </c>
      <c r="W166" s="611">
        <v>2.0541724457866114E-2</v>
      </c>
      <c r="X166" s="610">
        <v>-3.1233454591444446E-2</v>
      </c>
      <c r="Y166" s="593">
        <v>5.5599999999999997E-2</v>
      </c>
      <c r="Z166" s="593">
        <v>2.0500000000000001E-2</v>
      </c>
      <c r="AA166" s="593">
        <v>-3.1199999999999995E-2</v>
      </c>
    </row>
    <row r="167" spans="1:27">
      <c r="A167" s="585" t="s">
        <v>179</v>
      </c>
      <c r="C167" s="571">
        <v>559914390</v>
      </c>
      <c r="E167" s="660">
        <v>3.1328</v>
      </c>
      <c r="F167" s="592" t="s">
        <v>108</v>
      </c>
      <c r="G167" s="589">
        <v>17540998</v>
      </c>
      <c r="I167" s="616">
        <v>5.5599999999999997E-2</v>
      </c>
      <c r="J167" s="592"/>
      <c r="K167" s="589">
        <v>975279.48879999993</v>
      </c>
      <c r="M167" s="616">
        <v>2.0500000000000001E-2</v>
      </c>
      <c r="N167" s="592"/>
      <c r="O167" s="589">
        <v>239726.9726666667</v>
      </c>
      <c r="Q167" s="616">
        <v>-3.1199999999999999E-2</v>
      </c>
      <c r="R167" s="592"/>
      <c r="S167" s="589">
        <v>-547279.13760000002</v>
      </c>
      <c r="Y167" s="593">
        <v>5.5599999999999997E-2</v>
      </c>
      <c r="Z167" s="593">
        <v>2.0500000000000004E-2</v>
      </c>
      <c r="AA167" s="593">
        <v>-3.1200000000000002E-2</v>
      </c>
    </row>
    <row r="168" spans="1:27">
      <c r="A168" s="585" t="s">
        <v>223</v>
      </c>
      <c r="C168" s="571">
        <v>1150645564.1665182</v>
      </c>
      <c r="E168" s="660">
        <v>2.6987000000000001</v>
      </c>
      <c r="F168" s="592" t="s">
        <v>108</v>
      </c>
      <c r="G168" s="589">
        <v>31052472</v>
      </c>
      <c r="I168" s="616">
        <v>5.5599999999999997E-2</v>
      </c>
      <c r="J168" s="592"/>
      <c r="K168" s="589">
        <v>1726517.4431999999</v>
      </c>
      <c r="M168" s="616">
        <v>2.0500000000000001E-2</v>
      </c>
      <c r="N168" s="592"/>
      <c r="O168" s="589">
        <v>424383.78399999999</v>
      </c>
      <c r="Q168" s="616">
        <v>-3.1199999999999999E-2</v>
      </c>
      <c r="R168" s="592"/>
      <c r="S168" s="589">
        <v>-968837.12639999995</v>
      </c>
      <c r="U168" s="593"/>
      <c r="V168" s="593"/>
      <c r="W168" s="627"/>
      <c r="X168" s="593"/>
      <c r="Y168" s="593">
        <v>5.5599999999999997E-2</v>
      </c>
      <c r="Z168" s="593">
        <v>2.0500000000000001E-2</v>
      </c>
      <c r="AA168" s="593">
        <v>-3.1199999999999999E-2</v>
      </c>
    </row>
    <row r="169" spans="1:27">
      <c r="A169" s="585" t="s">
        <v>132</v>
      </c>
      <c r="C169" s="617">
        <v>0</v>
      </c>
      <c r="G169" s="645"/>
      <c r="I169" s="640"/>
      <c r="K169" s="645"/>
      <c r="M169" s="640"/>
      <c r="O169" s="645"/>
      <c r="Q169" s="640"/>
      <c r="S169" s="645"/>
    </row>
    <row r="170" spans="1:27" ht="16.5" thickBot="1">
      <c r="A170" s="585" t="s">
        <v>134</v>
      </c>
      <c r="C170" s="641">
        <v>1951261732.1665182</v>
      </c>
      <c r="E170" s="631"/>
      <c r="G170" s="632">
        <v>119911710</v>
      </c>
      <c r="I170" s="642"/>
      <c r="K170" s="632">
        <v>5793869.9463999998</v>
      </c>
      <c r="M170" s="642"/>
      <c r="O170" s="632">
        <v>1424152.6846666667</v>
      </c>
      <c r="Q170" s="642"/>
      <c r="S170" s="632">
        <v>-3251236.3728</v>
      </c>
      <c r="V170" s="593">
        <v>4.8317799374222918E-2</v>
      </c>
      <c r="W170" s="593">
        <v>1.7815015956323198E-2</v>
      </c>
      <c r="X170" s="593">
        <v>-2.7113585260355306E-2</v>
      </c>
      <c r="Y170" s="593">
        <v>4.8317799374222918E-2</v>
      </c>
      <c r="Z170" s="593">
        <v>1.7815015956323198E-2</v>
      </c>
      <c r="AA170" s="593">
        <v>-2.7113585260355306E-2</v>
      </c>
    </row>
    <row r="171" spans="1:27" ht="16.5" thickTop="1">
      <c r="A171" s="314"/>
      <c r="B171" s="299"/>
      <c r="C171" s="661"/>
      <c r="D171" s="316"/>
      <c r="E171" s="314"/>
      <c r="F171" s="316"/>
      <c r="G171" s="299"/>
      <c r="H171" s="316"/>
      <c r="I171" s="662"/>
      <c r="J171" s="316"/>
      <c r="K171" s="299"/>
      <c r="L171" s="316"/>
      <c r="M171" s="662"/>
      <c r="N171" s="316"/>
      <c r="O171" s="299"/>
      <c r="P171" s="316"/>
      <c r="Q171" s="662"/>
      <c r="R171" s="316"/>
      <c r="S171" s="299"/>
    </row>
    <row r="172" spans="1:27">
      <c r="A172" s="562" t="s">
        <v>226</v>
      </c>
      <c r="C172" s="571"/>
    </row>
    <row r="173" spans="1:27">
      <c r="A173" s="585" t="s">
        <v>104</v>
      </c>
      <c r="C173" s="571">
        <v>1793</v>
      </c>
      <c r="E173" s="587">
        <v>200</v>
      </c>
      <c r="F173" s="588"/>
      <c r="G173" s="589">
        <v>358600</v>
      </c>
      <c r="I173" s="590"/>
      <c r="J173" s="588"/>
      <c r="K173" s="589"/>
      <c r="M173" s="590"/>
      <c r="N173" s="588"/>
      <c r="O173" s="589"/>
      <c r="Q173" s="590"/>
      <c r="R173" s="588"/>
      <c r="S173" s="589"/>
      <c r="U173" s="594" t="s">
        <v>516</v>
      </c>
      <c r="V173" s="595"/>
      <c r="W173" s="596"/>
      <c r="X173" s="596"/>
    </row>
    <row r="174" spans="1:27">
      <c r="A174" s="585" t="s">
        <v>220</v>
      </c>
      <c r="C174" s="571">
        <v>6760603</v>
      </c>
      <c r="E174" s="587">
        <v>1.71</v>
      </c>
      <c r="F174" s="588"/>
      <c r="G174" s="589">
        <v>11560631</v>
      </c>
      <c r="I174" s="616"/>
      <c r="J174" s="588"/>
      <c r="K174" s="589"/>
      <c r="M174" s="616"/>
      <c r="N174" s="588"/>
      <c r="O174" s="589"/>
      <c r="Q174" s="616"/>
      <c r="R174" s="588"/>
      <c r="S174" s="589"/>
      <c r="U174" s="597"/>
      <c r="V174" s="598" t="s">
        <v>374</v>
      </c>
      <c r="W174" s="599" t="s">
        <v>453</v>
      </c>
      <c r="X174" s="598" t="s">
        <v>454</v>
      </c>
    </row>
    <row r="175" spans="1:27">
      <c r="A175" s="585" t="s">
        <v>221</v>
      </c>
      <c r="C175" s="571">
        <v>2825640</v>
      </c>
      <c r="E175" s="587">
        <v>10.76</v>
      </c>
      <c r="F175" s="588"/>
      <c r="G175" s="589">
        <v>30403886</v>
      </c>
      <c r="I175" s="616">
        <v>5.9900000000000002E-2</v>
      </c>
      <c r="J175" s="592"/>
      <c r="K175" s="589">
        <v>1821192.7714</v>
      </c>
      <c r="M175" s="616">
        <v>2.23E-2</v>
      </c>
      <c r="N175" s="592"/>
      <c r="O175" s="589">
        <v>452004.43853333336</v>
      </c>
      <c r="Q175" s="616">
        <v>-3.3599999999999998E-2</v>
      </c>
      <c r="R175" s="592"/>
      <c r="S175" s="589">
        <v>-1021570.5695999999</v>
      </c>
      <c r="U175" s="600" t="s">
        <v>508</v>
      </c>
      <c r="V175" s="601">
        <v>10924609.727752233</v>
      </c>
      <c r="W175" s="602">
        <v>2716714.4271125207</v>
      </c>
      <c r="X175" s="601">
        <v>-6135846.0877570175</v>
      </c>
      <c r="Y175" s="593">
        <v>5.9900000000000002E-2</v>
      </c>
      <c r="Z175" s="593">
        <v>2.2300000000000004E-2</v>
      </c>
      <c r="AA175" s="593">
        <v>-3.3599999999999998E-2</v>
      </c>
    </row>
    <row r="176" spans="1:27">
      <c r="A176" s="585" t="s">
        <v>222</v>
      </c>
      <c r="C176" s="571">
        <v>3843734</v>
      </c>
      <c r="E176" s="587">
        <v>7.3</v>
      </c>
      <c r="F176" s="588"/>
      <c r="G176" s="589">
        <v>28059258</v>
      </c>
      <c r="I176" s="616">
        <v>5.9900000000000002E-2</v>
      </c>
      <c r="J176" s="592"/>
      <c r="K176" s="589">
        <v>1680749.5542000001</v>
      </c>
      <c r="M176" s="616">
        <v>2.23E-2</v>
      </c>
      <c r="N176" s="592"/>
      <c r="O176" s="589">
        <v>417147.63559999998</v>
      </c>
      <c r="Q176" s="616">
        <v>-3.3599999999999998E-2</v>
      </c>
      <c r="R176" s="592"/>
      <c r="S176" s="589">
        <v>-942791.06879999989</v>
      </c>
      <c r="U176" s="604" t="s">
        <v>509</v>
      </c>
      <c r="V176" s="601">
        <v>10926121.592458902</v>
      </c>
      <c r="W176" s="602">
        <v>2711769.7441495103</v>
      </c>
      <c r="X176" s="601">
        <v>-6128842.8298266958</v>
      </c>
      <c r="Y176" s="593">
        <v>5.9900000000000002E-2</v>
      </c>
      <c r="Z176" s="593">
        <v>2.23E-2</v>
      </c>
      <c r="AA176" s="593">
        <v>-3.3599999999999998E-2</v>
      </c>
    </row>
    <row r="177" spans="1:27">
      <c r="A177" s="585" t="s">
        <v>228</v>
      </c>
      <c r="C177" s="571">
        <v>384941621</v>
      </c>
      <c r="E177" s="663">
        <v>3.5857999999999999</v>
      </c>
      <c r="F177" s="592" t="s">
        <v>108</v>
      </c>
      <c r="G177" s="589">
        <v>13803237</v>
      </c>
      <c r="I177" s="616">
        <v>5.9900000000000002E-2</v>
      </c>
      <c r="J177" s="592"/>
      <c r="K177" s="589">
        <v>826813.89630000002</v>
      </c>
      <c r="M177" s="616">
        <v>2.23E-2</v>
      </c>
      <c r="N177" s="592"/>
      <c r="O177" s="589">
        <v>205208.12340000001</v>
      </c>
      <c r="Q177" s="616">
        <v>-3.3599999999999998E-2</v>
      </c>
      <c r="R177" s="592"/>
      <c r="S177" s="589">
        <v>-463788.76319999999</v>
      </c>
      <c r="U177" s="606" t="s">
        <v>22</v>
      </c>
      <c r="V177" s="607">
        <v>1511.8647066690028</v>
      </c>
      <c r="W177" s="608">
        <v>-4944.6829630103894</v>
      </c>
      <c r="X177" s="607">
        <v>7003.2579303216189</v>
      </c>
      <c r="Y177" s="593">
        <v>5.9900000000000002E-2</v>
      </c>
      <c r="Z177" s="593">
        <v>2.23E-2</v>
      </c>
      <c r="AA177" s="593">
        <v>-3.3599999999999998E-2</v>
      </c>
    </row>
    <row r="178" spans="1:27">
      <c r="A178" s="585" t="s">
        <v>229</v>
      </c>
      <c r="C178" s="571">
        <v>1013941762</v>
      </c>
      <c r="E178" s="663">
        <v>2.6962999999999999</v>
      </c>
      <c r="F178" s="592" t="s">
        <v>108</v>
      </c>
      <c r="G178" s="589">
        <v>27338912</v>
      </c>
      <c r="I178" s="616">
        <v>5.9900000000000002E-2</v>
      </c>
      <c r="J178" s="592"/>
      <c r="K178" s="589">
        <v>1637600.8288</v>
      </c>
      <c r="M178" s="616">
        <v>2.23E-2</v>
      </c>
      <c r="N178" s="592"/>
      <c r="O178" s="589">
        <v>406438.49173333333</v>
      </c>
      <c r="Q178" s="616">
        <v>-3.3599999999999998E-2</v>
      </c>
      <c r="R178" s="592"/>
      <c r="S178" s="589">
        <v>-918587.44319999998</v>
      </c>
      <c r="U178" s="593" t="s">
        <v>510</v>
      </c>
      <c r="V178" s="610">
        <v>5.989171154236541E-2</v>
      </c>
      <c r="W178" s="610">
        <v>2.2340662165478108E-2</v>
      </c>
      <c r="X178" s="610">
        <v>-3.3638393783784699E-2</v>
      </c>
      <c r="Y178" s="593">
        <v>5.9900000000000002E-2</v>
      </c>
      <c r="Z178" s="593">
        <v>2.23E-2</v>
      </c>
      <c r="AA178" s="593">
        <v>-3.3599999999999998E-2</v>
      </c>
    </row>
    <row r="179" spans="1:27">
      <c r="A179" s="585" t="s">
        <v>223</v>
      </c>
      <c r="C179" s="571">
        <v>2278864468.764452</v>
      </c>
      <c r="E179" s="664">
        <v>2.2517999999999998</v>
      </c>
      <c r="F179" s="592" t="s">
        <v>108</v>
      </c>
      <c r="G179" s="589">
        <v>51315470</v>
      </c>
      <c r="I179" s="616">
        <v>5.9900000000000002E-2</v>
      </c>
      <c r="J179" s="592"/>
      <c r="K179" s="589">
        <v>3073796.6529999999</v>
      </c>
      <c r="M179" s="616">
        <v>2.23E-2</v>
      </c>
      <c r="N179" s="592"/>
      <c r="O179" s="589">
        <v>762889.98733333324</v>
      </c>
      <c r="Q179" s="616">
        <v>-3.3599999999999998E-2</v>
      </c>
      <c r="R179" s="592"/>
      <c r="S179" s="589">
        <v>-1724199.7919999999</v>
      </c>
      <c r="Y179" s="593">
        <v>5.9900000000000002E-2</v>
      </c>
      <c r="Z179" s="593">
        <v>2.2299999999999997E-2</v>
      </c>
      <c r="AA179" s="593">
        <v>-3.3599999999999998E-2</v>
      </c>
    </row>
    <row r="180" spans="1:27">
      <c r="A180" s="585" t="s">
        <v>132</v>
      </c>
      <c r="C180" s="617">
        <v>0</v>
      </c>
      <c r="G180" s="645"/>
      <c r="I180" s="640"/>
      <c r="K180" s="618"/>
      <c r="M180" s="640"/>
      <c r="O180" s="618"/>
      <c r="Q180" s="640"/>
      <c r="S180" s="618"/>
    </row>
    <row r="181" spans="1:27" ht="16.5" thickBot="1">
      <c r="A181" s="585" t="s">
        <v>134</v>
      </c>
      <c r="C181" s="641">
        <v>3677747851.764452</v>
      </c>
      <c r="E181" s="631"/>
      <c r="G181" s="632">
        <v>162839994</v>
      </c>
      <c r="I181" s="642"/>
      <c r="K181" s="632">
        <v>9040153.7037000004</v>
      </c>
      <c r="M181" s="642"/>
      <c r="O181" s="632">
        <v>2243688.6765999999</v>
      </c>
      <c r="Q181" s="642"/>
      <c r="S181" s="632">
        <v>-5070937.6368000004</v>
      </c>
      <c r="V181" s="593">
        <v>5.5515561513101018E-2</v>
      </c>
      <c r="W181" s="593">
        <v>2.0667729912222915E-2</v>
      </c>
      <c r="X181" s="593">
        <v>-3.1140615473125112E-2</v>
      </c>
      <c r="Y181" s="593">
        <v>5.5515561513101018E-2</v>
      </c>
      <c r="Z181" s="593">
        <v>2.0667729912222915E-2</v>
      </c>
      <c r="AA181" s="593">
        <v>-3.1140615473125112E-2</v>
      </c>
    </row>
    <row r="182" spans="1:27" ht="16.5" thickTop="1">
      <c r="C182" s="571"/>
      <c r="U182" s="665"/>
    </row>
    <row r="183" spans="1:27">
      <c r="A183" s="562" t="s">
        <v>517</v>
      </c>
      <c r="C183" s="571"/>
      <c r="E183" s="638"/>
      <c r="F183" s="636"/>
      <c r="I183" s="639"/>
      <c r="J183" s="636"/>
      <c r="M183" s="639"/>
      <c r="N183" s="636"/>
      <c r="Q183" s="639"/>
      <c r="R183" s="636"/>
    </row>
    <row r="184" spans="1:27">
      <c r="A184" s="585" t="s">
        <v>104</v>
      </c>
      <c r="C184" s="571">
        <v>108</v>
      </c>
      <c r="E184" s="587">
        <v>200</v>
      </c>
      <c r="F184" s="625"/>
      <c r="G184" s="589">
        <v>21600</v>
      </c>
      <c r="I184" s="626"/>
      <c r="J184" s="625"/>
      <c r="K184" s="589"/>
      <c r="M184" s="626"/>
      <c r="N184" s="625"/>
      <c r="O184" s="589"/>
      <c r="Q184" s="626"/>
      <c r="R184" s="625"/>
      <c r="S184" s="589"/>
      <c r="U184" s="594" t="s">
        <v>518</v>
      </c>
      <c r="V184" s="595"/>
      <c r="W184" s="596"/>
      <c r="X184" s="596"/>
    </row>
    <row r="185" spans="1:27">
      <c r="A185" s="585" t="s">
        <v>234</v>
      </c>
      <c r="C185" s="571">
        <v>0</v>
      </c>
      <c r="E185" s="587">
        <v>0</v>
      </c>
      <c r="F185" s="588"/>
      <c r="G185" s="589">
        <v>0</v>
      </c>
      <c r="I185" s="590"/>
      <c r="J185" s="588"/>
      <c r="K185" s="589"/>
      <c r="M185" s="590"/>
      <c r="N185" s="588"/>
      <c r="O185" s="589"/>
      <c r="Q185" s="590"/>
      <c r="R185" s="588"/>
      <c r="S185" s="589"/>
      <c r="U185" s="597"/>
      <c r="V185" s="598" t="s">
        <v>374</v>
      </c>
      <c r="W185" s="599" t="s">
        <v>453</v>
      </c>
      <c r="X185" s="598" t="s">
        <v>454</v>
      </c>
    </row>
    <row r="186" spans="1:27">
      <c r="A186" s="585" t="s">
        <v>235</v>
      </c>
      <c r="C186" s="571">
        <v>213982</v>
      </c>
      <c r="E186" s="587">
        <v>1.71</v>
      </c>
      <c r="F186" s="625"/>
      <c r="G186" s="589">
        <v>365909</v>
      </c>
      <c r="I186" s="626"/>
      <c r="J186" s="625"/>
      <c r="K186" s="589"/>
      <c r="M186" s="626"/>
      <c r="N186" s="625"/>
      <c r="O186" s="589"/>
      <c r="Q186" s="626"/>
      <c r="R186" s="625"/>
      <c r="S186" s="589"/>
      <c r="U186" s="600" t="s">
        <v>508</v>
      </c>
      <c r="V186" s="601">
        <v>141327.92774415415</v>
      </c>
      <c r="W186" s="602">
        <v>35194.908602546282</v>
      </c>
      <c r="X186" s="601">
        <v>-79377.335589103604</v>
      </c>
    </row>
    <row r="187" spans="1:27">
      <c r="A187" s="585" t="s">
        <v>236</v>
      </c>
      <c r="C187" s="571">
        <v>23409585</v>
      </c>
      <c r="E187" s="630">
        <v>6.6246999999999998</v>
      </c>
      <c r="F187" s="592" t="s">
        <v>108</v>
      </c>
      <c r="G187" s="589">
        <v>1550815</v>
      </c>
      <c r="I187" s="616">
        <v>6.7900000000000002E-2</v>
      </c>
      <c r="J187" s="592"/>
      <c r="K187" s="589">
        <v>105300.3385</v>
      </c>
      <c r="M187" s="616">
        <v>2.5399999999999999E-2</v>
      </c>
      <c r="N187" s="592"/>
      <c r="O187" s="589">
        <v>26260.467333333334</v>
      </c>
      <c r="Q187" s="616">
        <v>-3.8100000000000002E-2</v>
      </c>
      <c r="R187" s="592"/>
      <c r="S187" s="589">
        <v>-59086.051500000001</v>
      </c>
      <c r="U187" s="604" t="s">
        <v>509</v>
      </c>
      <c r="V187" s="601">
        <v>141315.51699999999</v>
      </c>
      <c r="W187" s="602">
        <v>35242.161333333337</v>
      </c>
      <c r="X187" s="601">
        <v>-79294.862999999998</v>
      </c>
      <c r="Y187" s="593">
        <v>6.7900000000000002E-2</v>
      </c>
      <c r="Z187" s="593">
        <v>2.5400000000000002E-2</v>
      </c>
      <c r="AA187" s="593">
        <v>-3.8100000000000002E-2</v>
      </c>
    </row>
    <row r="188" spans="1:27">
      <c r="A188" s="585" t="s">
        <v>223</v>
      </c>
      <c r="C188" s="571">
        <v>18624790.927008364</v>
      </c>
      <c r="E188" s="630">
        <v>2.8479000000000001</v>
      </c>
      <c r="F188" s="592" t="s">
        <v>108</v>
      </c>
      <c r="G188" s="589">
        <v>530415</v>
      </c>
      <c r="I188" s="616">
        <v>6.7900000000000002E-2</v>
      </c>
      <c r="J188" s="592"/>
      <c r="K188" s="589">
        <v>36015.178500000002</v>
      </c>
      <c r="M188" s="616">
        <v>2.5399999999999999E-2</v>
      </c>
      <c r="N188" s="592"/>
      <c r="O188" s="589">
        <v>8981.6939999999995</v>
      </c>
      <c r="Q188" s="616">
        <v>-3.8100000000000002E-2</v>
      </c>
      <c r="R188" s="592"/>
      <c r="S188" s="589">
        <v>-20208.8115</v>
      </c>
      <c r="U188" s="606" t="s">
        <v>22</v>
      </c>
      <c r="V188" s="607">
        <v>-12.410744154156419</v>
      </c>
      <c r="W188" s="608">
        <v>47.252730787055043</v>
      </c>
      <c r="X188" s="607">
        <v>82.472589103606879</v>
      </c>
      <c r="Y188" s="593">
        <v>6.7900000000000002E-2</v>
      </c>
      <c r="Z188" s="593">
        <v>2.5399999999999999E-2</v>
      </c>
      <c r="AA188" s="593">
        <v>-3.8100000000000002E-2</v>
      </c>
    </row>
    <row r="189" spans="1:27">
      <c r="A189" s="585" t="s">
        <v>132</v>
      </c>
      <c r="C189" s="617">
        <v>0</v>
      </c>
      <c r="G189" s="618"/>
      <c r="I189" s="640"/>
      <c r="K189" s="618"/>
      <c r="M189" s="640"/>
      <c r="O189" s="618"/>
      <c r="Q189" s="640"/>
      <c r="S189" s="618"/>
      <c r="U189" s="593" t="s">
        <v>510</v>
      </c>
      <c r="V189" s="610">
        <v>6.7905963177618114E-2</v>
      </c>
      <c r="W189" s="611">
        <v>2.536594365054291E-2</v>
      </c>
      <c r="X189" s="610">
        <v>-3.8139626850037529E-2</v>
      </c>
    </row>
    <row r="190" spans="1:27" ht="16.5" thickBot="1">
      <c r="A190" s="585" t="s">
        <v>134</v>
      </c>
      <c r="C190" s="641">
        <v>42034375.927008361</v>
      </c>
      <c r="E190" s="631"/>
      <c r="G190" s="632">
        <v>2468739</v>
      </c>
      <c r="I190" s="642"/>
      <c r="K190" s="632">
        <v>141315.51699999999</v>
      </c>
      <c r="M190" s="642"/>
      <c r="O190" s="632">
        <v>35242.161333333337</v>
      </c>
      <c r="Q190" s="642"/>
      <c r="S190" s="632">
        <v>-79294.862999999998</v>
      </c>
      <c r="V190" s="593">
        <v>5.724198345795161E-2</v>
      </c>
      <c r="W190" s="593">
        <v>2.1413054194874388E-2</v>
      </c>
      <c r="X190" s="593">
        <v>-3.2119581292311579E-2</v>
      </c>
      <c r="Y190" s="593">
        <v>5.724198345795161E-2</v>
      </c>
      <c r="Z190" s="593">
        <v>2.1413054194874388E-2</v>
      </c>
      <c r="AA190" s="593">
        <v>-3.2119581292311579E-2</v>
      </c>
    </row>
    <row r="191" spans="1:27" ht="16.5" thickTop="1">
      <c r="C191" s="571"/>
    </row>
    <row r="192" spans="1:27">
      <c r="A192" s="562" t="s">
        <v>238</v>
      </c>
    </row>
    <row r="193" spans="1:27">
      <c r="A193" s="585" t="s">
        <v>239</v>
      </c>
      <c r="C193" s="571">
        <v>0</v>
      </c>
      <c r="E193" s="666">
        <v>98</v>
      </c>
      <c r="F193" s="612"/>
      <c r="G193" s="589">
        <v>0</v>
      </c>
      <c r="I193" s="667"/>
      <c r="J193" s="612"/>
      <c r="K193" s="589"/>
      <c r="M193" s="667"/>
      <c r="N193" s="612"/>
      <c r="O193" s="589"/>
      <c r="Q193" s="667"/>
      <c r="R193" s="612"/>
      <c r="S193" s="589"/>
    </row>
    <row r="194" spans="1:27">
      <c r="A194" s="585" t="s">
        <v>240</v>
      </c>
      <c r="C194" s="571">
        <v>2534</v>
      </c>
      <c r="E194" s="666">
        <v>30</v>
      </c>
      <c r="F194" s="612"/>
      <c r="G194" s="589">
        <v>76020</v>
      </c>
      <c r="I194" s="667"/>
      <c r="J194" s="612"/>
      <c r="K194" s="589"/>
      <c r="M194" s="667"/>
      <c r="N194" s="612"/>
      <c r="O194" s="589"/>
      <c r="Q194" s="667"/>
      <c r="R194" s="612"/>
      <c r="S194" s="589"/>
    </row>
    <row r="195" spans="1:27">
      <c r="A195" s="585" t="s">
        <v>241</v>
      </c>
      <c r="C195" s="571">
        <v>11182</v>
      </c>
      <c r="E195" s="666">
        <v>12</v>
      </c>
      <c r="F195" s="612"/>
      <c r="G195" s="589">
        <v>134184</v>
      </c>
      <c r="I195" s="667"/>
      <c r="J195" s="612"/>
      <c r="K195" s="589"/>
      <c r="M195" s="667"/>
      <c r="N195" s="612"/>
      <c r="O195" s="589"/>
      <c r="Q195" s="667"/>
      <c r="R195" s="612"/>
      <c r="S195" s="589"/>
      <c r="U195" s="594" t="s">
        <v>244</v>
      </c>
      <c r="V195" s="595"/>
      <c r="W195" s="596"/>
      <c r="X195" s="596"/>
    </row>
    <row r="196" spans="1:27">
      <c r="A196" s="585" t="s">
        <v>242</v>
      </c>
      <c r="C196" s="571">
        <v>311366</v>
      </c>
      <c r="E196" s="666">
        <v>5.75</v>
      </c>
      <c r="F196" s="612"/>
      <c r="G196" s="589">
        <v>1790355</v>
      </c>
      <c r="I196" s="616">
        <v>4.7600000000000003E-2</v>
      </c>
      <c r="J196" s="592"/>
      <c r="K196" s="589">
        <v>85220.898000000001</v>
      </c>
      <c r="M196" s="616">
        <v>1.8100000000000002E-2</v>
      </c>
      <c r="N196" s="592"/>
      <c r="O196" s="589">
        <v>21603.617000000002</v>
      </c>
      <c r="Q196" s="616">
        <v>-2.6800000000000001E-2</v>
      </c>
      <c r="R196" s="592"/>
      <c r="S196" s="589">
        <v>-47981.514000000003</v>
      </c>
      <c r="U196" s="597"/>
      <c r="V196" s="598" t="s">
        <v>374</v>
      </c>
      <c r="W196" s="599" t="s">
        <v>453</v>
      </c>
      <c r="X196" s="598" t="s">
        <v>454</v>
      </c>
      <c r="Y196" s="593">
        <v>4.7600000000000003E-2</v>
      </c>
      <c r="Z196" s="593">
        <v>1.8100000000000002E-2</v>
      </c>
      <c r="AA196" s="593">
        <v>-2.6800000000000001E-2</v>
      </c>
    </row>
    <row r="197" spans="1:27">
      <c r="A197" s="585" t="s">
        <v>154</v>
      </c>
      <c r="C197" s="571">
        <v>31</v>
      </c>
      <c r="E197" s="666">
        <v>-1.61</v>
      </c>
      <c r="F197" s="612"/>
      <c r="G197" s="589">
        <v>-50</v>
      </c>
      <c r="I197" s="616"/>
      <c r="J197" s="592"/>
      <c r="K197" s="589"/>
      <c r="M197" s="616"/>
      <c r="N197" s="592"/>
      <c r="O197" s="589"/>
      <c r="Q197" s="616"/>
      <c r="R197" s="592"/>
      <c r="S197" s="589"/>
      <c r="U197" s="600" t="s">
        <v>508</v>
      </c>
      <c r="V197" s="601">
        <v>527023.22997203562</v>
      </c>
      <c r="W197" s="602">
        <v>133578.56825635667</v>
      </c>
      <c r="X197" s="601">
        <v>-296004.48019357596</v>
      </c>
    </row>
    <row r="198" spans="1:27">
      <c r="A198" s="585" t="s">
        <v>243</v>
      </c>
      <c r="C198" s="571">
        <v>74963422</v>
      </c>
      <c r="E198" s="630">
        <v>5.7252000000000001</v>
      </c>
      <c r="F198" s="592" t="s">
        <v>108</v>
      </c>
      <c r="G198" s="589">
        <v>4291806</v>
      </c>
      <c r="I198" s="616">
        <v>4.7600000000000003E-2</v>
      </c>
      <c r="J198" s="592"/>
      <c r="K198" s="589">
        <v>204289.96560000003</v>
      </c>
      <c r="M198" s="616">
        <v>1.8100000000000002E-2</v>
      </c>
      <c r="N198" s="592"/>
      <c r="O198" s="589">
        <v>51787.792400000006</v>
      </c>
      <c r="Q198" s="616">
        <v>-2.6800000000000001E-2</v>
      </c>
      <c r="R198" s="592"/>
      <c r="S198" s="589">
        <v>-115020.4008</v>
      </c>
      <c r="U198" s="604" t="s">
        <v>509</v>
      </c>
      <c r="V198" s="601">
        <v>526720.03720000002</v>
      </c>
      <c r="W198" s="602">
        <v>133524.26713333334</v>
      </c>
      <c r="X198" s="601">
        <v>-296556.65960000001</v>
      </c>
      <c r="Y198" s="593">
        <v>4.7600000000000003E-2</v>
      </c>
      <c r="Z198" s="593">
        <v>1.8100000000000002E-2</v>
      </c>
      <c r="AA198" s="593">
        <v>-2.6800000000000001E-2</v>
      </c>
    </row>
    <row r="199" spans="1:27">
      <c r="A199" s="585" t="s">
        <v>245</v>
      </c>
      <c r="C199" s="617">
        <v>47994360</v>
      </c>
      <c r="E199" s="630">
        <v>4.2317999999999998</v>
      </c>
      <c r="F199" s="592" t="s">
        <v>108</v>
      </c>
      <c r="G199" s="645">
        <v>2031025</v>
      </c>
      <c r="I199" s="668">
        <v>4.7600000000000003E-2</v>
      </c>
      <c r="J199" s="592"/>
      <c r="K199" s="669">
        <v>96676.790000000008</v>
      </c>
      <c r="M199" s="616">
        <v>1.8100000000000002E-2</v>
      </c>
      <c r="N199" s="592"/>
      <c r="O199" s="669">
        <v>24507.701666666671</v>
      </c>
      <c r="Q199" s="616">
        <v>-2.6800000000000001E-2</v>
      </c>
      <c r="R199" s="592"/>
      <c r="S199" s="669">
        <v>-54431.47</v>
      </c>
      <c r="U199" s="606" t="s">
        <v>22</v>
      </c>
      <c r="V199" s="607">
        <v>-303.19277203560341</v>
      </c>
      <c r="W199" s="608">
        <v>-54.30112302332418</v>
      </c>
      <c r="X199" s="607">
        <v>-552.17940642405301</v>
      </c>
      <c r="Y199" s="593">
        <v>4.7600000000000003E-2</v>
      </c>
      <c r="Z199" s="593">
        <v>1.8100000000000002E-2</v>
      </c>
      <c r="AA199" s="593">
        <v>-2.6800000000000001E-2</v>
      </c>
    </row>
    <row r="200" spans="1:27">
      <c r="A200" s="585" t="s">
        <v>246</v>
      </c>
      <c r="C200" s="670">
        <v>122957782</v>
      </c>
      <c r="E200" s="671"/>
      <c r="G200" s="645">
        <v>8323340</v>
      </c>
      <c r="I200" s="672"/>
      <c r="K200" s="645">
        <v>386187.65360000008</v>
      </c>
      <c r="M200" s="672"/>
      <c r="O200" s="645">
        <v>97899.111066666679</v>
      </c>
      <c r="Q200" s="672"/>
      <c r="S200" s="645">
        <v>-217433.3848</v>
      </c>
      <c r="U200" s="593" t="s">
        <v>510</v>
      </c>
      <c r="V200" s="610">
        <v>4.7627399709389479E-2</v>
      </c>
      <c r="W200" s="611">
        <v>1.8107360836706492E-2</v>
      </c>
      <c r="X200" s="610">
        <v>-2.6750099221807648E-2</v>
      </c>
      <c r="Y200" s="593">
        <v>4.6398159104398005E-2</v>
      </c>
      <c r="Z200" s="593">
        <v>1.7642997474571511E-2</v>
      </c>
      <c r="AA200" s="593">
        <v>-2.6123333277266098E-2</v>
      </c>
    </row>
    <row r="201" spans="1:27">
      <c r="A201" s="585" t="s">
        <v>247</v>
      </c>
      <c r="C201" s="571"/>
      <c r="I201" s="640"/>
      <c r="M201" s="640"/>
      <c r="Q201" s="640"/>
    </row>
    <row r="202" spans="1:27">
      <c r="A202" s="585" t="s">
        <v>248</v>
      </c>
      <c r="C202" s="615">
        <v>4707</v>
      </c>
      <c r="E202" s="673">
        <v>12</v>
      </c>
      <c r="F202" s="609"/>
      <c r="G202" s="613">
        <v>56484</v>
      </c>
      <c r="I202" s="674"/>
      <c r="J202" s="609"/>
      <c r="K202" s="613"/>
      <c r="M202" s="674"/>
      <c r="N202" s="609"/>
      <c r="O202" s="613"/>
      <c r="Q202" s="674"/>
      <c r="R202" s="609"/>
      <c r="S202" s="613"/>
    </row>
    <row r="203" spans="1:27">
      <c r="A203" s="585" t="s">
        <v>249</v>
      </c>
      <c r="C203" s="617">
        <v>47167286</v>
      </c>
      <c r="E203" s="638">
        <v>3.9216000000000002</v>
      </c>
      <c r="F203" s="592" t="s">
        <v>108</v>
      </c>
      <c r="G203" s="669">
        <v>1849712</v>
      </c>
      <c r="I203" s="668">
        <v>4.7600000000000003E-2</v>
      </c>
      <c r="J203" s="592"/>
      <c r="K203" s="669">
        <v>88046.291200000007</v>
      </c>
      <c r="M203" s="616">
        <v>1.8100000000000002E-2</v>
      </c>
      <c r="N203" s="592"/>
      <c r="O203" s="669">
        <v>22319.858133333339</v>
      </c>
      <c r="Q203" s="616">
        <v>-2.6800000000000001E-2</v>
      </c>
      <c r="R203" s="592"/>
      <c r="S203" s="669">
        <v>-49572.281600000002</v>
      </c>
      <c r="Y203" s="593">
        <v>4.7600000000000003E-2</v>
      </c>
      <c r="Z203" s="593">
        <v>1.8100000000000005E-2</v>
      </c>
      <c r="AA203" s="593">
        <v>-2.6800000000000001E-2</v>
      </c>
    </row>
    <row r="204" spans="1:27">
      <c r="A204" s="585" t="s">
        <v>250</v>
      </c>
      <c r="C204" s="617">
        <v>47167286</v>
      </c>
      <c r="E204" s="671"/>
      <c r="G204" s="645">
        <v>1906196</v>
      </c>
      <c r="I204" s="672"/>
      <c r="K204" s="645">
        <v>88046.291200000007</v>
      </c>
      <c r="M204" s="672"/>
      <c r="O204" s="645">
        <v>22319.858133333339</v>
      </c>
      <c r="Q204" s="672"/>
      <c r="S204" s="645">
        <v>-49572.281600000002</v>
      </c>
      <c r="Y204" s="593">
        <v>4.6189526785283361E-2</v>
      </c>
      <c r="Z204" s="593">
        <v>1.7563664596924981E-2</v>
      </c>
      <c r="AA204" s="593">
        <v>-2.6005868021966264E-2</v>
      </c>
    </row>
    <row r="205" spans="1:27">
      <c r="A205" s="585" t="s">
        <v>132</v>
      </c>
      <c r="C205" s="617">
        <v>0</v>
      </c>
      <c r="G205" s="618"/>
      <c r="I205" s="640"/>
      <c r="K205" s="645"/>
      <c r="M205" s="640"/>
      <c r="O205" s="645"/>
      <c r="Q205" s="640"/>
      <c r="S205" s="645"/>
    </row>
    <row r="206" spans="1:27" ht="16.5" thickBot="1">
      <c r="A206" s="585" t="s">
        <v>251</v>
      </c>
      <c r="C206" s="641">
        <v>170125068</v>
      </c>
      <c r="E206" s="631"/>
      <c r="G206" s="632">
        <v>10229536</v>
      </c>
      <c r="I206" s="642"/>
      <c r="K206" s="632">
        <v>474233.94480000006</v>
      </c>
      <c r="M206" s="642"/>
      <c r="O206" s="632">
        <v>120218.96920000002</v>
      </c>
      <c r="Q206" s="642"/>
      <c r="S206" s="632">
        <v>-267005.66639999999</v>
      </c>
      <c r="V206" s="593">
        <v>4.6359282063233372E-2</v>
      </c>
      <c r="W206" s="593">
        <v>1.7628214397994203E-2</v>
      </c>
      <c r="X206" s="593">
        <v>-2.6101444522996935E-2</v>
      </c>
      <c r="Y206" s="593">
        <v>4.6359282063233372E-2</v>
      </c>
      <c r="Z206" s="593">
        <v>1.7628214397994203E-2</v>
      </c>
      <c r="AA206" s="593">
        <v>-2.6101444522996935E-2</v>
      </c>
    </row>
    <row r="207" spans="1:27" ht="16.5" thickTop="1">
      <c r="C207" s="571"/>
    </row>
    <row r="208" spans="1:27">
      <c r="A208" s="562" t="s">
        <v>252</v>
      </c>
      <c r="C208" s="571"/>
    </row>
    <row r="209" spans="1:27">
      <c r="A209" s="585" t="s">
        <v>239</v>
      </c>
      <c r="C209" s="571">
        <v>2</v>
      </c>
      <c r="E209" s="666">
        <v>98</v>
      </c>
      <c r="F209" s="644"/>
      <c r="G209" s="589">
        <v>196</v>
      </c>
      <c r="I209" s="639"/>
      <c r="J209" s="644"/>
      <c r="K209" s="589"/>
      <c r="M209" s="639"/>
      <c r="N209" s="644"/>
      <c r="O209" s="589"/>
      <c r="Q209" s="639"/>
      <c r="R209" s="644"/>
      <c r="S209" s="589"/>
    </row>
    <row r="210" spans="1:27">
      <c r="A210" s="585" t="s">
        <v>240</v>
      </c>
      <c r="C210" s="615">
        <v>233.41666666666652</v>
      </c>
      <c r="E210" s="666">
        <v>30</v>
      </c>
      <c r="F210" s="644"/>
      <c r="G210" s="589">
        <v>7003</v>
      </c>
      <c r="I210" s="639"/>
      <c r="J210" s="644"/>
      <c r="K210" s="589"/>
      <c r="M210" s="639"/>
      <c r="N210" s="644"/>
      <c r="O210" s="589"/>
      <c r="Q210" s="639"/>
      <c r="R210" s="644"/>
      <c r="S210" s="589"/>
    </row>
    <row r="211" spans="1:27">
      <c r="A211" s="585" t="s">
        <v>253</v>
      </c>
      <c r="C211" s="615">
        <v>1060</v>
      </c>
      <c r="E211" s="666">
        <v>12</v>
      </c>
      <c r="F211" s="644"/>
      <c r="G211" s="589">
        <v>12720</v>
      </c>
      <c r="I211" s="639"/>
      <c r="J211" s="644"/>
      <c r="K211" s="589"/>
      <c r="M211" s="639"/>
      <c r="N211" s="644"/>
      <c r="O211" s="589"/>
      <c r="Q211" s="639"/>
      <c r="R211" s="644"/>
      <c r="S211" s="589"/>
    </row>
    <row r="212" spans="1:27">
      <c r="A212" s="585" t="s">
        <v>242</v>
      </c>
      <c r="C212" s="615">
        <v>37587</v>
      </c>
      <c r="E212" s="666">
        <v>5.75</v>
      </c>
      <c r="F212" s="644"/>
      <c r="G212" s="589">
        <v>216125</v>
      </c>
      <c r="I212" s="616">
        <v>4.7600000000000003E-2</v>
      </c>
      <c r="J212" s="592"/>
      <c r="K212" s="589">
        <v>10287.550000000001</v>
      </c>
      <c r="M212" s="616">
        <v>1.8100000000000002E-2</v>
      </c>
      <c r="N212" s="592"/>
      <c r="O212" s="589">
        <v>2607.9083333333333</v>
      </c>
      <c r="Q212" s="616">
        <v>-2.6800000000000001E-2</v>
      </c>
      <c r="R212" s="592"/>
      <c r="S212" s="589">
        <v>-5792.1500000000005</v>
      </c>
      <c r="U212" s="593"/>
      <c r="V212" s="593"/>
      <c r="W212" s="627"/>
      <c r="X212" s="593"/>
      <c r="Y212" s="593">
        <v>4.7600000000000003E-2</v>
      </c>
      <c r="Z212" s="593">
        <v>1.8099999999999998E-2</v>
      </c>
      <c r="AA212" s="593">
        <v>-2.6800000000000001E-2</v>
      </c>
    </row>
    <row r="213" spans="1:27">
      <c r="A213" s="585" t="s">
        <v>254</v>
      </c>
      <c r="C213" s="615">
        <v>6054</v>
      </c>
      <c r="E213" s="666">
        <v>-1.61</v>
      </c>
      <c r="F213" s="644"/>
      <c r="G213" s="589">
        <v>-9747</v>
      </c>
      <c r="I213" s="639"/>
      <c r="J213" s="644"/>
      <c r="K213" s="589"/>
      <c r="M213" s="639"/>
      <c r="N213" s="644"/>
      <c r="O213" s="589"/>
      <c r="Q213" s="639"/>
      <c r="R213" s="644"/>
      <c r="S213" s="589"/>
    </row>
    <row r="214" spans="1:27">
      <c r="A214" s="585" t="s">
        <v>236</v>
      </c>
      <c r="C214" s="615">
        <v>2969621</v>
      </c>
      <c r="E214" s="630">
        <v>11.311</v>
      </c>
      <c r="F214" s="592" t="s">
        <v>108</v>
      </c>
      <c r="G214" s="589">
        <v>335894</v>
      </c>
      <c r="I214" s="616">
        <v>4.7600000000000003E-2</v>
      </c>
      <c r="J214" s="592"/>
      <c r="K214" s="589">
        <v>15988.554400000001</v>
      </c>
      <c r="M214" s="616">
        <v>1.8100000000000002E-2</v>
      </c>
      <c r="N214" s="592"/>
      <c r="O214" s="589">
        <v>4053.1209333333336</v>
      </c>
      <c r="Q214" s="616">
        <v>-2.6800000000000001E-2</v>
      </c>
      <c r="R214" s="592"/>
      <c r="S214" s="589">
        <v>-9001.9592000000011</v>
      </c>
      <c r="U214" s="593"/>
      <c r="V214" s="593"/>
      <c r="W214" s="627"/>
      <c r="X214" s="593"/>
      <c r="Y214" s="593">
        <v>4.7600000000000003E-2</v>
      </c>
      <c r="Z214" s="593">
        <v>1.8100000000000002E-2</v>
      </c>
      <c r="AA214" s="593">
        <v>-2.6800000000000004E-2</v>
      </c>
    </row>
    <row r="215" spans="1:27">
      <c r="A215" s="585" t="s">
        <v>223</v>
      </c>
      <c r="C215" s="617">
        <v>10030915</v>
      </c>
      <c r="E215" s="638">
        <v>3.2631000000000001</v>
      </c>
      <c r="F215" s="592" t="s">
        <v>108</v>
      </c>
      <c r="G215" s="669">
        <v>327319</v>
      </c>
      <c r="I215" s="668">
        <v>4.7600000000000003E-2</v>
      </c>
      <c r="J215" s="592"/>
      <c r="K215" s="669">
        <v>15580.384400000001</v>
      </c>
      <c r="M215" s="616">
        <v>1.8100000000000002E-2</v>
      </c>
      <c r="N215" s="592"/>
      <c r="O215" s="669">
        <v>3949.6492666666672</v>
      </c>
      <c r="Q215" s="616">
        <v>-2.6800000000000001E-2</v>
      </c>
      <c r="R215" s="592"/>
      <c r="S215" s="669">
        <v>-8772.1491999999998</v>
      </c>
      <c r="U215" s="593"/>
      <c r="V215" s="593"/>
      <c r="W215" s="627"/>
      <c r="X215" s="593"/>
      <c r="Y215" s="593">
        <v>4.7600000000000003E-2</v>
      </c>
      <c r="Z215" s="593">
        <v>1.8100000000000005E-2</v>
      </c>
      <c r="AA215" s="593">
        <v>-2.6800000000000001E-2</v>
      </c>
    </row>
    <row r="216" spans="1:27">
      <c r="A216" s="585" t="s">
        <v>246</v>
      </c>
      <c r="C216" s="617">
        <v>13000536</v>
      </c>
      <c r="E216" s="671"/>
      <c r="G216" s="645">
        <v>889510</v>
      </c>
      <c r="I216" s="675"/>
      <c r="K216" s="645">
        <v>41856.488800000006</v>
      </c>
      <c r="M216" s="675"/>
      <c r="O216" s="645">
        <v>10610.678533333334</v>
      </c>
      <c r="Q216" s="675"/>
      <c r="S216" s="645">
        <v>-23566.258400000002</v>
      </c>
      <c r="Y216" s="593">
        <v>4.7055669750761663E-2</v>
      </c>
      <c r="Z216" s="593">
        <v>1.7893017279176176E-2</v>
      </c>
      <c r="AA216" s="593">
        <v>-2.6493528347067488E-2</v>
      </c>
    </row>
    <row r="217" spans="1:27">
      <c r="A217" s="585" t="s">
        <v>247</v>
      </c>
      <c r="C217" s="571"/>
    </row>
    <row r="218" spans="1:27">
      <c r="A218" s="585" t="s">
        <v>248</v>
      </c>
      <c r="C218" s="615">
        <v>527</v>
      </c>
      <c r="E218" s="673">
        <v>12</v>
      </c>
      <c r="F218" s="644"/>
      <c r="G218" s="613">
        <v>6324</v>
      </c>
      <c r="I218" s="676"/>
      <c r="J218" s="644"/>
      <c r="K218" s="613"/>
      <c r="M218" s="676"/>
      <c r="N218" s="644"/>
      <c r="O218" s="613"/>
      <c r="Q218" s="676"/>
      <c r="R218" s="644"/>
      <c r="S218" s="613"/>
    </row>
    <row r="219" spans="1:27" s="677" customFormat="1">
      <c r="A219" s="585" t="s">
        <v>249</v>
      </c>
      <c r="B219" s="560"/>
      <c r="C219" s="617">
        <v>5694396.0000000596</v>
      </c>
      <c r="D219" s="572"/>
      <c r="E219" s="638">
        <v>3.9216000000000002</v>
      </c>
      <c r="F219" s="592" t="s">
        <v>108</v>
      </c>
      <c r="G219" s="669">
        <v>223311</v>
      </c>
      <c r="H219" s="572"/>
      <c r="I219" s="668">
        <v>4.7600000000000003E-2</v>
      </c>
      <c r="J219" s="592"/>
      <c r="K219" s="669">
        <v>10629.6036</v>
      </c>
      <c r="L219" s="572"/>
      <c r="M219" s="616">
        <v>1.8100000000000002E-2</v>
      </c>
      <c r="N219" s="592"/>
      <c r="O219" s="669">
        <v>2694.6194</v>
      </c>
      <c r="P219" s="572"/>
      <c r="Q219" s="616">
        <v>-2.6800000000000001E-2</v>
      </c>
      <c r="R219" s="592"/>
      <c r="S219" s="669">
        <v>-5984.7348000000002</v>
      </c>
      <c r="U219" s="593"/>
      <c r="V219" s="593"/>
      <c r="W219" s="627"/>
      <c r="X219" s="593"/>
      <c r="Y219" s="593">
        <v>4.7600000000000003E-2</v>
      </c>
      <c r="Z219" s="593">
        <v>1.8100000000000002E-2</v>
      </c>
      <c r="AA219" s="593">
        <v>-2.6800000000000001E-2</v>
      </c>
    </row>
    <row r="220" spans="1:27" s="677" customFormat="1">
      <c r="A220" s="585" t="s">
        <v>250</v>
      </c>
      <c r="B220" s="560"/>
      <c r="C220" s="617">
        <v>5694396.0000000596</v>
      </c>
      <c r="D220" s="572"/>
      <c r="E220" s="671"/>
      <c r="F220" s="572"/>
      <c r="G220" s="645">
        <v>229635</v>
      </c>
      <c r="H220" s="572"/>
      <c r="I220" s="675"/>
      <c r="J220" s="572"/>
      <c r="K220" s="645">
        <v>10629.6036</v>
      </c>
      <c r="L220" s="572"/>
      <c r="M220" s="675"/>
      <c r="N220" s="572"/>
      <c r="O220" s="645">
        <v>2694.6194</v>
      </c>
      <c r="P220" s="572"/>
      <c r="Q220" s="675"/>
      <c r="R220" s="572"/>
      <c r="S220" s="645">
        <v>-5984.7348000000002</v>
      </c>
      <c r="Y220" s="593">
        <v>4.6289126657521718E-2</v>
      </c>
      <c r="Z220" s="593">
        <v>1.7601537657587041E-2</v>
      </c>
      <c r="AA220" s="593">
        <v>-2.6061945260957606E-2</v>
      </c>
    </row>
    <row r="221" spans="1:27" s="677" customFormat="1">
      <c r="A221" s="585" t="s">
        <v>132</v>
      </c>
      <c r="B221" s="560"/>
      <c r="C221" s="617">
        <v>0</v>
      </c>
      <c r="D221" s="572"/>
      <c r="E221" s="570"/>
      <c r="F221" s="572"/>
      <c r="G221" s="618"/>
      <c r="H221" s="572"/>
      <c r="I221" s="573"/>
      <c r="J221" s="572"/>
      <c r="K221" s="618"/>
      <c r="L221" s="572"/>
      <c r="M221" s="573"/>
      <c r="N221" s="572"/>
      <c r="O221" s="618"/>
      <c r="P221" s="572"/>
      <c r="Q221" s="573"/>
      <c r="R221" s="572"/>
      <c r="S221" s="618"/>
    </row>
    <row r="222" spans="1:27" s="677" customFormat="1" ht="16.5" thickBot="1">
      <c r="A222" s="585" t="s">
        <v>255</v>
      </c>
      <c r="B222" s="560"/>
      <c r="C222" s="641">
        <v>18694932.00000006</v>
      </c>
      <c r="D222" s="572"/>
      <c r="E222" s="631"/>
      <c r="F222" s="572"/>
      <c r="G222" s="632">
        <v>1119145</v>
      </c>
      <c r="H222" s="572"/>
      <c r="I222" s="633"/>
      <c r="J222" s="572"/>
      <c r="K222" s="632">
        <v>52486.092400000009</v>
      </c>
      <c r="L222" s="572"/>
      <c r="M222" s="633"/>
      <c r="N222" s="572"/>
      <c r="O222" s="632">
        <v>13305.297933333333</v>
      </c>
      <c r="P222" s="572"/>
      <c r="Q222" s="633"/>
      <c r="R222" s="572"/>
      <c r="S222" s="632">
        <v>-29550.993200000004</v>
      </c>
      <c r="V222" s="593">
        <v>4.6898384391656139E-2</v>
      </c>
      <c r="W222" s="593">
        <v>1.7833209190944874E-2</v>
      </c>
      <c r="X222" s="593">
        <v>-2.6404972724713961E-2</v>
      </c>
      <c r="Y222" s="593">
        <v>4.6898384391656139E-2</v>
      </c>
      <c r="Z222" s="593">
        <v>1.7833209190944874E-2</v>
      </c>
      <c r="AA222" s="593">
        <v>-2.6404972724713961E-2</v>
      </c>
    </row>
    <row r="223" spans="1:27" s="677" customFormat="1" ht="16.5" thickTop="1">
      <c r="A223" s="570"/>
      <c r="B223" s="560"/>
      <c r="C223" s="571"/>
      <c r="D223" s="572"/>
      <c r="E223" s="570"/>
      <c r="F223" s="572"/>
      <c r="G223" s="560"/>
      <c r="H223" s="572"/>
      <c r="I223" s="573"/>
      <c r="J223" s="572"/>
      <c r="K223" s="560"/>
      <c r="L223" s="572"/>
      <c r="M223" s="573"/>
      <c r="N223" s="572"/>
      <c r="O223" s="560"/>
      <c r="P223" s="572"/>
      <c r="Q223" s="573"/>
      <c r="R223" s="572"/>
      <c r="S223" s="560"/>
    </row>
    <row r="224" spans="1:27" s="677" customFormat="1">
      <c r="A224" s="562" t="s">
        <v>257</v>
      </c>
      <c r="B224" s="570"/>
      <c r="C224" s="571"/>
      <c r="D224" s="678"/>
      <c r="E224" s="570"/>
      <c r="F224" s="678"/>
      <c r="G224" s="570"/>
      <c r="H224" s="678"/>
      <c r="I224" s="640"/>
      <c r="J224" s="678"/>
      <c r="K224" s="570"/>
      <c r="L224" s="678"/>
      <c r="M224" s="640"/>
      <c r="N224" s="678"/>
      <c r="O224" s="570"/>
      <c r="P224" s="678"/>
      <c r="Q224" s="640"/>
      <c r="R224" s="678"/>
      <c r="S224" s="570"/>
    </row>
    <row r="225" spans="1:27" s="677" customFormat="1">
      <c r="A225" s="648" t="s">
        <v>258</v>
      </c>
      <c r="B225" s="570"/>
      <c r="C225" s="615"/>
      <c r="D225" s="678"/>
      <c r="E225" s="646"/>
      <c r="F225" s="646"/>
      <c r="G225" s="679"/>
      <c r="H225" s="678"/>
      <c r="I225" s="680"/>
      <c r="J225" s="646"/>
      <c r="K225" s="679"/>
      <c r="L225" s="678"/>
      <c r="M225" s="680"/>
      <c r="N225" s="646"/>
      <c r="O225" s="679"/>
      <c r="P225" s="678"/>
      <c r="Q225" s="680"/>
      <c r="R225" s="646"/>
      <c r="S225" s="679"/>
    </row>
    <row r="226" spans="1:27" s="677" customFormat="1">
      <c r="A226" s="585" t="s">
        <v>259</v>
      </c>
      <c r="B226" s="570"/>
      <c r="C226" s="571">
        <v>82340</v>
      </c>
      <c r="D226" s="678"/>
      <c r="E226" s="587">
        <v>11.69</v>
      </c>
      <c r="F226" s="646"/>
      <c r="G226" s="681">
        <v>962555</v>
      </c>
      <c r="H226" s="678"/>
      <c r="I226" s="616">
        <v>1.01E-2</v>
      </c>
      <c r="J226" s="592"/>
      <c r="K226" s="589">
        <v>9721.8055000000004</v>
      </c>
      <c r="L226" s="572"/>
      <c r="M226" s="616">
        <v>3.5000000000000001E-3</v>
      </c>
      <c r="N226" s="592"/>
      <c r="O226" s="589">
        <v>2245.9616666666666</v>
      </c>
      <c r="P226" s="572"/>
      <c r="Q226" s="616">
        <v>-5.7000000000000002E-3</v>
      </c>
      <c r="R226" s="592"/>
      <c r="S226" s="589">
        <v>-5486.5635000000002</v>
      </c>
      <c r="U226" s="594" t="s">
        <v>519</v>
      </c>
      <c r="V226" s="595"/>
      <c r="W226" s="596"/>
      <c r="X226" s="596"/>
      <c r="Y226" s="593">
        <v>1.01E-2</v>
      </c>
      <c r="Z226" s="593">
        <v>3.4999999999999996E-3</v>
      </c>
      <c r="AA226" s="593">
        <v>-5.7000000000000002E-3</v>
      </c>
    </row>
    <row r="227" spans="1:27" s="677" customFormat="1">
      <c r="A227" s="585" t="s">
        <v>260</v>
      </c>
      <c r="B227" s="570"/>
      <c r="C227" s="571">
        <v>242551</v>
      </c>
      <c r="D227" s="678"/>
      <c r="E227" s="587">
        <v>12.66</v>
      </c>
      <c r="F227" s="646"/>
      <c r="G227" s="681">
        <v>3070696</v>
      </c>
      <c r="H227" s="678"/>
      <c r="I227" s="616">
        <v>1.01E-2</v>
      </c>
      <c r="J227" s="592"/>
      <c r="K227" s="589">
        <v>31014.029599999998</v>
      </c>
      <c r="L227" s="572"/>
      <c r="M227" s="616">
        <v>3.5000000000000001E-3</v>
      </c>
      <c r="N227" s="592"/>
      <c r="O227" s="589">
        <v>7164.9573333333328</v>
      </c>
      <c r="P227" s="572"/>
      <c r="Q227" s="616">
        <v>-5.7000000000000002E-3</v>
      </c>
      <c r="R227" s="592"/>
      <c r="S227" s="589">
        <v>-17502.967199999999</v>
      </c>
      <c r="U227" s="597"/>
      <c r="V227" s="598" t="s">
        <v>374</v>
      </c>
      <c r="W227" s="599" t="s">
        <v>453</v>
      </c>
      <c r="X227" s="598" t="s">
        <v>454</v>
      </c>
      <c r="Y227" s="593">
        <v>1.01E-2</v>
      </c>
      <c r="Z227" s="593">
        <v>3.4999999999999996E-3</v>
      </c>
      <c r="AA227" s="593">
        <v>-5.6999999999999993E-3</v>
      </c>
    </row>
    <row r="228" spans="1:27" s="677" customFormat="1">
      <c r="A228" s="585" t="s">
        <v>261</v>
      </c>
      <c r="B228" s="570"/>
      <c r="C228" s="571">
        <v>448</v>
      </c>
      <c r="D228" s="678"/>
      <c r="E228" s="587">
        <v>11.39</v>
      </c>
      <c r="F228" s="646"/>
      <c r="G228" s="681">
        <v>5103</v>
      </c>
      <c r="H228" s="678"/>
      <c r="I228" s="616">
        <v>1.01E-2</v>
      </c>
      <c r="J228" s="592"/>
      <c r="K228" s="589">
        <v>51.540299999999995</v>
      </c>
      <c r="L228" s="572"/>
      <c r="M228" s="616">
        <v>3.5000000000000001E-3</v>
      </c>
      <c r="N228" s="592"/>
      <c r="O228" s="589">
        <v>11.907000000000002</v>
      </c>
      <c r="P228" s="572"/>
      <c r="Q228" s="616">
        <v>-5.7000000000000002E-3</v>
      </c>
      <c r="R228" s="592"/>
      <c r="S228" s="589">
        <v>-29.0871</v>
      </c>
      <c r="U228" s="600" t="s">
        <v>508</v>
      </c>
      <c r="V228" s="601">
        <v>63399.467812393537</v>
      </c>
      <c r="W228" s="602">
        <v>14594.514001660551</v>
      </c>
      <c r="X228" s="601">
        <v>-35608.537626230762</v>
      </c>
      <c r="Y228" s="593">
        <v>1.01E-2</v>
      </c>
      <c r="Z228" s="593">
        <v>3.5000000000000005E-3</v>
      </c>
      <c r="AA228" s="593">
        <v>-5.7000000000000002E-3</v>
      </c>
    </row>
    <row r="229" spans="1:27" s="677" customFormat="1">
      <c r="A229" s="585" t="s">
        <v>262</v>
      </c>
      <c r="B229" s="570"/>
      <c r="C229" s="571">
        <v>143</v>
      </c>
      <c r="D229" s="678"/>
      <c r="E229" s="587">
        <v>46.09</v>
      </c>
      <c r="F229" s="646"/>
      <c r="G229" s="681">
        <v>6591</v>
      </c>
      <c r="H229" s="678"/>
      <c r="I229" s="616">
        <v>1.01E-2</v>
      </c>
      <c r="J229" s="592"/>
      <c r="K229" s="589">
        <v>66.569099999999992</v>
      </c>
      <c r="L229" s="572"/>
      <c r="M229" s="616">
        <v>3.5000000000000001E-3</v>
      </c>
      <c r="N229" s="592"/>
      <c r="O229" s="589">
        <v>15.379</v>
      </c>
      <c r="P229" s="572"/>
      <c r="Q229" s="616">
        <v>-5.7000000000000002E-3</v>
      </c>
      <c r="R229" s="592"/>
      <c r="S229" s="589">
        <v>-37.5687</v>
      </c>
      <c r="U229" s="604" t="s">
        <v>509</v>
      </c>
      <c r="V229" s="601">
        <v>63404.194299999981</v>
      </c>
      <c r="W229" s="602">
        <v>14647.833666666664</v>
      </c>
      <c r="X229" s="601">
        <v>-35782.5651</v>
      </c>
      <c r="Y229" s="593">
        <v>1.01E-2</v>
      </c>
      <c r="Z229" s="593">
        <v>3.5000000000000001E-3</v>
      </c>
      <c r="AA229" s="593">
        <v>-5.7000000000000002E-3</v>
      </c>
    </row>
    <row r="230" spans="1:27" s="677" customFormat="1">
      <c r="A230" s="585" t="s">
        <v>263</v>
      </c>
      <c r="B230" s="570"/>
      <c r="C230" s="571">
        <v>76</v>
      </c>
      <c r="D230" s="678"/>
      <c r="E230" s="587">
        <v>37.68</v>
      </c>
      <c r="F230" s="646"/>
      <c r="G230" s="681">
        <v>2864</v>
      </c>
      <c r="H230" s="678"/>
      <c r="I230" s="616">
        <v>1.01E-2</v>
      </c>
      <c r="J230" s="592"/>
      <c r="K230" s="589">
        <v>28.926399999999997</v>
      </c>
      <c r="L230" s="572"/>
      <c r="M230" s="616">
        <v>3.5000000000000001E-3</v>
      </c>
      <c r="N230" s="592"/>
      <c r="O230" s="589">
        <v>6.682666666666667</v>
      </c>
      <c r="P230" s="572"/>
      <c r="Q230" s="616">
        <v>-5.7000000000000002E-3</v>
      </c>
      <c r="R230" s="592"/>
      <c r="S230" s="589">
        <v>-16.3248</v>
      </c>
      <c r="U230" s="606" t="s">
        <v>22</v>
      </c>
      <c r="V230" s="607">
        <v>4.7264876064436976</v>
      </c>
      <c r="W230" s="608">
        <v>53.3196650061127</v>
      </c>
      <c r="X230" s="607">
        <v>-174.02747376923799</v>
      </c>
      <c r="Y230" s="593">
        <v>1.01E-2</v>
      </c>
      <c r="Z230" s="593">
        <v>3.5000000000000005E-3</v>
      </c>
      <c r="AA230" s="593">
        <v>-5.7000000000000002E-3</v>
      </c>
    </row>
    <row r="231" spans="1:27" s="677" customFormat="1">
      <c r="A231" s="585" t="s">
        <v>264</v>
      </c>
      <c r="B231" s="570"/>
      <c r="C231" s="571">
        <v>28604</v>
      </c>
      <c r="D231" s="678"/>
      <c r="E231" s="587">
        <v>16.78</v>
      </c>
      <c r="F231" s="646"/>
      <c r="G231" s="681">
        <v>479975</v>
      </c>
      <c r="H231" s="678"/>
      <c r="I231" s="616">
        <v>1.01E-2</v>
      </c>
      <c r="J231" s="592"/>
      <c r="K231" s="589">
        <v>4847.7474999999995</v>
      </c>
      <c r="L231" s="572"/>
      <c r="M231" s="616">
        <v>3.5000000000000001E-3</v>
      </c>
      <c r="N231" s="592"/>
      <c r="O231" s="589">
        <v>1119.9416666666668</v>
      </c>
      <c r="P231" s="572"/>
      <c r="Q231" s="616">
        <v>-5.7000000000000002E-3</v>
      </c>
      <c r="R231" s="592"/>
      <c r="S231" s="589">
        <v>-2735.8575000000001</v>
      </c>
      <c r="U231" s="593" t="s">
        <v>510</v>
      </c>
      <c r="V231" s="610">
        <v>1.009924709200468E-2</v>
      </c>
      <c r="W231" s="611">
        <v>3.487259629528284E-3</v>
      </c>
      <c r="X231" s="610">
        <v>-5.6722782143283331E-3</v>
      </c>
      <c r="Y231" s="593">
        <v>1.01E-2</v>
      </c>
      <c r="Z231" s="593">
        <v>3.5000000000000009E-3</v>
      </c>
      <c r="AA231" s="593">
        <v>-5.7000000000000002E-3</v>
      </c>
    </row>
    <row r="232" spans="1:27" s="677" customFormat="1">
      <c r="A232" s="585" t="s">
        <v>265</v>
      </c>
      <c r="B232" s="570"/>
      <c r="C232" s="571">
        <v>157</v>
      </c>
      <c r="D232" s="678"/>
      <c r="E232" s="587">
        <v>15.1</v>
      </c>
      <c r="F232" s="646"/>
      <c r="G232" s="681">
        <v>2371</v>
      </c>
      <c r="H232" s="678"/>
      <c r="I232" s="616">
        <v>1.01E-2</v>
      </c>
      <c r="J232" s="592"/>
      <c r="K232" s="589">
        <v>23.947099999999999</v>
      </c>
      <c r="L232" s="572"/>
      <c r="M232" s="616">
        <v>3.5000000000000001E-3</v>
      </c>
      <c r="N232" s="592"/>
      <c r="O232" s="589">
        <v>5.5323333333333338</v>
      </c>
      <c r="P232" s="572"/>
      <c r="Q232" s="616">
        <v>-5.7000000000000002E-3</v>
      </c>
      <c r="R232" s="592"/>
      <c r="S232" s="589">
        <v>-13.514700000000001</v>
      </c>
      <c r="Y232" s="593">
        <v>1.01E-2</v>
      </c>
      <c r="Z232" s="593">
        <v>3.5000000000000001E-3</v>
      </c>
      <c r="AA232" s="593">
        <v>-5.7000000000000002E-3</v>
      </c>
    </row>
    <row r="233" spans="1:27" s="677" customFormat="1">
      <c r="A233" s="585" t="s">
        <v>266</v>
      </c>
      <c r="B233" s="570"/>
      <c r="C233" s="571">
        <v>54</v>
      </c>
      <c r="D233" s="678"/>
      <c r="E233" s="587">
        <v>47.37</v>
      </c>
      <c r="F233" s="646"/>
      <c r="G233" s="681">
        <v>2558</v>
      </c>
      <c r="H233" s="678"/>
      <c r="I233" s="616">
        <v>1.01E-2</v>
      </c>
      <c r="J233" s="592"/>
      <c r="K233" s="589">
        <v>25.835799999999999</v>
      </c>
      <c r="L233" s="572"/>
      <c r="M233" s="616">
        <v>3.5000000000000001E-3</v>
      </c>
      <c r="N233" s="592"/>
      <c r="O233" s="589">
        <v>5.9686666666666666</v>
      </c>
      <c r="P233" s="572"/>
      <c r="Q233" s="616">
        <v>-5.7000000000000002E-3</v>
      </c>
      <c r="R233" s="592"/>
      <c r="S233" s="589">
        <v>-14.5806</v>
      </c>
      <c r="Y233" s="593">
        <v>1.01E-2</v>
      </c>
      <c r="Z233" s="593">
        <v>3.5000000000000001E-3</v>
      </c>
      <c r="AA233" s="593">
        <v>-5.7000000000000002E-3</v>
      </c>
    </row>
    <row r="234" spans="1:27" s="570" customFormat="1">
      <c r="A234" s="585" t="s">
        <v>267</v>
      </c>
      <c r="C234" s="571">
        <v>675</v>
      </c>
      <c r="D234" s="678"/>
      <c r="E234" s="587">
        <v>38.96</v>
      </c>
      <c r="F234" s="646"/>
      <c r="G234" s="681">
        <v>26298</v>
      </c>
      <c r="H234" s="678"/>
      <c r="I234" s="616">
        <v>1.01E-2</v>
      </c>
      <c r="J234" s="592"/>
      <c r="K234" s="589">
        <v>265.60980000000001</v>
      </c>
      <c r="L234" s="572"/>
      <c r="M234" s="616">
        <v>3.5000000000000001E-3</v>
      </c>
      <c r="N234" s="592"/>
      <c r="O234" s="589">
        <v>61.362000000000002</v>
      </c>
      <c r="P234" s="572"/>
      <c r="Q234" s="616">
        <v>-5.7000000000000002E-3</v>
      </c>
      <c r="R234" s="592"/>
      <c r="S234" s="589">
        <v>-149.89860000000002</v>
      </c>
      <c r="Y234" s="593">
        <v>1.01E-2</v>
      </c>
      <c r="Z234" s="593">
        <v>3.5000000000000001E-3</v>
      </c>
      <c r="AA234" s="593">
        <v>-5.7000000000000002E-3</v>
      </c>
    </row>
    <row r="235" spans="1:27" s="677" customFormat="1">
      <c r="A235" s="585" t="s">
        <v>268</v>
      </c>
      <c r="B235" s="570"/>
      <c r="C235" s="571">
        <v>35529</v>
      </c>
      <c r="D235" s="678"/>
      <c r="E235" s="587">
        <v>20.94</v>
      </c>
      <c r="F235" s="646"/>
      <c r="G235" s="681">
        <v>743977</v>
      </c>
      <c r="H235" s="678"/>
      <c r="I235" s="616">
        <v>1.01E-2</v>
      </c>
      <c r="J235" s="592"/>
      <c r="K235" s="589">
        <v>7514.1677</v>
      </c>
      <c r="L235" s="572"/>
      <c r="M235" s="616">
        <v>3.5000000000000001E-3</v>
      </c>
      <c r="N235" s="592"/>
      <c r="O235" s="589">
        <v>1735.9463333333333</v>
      </c>
      <c r="P235" s="572"/>
      <c r="Q235" s="616">
        <v>-5.7000000000000002E-3</v>
      </c>
      <c r="R235" s="592"/>
      <c r="S235" s="589">
        <v>-4240.6689000000006</v>
      </c>
      <c r="Y235" s="593">
        <v>1.01E-2</v>
      </c>
      <c r="Z235" s="593">
        <v>3.4999999999999996E-3</v>
      </c>
      <c r="AA235" s="593">
        <v>-5.7000000000000011E-3</v>
      </c>
    </row>
    <row r="236" spans="1:27" s="677" customFormat="1">
      <c r="A236" s="585" t="s">
        <v>269</v>
      </c>
      <c r="B236" s="570"/>
      <c r="C236" s="571">
        <v>191</v>
      </c>
      <c r="D236" s="678"/>
      <c r="E236" s="587">
        <v>18.850000000000001</v>
      </c>
      <c r="F236" s="646"/>
      <c r="G236" s="681">
        <v>3600</v>
      </c>
      <c r="H236" s="678"/>
      <c r="I236" s="616">
        <v>1.01E-2</v>
      </c>
      <c r="J236" s="592"/>
      <c r="K236" s="589">
        <v>36.36</v>
      </c>
      <c r="L236" s="572"/>
      <c r="M236" s="616">
        <v>3.5000000000000001E-3</v>
      </c>
      <c r="N236" s="592"/>
      <c r="O236" s="589">
        <v>8.4</v>
      </c>
      <c r="P236" s="572"/>
      <c r="Q236" s="616">
        <v>-5.7000000000000002E-3</v>
      </c>
      <c r="R236" s="592"/>
      <c r="S236" s="589">
        <v>-20.52</v>
      </c>
      <c r="Y236" s="593">
        <v>1.01E-2</v>
      </c>
      <c r="Z236" s="593">
        <v>3.5000000000000001E-3</v>
      </c>
      <c r="AA236" s="593">
        <v>-5.7000000000000002E-3</v>
      </c>
    </row>
    <row r="237" spans="1:27" s="677" customFormat="1">
      <c r="A237" s="585" t="s">
        <v>270</v>
      </c>
      <c r="B237" s="570"/>
      <c r="C237" s="571">
        <v>1127</v>
      </c>
      <c r="D237" s="678"/>
      <c r="E237" s="587">
        <v>50.99</v>
      </c>
      <c r="F237" s="646"/>
      <c r="G237" s="681">
        <v>57466</v>
      </c>
      <c r="H237" s="678"/>
      <c r="I237" s="616">
        <v>1.01E-2</v>
      </c>
      <c r="J237" s="592"/>
      <c r="K237" s="589">
        <v>580.40660000000003</v>
      </c>
      <c r="L237" s="572"/>
      <c r="M237" s="616">
        <v>3.5000000000000001E-3</v>
      </c>
      <c r="N237" s="592"/>
      <c r="O237" s="589">
        <v>134.08733333333333</v>
      </c>
      <c r="P237" s="572"/>
      <c r="Q237" s="616">
        <v>-5.7000000000000002E-3</v>
      </c>
      <c r="R237" s="592"/>
      <c r="S237" s="589">
        <v>-327.55619999999999</v>
      </c>
      <c r="Y237" s="593">
        <v>1.01E-2</v>
      </c>
      <c r="Z237" s="593">
        <v>3.5000000000000001E-3</v>
      </c>
      <c r="AA237" s="593">
        <v>-5.7000000000000002E-3</v>
      </c>
    </row>
    <row r="238" spans="1:27" s="677" customFormat="1">
      <c r="A238" s="585" t="s">
        <v>271</v>
      </c>
      <c r="B238" s="570"/>
      <c r="C238" s="571">
        <v>0</v>
      </c>
      <c r="D238" s="678"/>
      <c r="E238" s="587">
        <v>42.6</v>
      </c>
      <c r="F238" s="646"/>
      <c r="G238" s="681">
        <v>0</v>
      </c>
      <c r="H238" s="678"/>
      <c r="I238" s="616">
        <v>1.01E-2</v>
      </c>
      <c r="J238" s="592"/>
      <c r="K238" s="589">
        <v>0</v>
      </c>
      <c r="L238" s="572"/>
      <c r="M238" s="616">
        <v>3.5000000000000001E-3</v>
      </c>
      <c r="N238" s="592"/>
      <c r="O238" s="589">
        <v>0</v>
      </c>
      <c r="P238" s="572"/>
      <c r="Q238" s="616">
        <v>-5.7000000000000002E-3</v>
      </c>
      <c r="R238" s="592"/>
      <c r="S238" s="589">
        <v>0</v>
      </c>
      <c r="Y238" s="593" t="e">
        <v>#DIV/0!</v>
      </c>
      <c r="Z238" s="593" t="e">
        <v>#DIV/0!</v>
      </c>
      <c r="AA238" s="593" t="e">
        <v>#DIV/0!</v>
      </c>
    </row>
    <row r="239" spans="1:27" s="570" customFormat="1">
      <c r="A239" s="585" t="s">
        <v>272</v>
      </c>
      <c r="C239" s="571">
        <v>13131</v>
      </c>
      <c r="D239" s="678"/>
      <c r="E239" s="587">
        <v>25.77</v>
      </c>
      <c r="F239" s="646"/>
      <c r="G239" s="681">
        <v>338386</v>
      </c>
      <c r="H239" s="678"/>
      <c r="I239" s="616">
        <v>1.01E-2</v>
      </c>
      <c r="J239" s="592"/>
      <c r="K239" s="589">
        <v>3417.6985999999997</v>
      </c>
      <c r="L239" s="572"/>
      <c r="M239" s="616">
        <v>3.5000000000000001E-3</v>
      </c>
      <c r="N239" s="592"/>
      <c r="O239" s="589">
        <v>789.56733333333341</v>
      </c>
      <c r="P239" s="572"/>
      <c r="Q239" s="616">
        <v>-5.7000000000000002E-3</v>
      </c>
      <c r="R239" s="592"/>
      <c r="S239" s="589">
        <v>-1928.8002000000001</v>
      </c>
      <c r="Y239" s="593">
        <v>1.01E-2</v>
      </c>
      <c r="Z239" s="593">
        <v>3.5000000000000005E-3</v>
      </c>
      <c r="AA239" s="593">
        <v>-5.7000000000000002E-3</v>
      </c>
    </row>
    <row r="240" spans="1:27" s="677" customFormat="1">
      <c r="A240" s="585" t="s">
        <v>273</v>
      </c>
      <c r="B240" s="570"/>
      <c r="C240" s="571">
        <v>0</v>
      </c>
      <c r="D240" s="678"/>
      <c r="E240" s="587">
        <v>51.04</v>
      </c>
      <c r="F240" s="646"/>
      <c r="G240" s="681">
        <v>0</v>
      </c>
      <c r="H240" s="678"/>
      <c r="I240" s="616">
        <v>1.01E-2</v>
      </c>
      <c r="J240" s="592"/>
      <c r="K240" s="589">
        <v>0</v>
      </c>
      <c r="L240" s="572"/>
      <c r="M240" s="616">
        <v>3.5000000000000001E-3</v>
      </c>
      <c r="N240" s="592"/>
      <c r="O240" s="589">
        <v>0</v>
      </c>
      <c r="P240" s="572"/>
      <c r="Q240" s="616">
        <v>-5.7000000000000002E-3</v>
      </c>
      <c r="R240" s="592"/>
      <c r="S240" s="589">
        <v>0</v>
      </c>
      <c r="Y240" s="593" t="e">
        <v>#DIV/0!</v>
      </c>
      <c r="Z240" s="593" t="e">
        <v>#DIV/0!</v>
      </c>
      <c r="AA240" s="593" t="e">
        <v>#DIV/0!</v>
      </c>
    </row>
    <row r="241" spans="1:27" s="677" customFormat="1">
      <c r="A241" s="648" t="s">
        <v>274</v>
      </c>
      <c r="B241" s="570"/>
      <c r="C241" s="571"/>
      <c r="D241" s="678"/>
      <c r="E241" s="666"/>
      <c r="F241" s="673"/>
      <c r="G241" s="681"/>
      <c r="H241" s="678"/>
      <c r="I241" s="605"/>
      <c r="J241" s="673"/>
      <c r="K241" s="681"/>
      <c r="L241" s="678"/>
      <c r="M241" s="605"/>
      <c r="N241" s="673"/>
      <c r="O241" s="681"/>
      <c r="P241" s="678"/>
      <c r="Q241" s="605"/>
      <c r="R241" s="673"/>
      <c r="S241" s="681"/>
    </row>
    <row r="242" spans="1:27" s="570" customFormat="1">
      <c r="A242" s="585" t="s">
        <v>275</v>
      </c>
      <c r="C242" s="571">
        <v>0</v>
      </c>
      <c r="D242" s="678"/>
      <c r="E242" s="587">
        <v>48.27</v>
      </c>
      <c r="F242" s="646"/>
      <c r="G242" s="681">
        <v>0</v>
      </c>
      <c r="H242" s="678"/>
      <c r="I242" s="616">
        <v>1.01E-2</v>
      </c>
      <c r="J242" s="592"/>
      <c r="K242" s="589">
        <v>0</v>
      </c>
      <c r="L242" s="572"/>
      <c r="M242" s="616">
        <v>3.5000000000000001E-3</v>
      </c>
      <c r="N242" s="592"/>
      <c r="O242" s="589">
        <v>0</v>
      </c>
      <c r="P242" s="572"/>
      <c r="Q242" s="616">
        <v>-5.7000000000000002E-3</v>
      </c>
      <c r="R242" s="592"/>
      <c r="S242" s="589">
        <v>0</v>
      </c>
      <c r="Y242" s="593" t="e">
        <v>#DIV/0!</v>
      </c>
      <c r="Z242" s="593" t="e">
        <v>#DIV/0!</v>
      </c>
      <c r="AA242" s="593" t="e">
        <v>#DIV/0!</v>
      </c>
    </row>
    <row r="243" spans="1:27" s="677" customFormat="1">
      <c r="A243" s="585" t="s">
        <v>276</v>
      </c>
      <c r="B243" s="570"/>
      <c r="C243" s="571">
        <v>525</v>
      </c>
      <c r="D243" s="678"/>
      <c r="E243" s="587">
        <v>39.880000000000003</v>
      </c>
      <c r="F243" s="646"/>
      <c r="G243" s="681">
        <v>20937</v>
      </c>
      <c r="H243" s="678"/>
      <c r="I243" s="616">
        <v>1.01E-2</v>
      </c>
      <c r="J243" s="592"/>
      <c r="K243" s="589">
        <v>211.46369999999999</v>
      </c>
      <c r="L243" s="572"/>
      <c r="M243" s="616">
        <v>3.5000000000000001E-3</v>
      </c>
      <c r="N243" s="592"/>
      <c r="O243" s="589">
        <v>48.853000000000002</v>
      </c>
      <c r="P243" s="572"/>
      <c r="Q243" s="616">
        <v>-5.7000000000000002E-3</v>
      </c>
      <c r="R243" s="592"/>
      <c r="S243" s="589">
        <v>-119.3409</v>
      </c>
      <c r="Y243" s="593">
        <v>1.01E-2</v>
      </c>
      <c r="Z243" s="593">
        <v>3.5000000000000001E-3</v>
      </c>
      <c r="AA243" s="593">
        <v>-5.7000000000000002E-3</v>
      </c>
    </row>
    <row r="244" spans="1:27" s="677" customFormat="1">
      <c r="A244" s="585" t="s">
        <v>277</v>
      </c>
      <c r="B244" s="570"/>
      <c r="C244" s="571">
        <v>0</v>
      </c>
      <c r="D244" s="678"/>
      <c r="E244" s="587">
        <v>19.940000000000001</v>
      </c>
      <c r="F244" s="646"/>
      <c r="G244" s="681">
        <v>0</v>
      </c>
      <c r="H244" s="678"/>
      <c r="I244" s="616">
        <v>1.01E-2</v>
      </c>
      <c r="J244" s="592"/>
      <c r="K244" s="589">
        <v>0</v>
      </c>
      <c r="L244" s="572"/>
      <c r="M244" s="616">
        <v>3.5000000000000001E-3</v>
      </c>
      <c r="N244" s="592"/>
      <c r="O244" s="589">
        <v>0</v>
      </c>
      <c r="P244" s="572"/>
      <c r="Q244" s="616">
        <v>-5.7000000000000002E-3</v>
      </c>
      <c r="R244" s="592"/>
      <c r="S244" s="589">
        <v>0</v>
      </c>
      <c r="Y244" s="593" t="e">
        <v>#DIV/0!</v>
      </c>
      <c r="Z244" s="593" t="e">
        <v>#DIV/0!</v>
      </c>
      <c r="AA244" s="593" t="e">
        <v>#DIV/0!</v>
      </c>
    </row>
    <row r="245" spans="1:27" s="570" customFormat="1">
      <c r="A245" s="585" t="s">
        <v>278</v>
      </c>
      <c r="C245" s="571">
        <v>0</v>
      </c>
      <c r="D245" s="678"/>
      <c r="E245" s="587">
        <v>50.16</v>
      </c>
      <c r="F245" s="646"/>
      <c r="G245" s="681">
        <v>0</v>
      </c>
      <c r="H245" s="678"/>
      <c r="I245" s="616">
        <v>1.01E-2</v>
      </c>
      <c r="J245" s="592"/>
      <c r="K245" s="589">
        <v>0</v>
      </c>
      <c r="L245" s="572"/>
      <c r="M245" s="616">
        <v>3.5000000000000001E-3</v>
      </c>
      <c r="N245" s="592"/>
      <c r="O245" s="589">
        <v>0</v>
      </c>
      <c r="P245" s="572"/>
      <c r="Q245" s="616">
        <v>-5.7000000000000002E-3</v>
      </c>
      <c r="R245" s="592"/>
      <c r="S245" s="589">
        <v>0</v>
      </c>
      <c r="Y245" s="593" t="e">
        <v>#DIV/0!</v>
      </c>
      <c r="Z245" s="593" t="e">
        <v>#DIV/0!</v>
      </c>
      <c r="AA245" s="593" t="e">
        <v>#DIV/0!</v>
      </c>
    </row>
    <row r="246" spans="1:27" s="677" customFormat="1">
      <c r="A246" s="585" t="s">
        <v>279</v>
      </c>
      <c r="B246" s="570"/>
      <c r="C246" s="571">
        <v>1683</v>
      </c>
      <c r="D246" s="678"/>
      <c r="E246" s="587">
        <v>41.76</v>
      </c>
      <c r="F246" s="646"/>
      <c r="G246" s="681">
        <v>70282</v>
      </c>
      <c r="H246" s="678"/>
      <c r="I246" s="616">
        <v>1.01E-2</v>
      </c>
      <c r="J246" s="592"/>
      <c r="K246" s="589">
        <v>709.84820000000002</v>
      </c>
      <c r="L246" s="572"/>
      <c r="M246" s="616">
        <v>3.5000000000000001E-3</v>
      </c>
      <c r="N246" s="592"/>
      <c r="O246" s="589">
        <v>163.99133333333333</v>
      </c>
      <c r="P246" s="572"/>
      <c r="Q246" s="616">
        <v>-5.7000000000000002E-3</v>
      </c>
      <c r="R246" s="592"/>
      <c r="S246" s="589">
        <v>-400.60740000000004</v>
      </c>
      <c r="Y246" s="593">
        <v>1.01E-2</v>
      </c>
      <c r="Z246" s="593">
        <v>3.5000000000000001E-3</v>
      </c>
      <c r="AA246" s="593">
        <v>-5.7000000000000002E-3</v>
      </c>
    </row>
    <row r="247" spans="1:27" s="677" customFormat="1">
      <c r="A247" s="585" t="s">
        <v>280</v>
      </c>
      <c r="B247" s="570"/>
      <c r="C247" s="571">
        <v>0</v>
      </c>
      <c r="D247" s="678"/>
      <c r="E247" s="587">
        <v>21.92</v>
      </c>
      <c r="F247" s="646"/>
      <c r="G247" s="681">
        <v>0</v>
      </c>
      <c r="H247" s="678"/>
      <c r="I247" s="616">
        <v>1.01E-2</v>
      </c>
      <c r="J247" s="592"/>
      <c r="K247" s="589">
        <v>0</v>
      </c>
      <c r="L247" s="572"/>
      <c r="M247" s="616">
        <v>3.5000000000000001E-3</v>
      </c>
      <c r="N247" s="592"/>
      <c r="O247" s="589">
        <v>0</v>
      </c>
      <c r="P247" s="572"/>
      <c r="Q247" s="616">
        <v>-5.7000000000000002E-3</v>
      </c>
      <c r="R247" s="592"/>
      <c r="S247" s="589">
        <v>0</v>
      </c>
      <c r="Y247" s="593" t="e">
        <v>#DIV/0!</v>
      </c>
      <c r="Z247" s="593" t="e">
        <v>#DIV/0!</v>
      </c>
      <c r="AA247" s="593" t="e">
        <v>#DIV/0!</v>
      </c>
    </row>
    <row r="248" spans="1:27" s="677" customFormat="1">
      <c r="A248" s="585" t="s">
        <v>281</v>
      </c>
      <c r="B248" s="570"/>
      <c r="C248" s="571">
        <v>478</v>
      </c>
      <c r="D248" s="678"/>
      <c r="E248" s="587">
        <v>53.17</v>
      </c>
      <c r="F248" s="646"/>
      <c r="G248" s="681">
        <v>25415</v>
      </c>
      <c r="H248" s="678"/>
      <c r="I248" s="616">
        <v>1.01E-2</v>
      </c>
      <c r="J248" s="592"/>
      <c r="K248" s="589">
        <v>256.69149999999996</v>
      </c>
      <c r="L248" s="572"/>
      <c r="M248" s="616">
        <v>3.5000000000000001E-3</v>
      </c>
      <c r="N248" s="592"/>
      <c r="O248" s="589">
        <v>59.301666666666669</v>
      </c>
      <c r="P248" s="572"/>
      <c r="Q248" s="616">
        <v>-5.7000000000000002E-3</v>
      </c>
      <c r="R248" s="592"/>
      <c r="S248" s="589">
        <v>-144.8655</v>
      </c>
      <c r="Y248" s="593">
        <v>1.0099999999999998E-2</v>
      </c>
      <c r="Z248" s="593">
        <v>3.5000000000000005E-3</v>
      </c>
      <c r="AA248" s="593">
        <v>-5.7000000000000002E-3</v>
      </c>
    </row>
    <row r="249" spans="1:27" s="677" customFormat="1">
      <c r="A249" s="585" t="s">
        <v>282</v>
      </c>
      <c r="B249" s="570"/>
      <c r="C249" s="571">
        <v>54</v>
      </c>
      <c r="D249" s="678"/>
      <c r="E249" s="587">
        <v>44.77</v>
      </c>
      <c r="F249" s="646"/>
      <c r="G249" s="681">
        <v>2418</v>
      </c>
      <c r="H249" s="678"/>
      <c r="I249" s="616">
        <v>1.01E-2</v>
      </c>
      <c r="J249" s="592"/>
      <c r="K249" s="589">
        <v>24.421799999999998</v>
      </c>
      <c r="L249" s="572"/>
      <c r="M249" s="616">
        <v>3.5000000000000001E-3</v>
      </c>
      <c r="N249" s="592"/>
      <c r="O249" s="589">
        <v>5.6420000000000003</v>
      </c>
      <c r="P249" s="572"/>
      <c r="Q249" s="616">
        <v>-5.7000000000000002E-3</v>
      </c>
      <c r="R249" s="592"/>
      <c r="S249" s="589">
        <v>-13.7826</v>
      </c>
      <c r="Y249" s="593">
        <v>1.01E-2</v>
      </c>
      <c r="Z249" s="593">
        <v>3.5000000000000001E-3</v>
      </c>
      <c r="AA249" s="593">
        <v>-5.7000000000000002E-3</v>
      </c>
    </row>
    <row r="250" spans="1:27" s="677" customFormat="1">
      <c r="A250" s="585" t="s">
        <v>283</v>
      </c>
      <c r="B250" s="570"/>
      <c r="C250" s="571">
        <v>0</v>
      </c>
      <c r="D250" s="678"/>
      <c r="E250" s="646">
        <v>25.53</v>
      </c>
      <c r="F250" s="646"/>
      <c r="G250" s="681">
        <v>0</v>
      </c>
      <c r="H250" s="678"/>
      <c r="I250" s="616">
        <v>1.01E-2</v>
      </c>
      <c r="J250" s="592"/>
      <c r="K250" s="589">
        <v>0</v>
      </c>
      <c r="L250" s="572"/>
      <c r="M250" s="616">
        <v>3.5000000000000001E-3</v>
      </c>
      <c r="N250" s="592"/>
      <c r="O250" s="589">
        <v>0</v>
      </c>
      <c r="P250" s="572"/>
      <c r="Q250" s="616">
        <v>-5.7000000000000002E-3</v>
      </c>
      <c r="R250" s="592"/>
      <c r="S250" s="589">
        <v>0</v>
      </c>
      <c r="Y250" s="593" t="e">
        <v>#DIV/0!</v>
      </c>
      <c r="Z250" s="593" t="e">
        <v>#DIV/0!</v>
      </c>
      <c r="AA250" s="593" t="e">
        <v>#DIV/0!</v>
      </c>
    </row>
    <row r="251" spans="1:27" s="677" customFormat="1">
      <c r="A251" s="585" t="s">
        <v>284</v>
      </c>
      <c r="B251" s="570"/>
      <c r="C251" s="571">
        <v>0</v>
      </c>
      <c r="D251" s="678"/>
      <c r="E251" s="646">
        <v>54.8</v>
      </c>
      <c r="F251" s="646"/>
      <c r="G251" s="681">
        <v>0</v>
      </c>
      <c r="H251" s="678"/>
      <c r="I251" s="616">
        <v>1.01E-2</v>
      </c>
      <c r="J251" s="592"/>
      <c r="K251" s="589">
        <v>0</v>
      </c>
      <c r="L251" s="572"/>
      <c r="M251" s="616">
        <v>3.5000000000000001E-3</v>
      </c>
      <c r="N251" s="592"/>
      <c r="O251" s="589">
        <v>0</v>
      </c>
      <c r="P251" s="572"/>
      <c r="Q251" s="616">
        <v>-5.7000000000000002E-3</v>
      </c>
      <c r="R251" s="592"/>
      <c r="S251" s="589">
        <v>0</v>
      </c>
      <c r="Y251" s="593" t="e">
        <v>#DIV/0!</v>
      </c>
      <c r="Z251" s="593" t="e">
        <v>#DIV/0!</v>
      </c>
      <c r="AA251" s="593" t="e">
        <v>#DIV/0!</v>
      </c>
    </row>
    <row r="252" spans="1:27" s="677" customFormat="1">
      <c r="A252" s="585" t="s">
        <v>285</v>
      </c>
      <c r="B252" s="570"/>
      <c r="C252" s="571">
        <v>0</v>
      </c>
      <c r="D252" s="678"/>
      <c r="E252" s="646">
        <v>46.41</v>
      </c>
      <c r="F252" s="646"/>
      <c r="G252" s="681">
        <v>0</v>
      </c>
      <c r="H252" s="678"/>
      <c r="I252" s="616">
        <v>1.01E-2</v>
      </c>
      <c r="J252" s="592"/>
      <c r="K252" s="589">
        <v>0</v>
      </c>
      <c r="L252" s="572"/>
      <c r="M252" s="616">
        <v>3.5000000000000001E-3</v>
      </c>
      <c r="N252" s="592"/>
      <c r="O252" s="589">
        <v>0</v>
      </c>
      <c r="P252" s="572"/>
      <c r="Q252" s="616">
        <v>-5.7000000000000002E-3</v>
      </c>
      <c r="R252" s="592"/>
      <c r="S252" s="589">
        <v>0</v>
      </c>
      <c r="Y252" s="593" t="e">
        <v>#DIV/0!</v>
      </c>
      <c r="Z252" s="593" t="e">
        <v>#DIV/0!</v>
      </c>
      <c r="AA252" s="593" t="e">
        <v>#DIV/0!</v>
      </c>
    </row>
    <row r="253" spans="1:27" s="677" customFormat="1">
      <c r="A253" s="648" t="s">
        <v>286</v>
      </c>
      <c r="B253" s="570"/>
      <c r="C253" s="615"/>
      <c r="D253" s="678"/>
      <c r="E253" s="646"/>
      <c r="F253" s="646"/>
      <c r="G253" s="679"/>
      <c r="H253" s="678"/>
      <c r="I253" s="680"/>
      <c r="J253" s="646"/>
      <c r="K253" s="679"/>
      <c r="L253" s="678"/>
      <c r="M253" s="680"/>
      <c r="N253" s="646"/>
      <c r="O253" s="679"/>
      <c r="P253" s="678"/>
      <c r="Q253" s="680"/>
      <c r="R253" s="646"/>
      <c r="S253" s="679"/>
    </row>
    <row r="254" spans="1:27" s="677" customFormat="1">
      <c r="A254" s="585" t="s">
        <v>287</v>
      </c>
      <c r="B254" s="570"/>
      <c r="C254" s="571">
        <v>9898</v>
      </c>
      <c r="D254" s="678"/>
      <c r="E254" s="587">
        <v>10.98</v>
      </c>
      <c r="F254" s="646"/>
      <c r="G254" s="681">
        <v>108680</v>
      </c>
      <c r="H254" s="678"/>
      <c r="I254" s="616">
        <v>1.01E-2</v>
      </c>
      <c r="J254" s="592"/>
      <c r="K254" s="589">
        <v>1097.6679999999999</v>
      </c>
      <c r="L254" s="572"/>
      <c r="M254" s="616">
        <v>3.5000000000000001E-3</v>
      </c>
      <c r="N254" s="592"/>
      <c r="O254" s="589">
        <v>253.58666666666667</v>
      </c>
      <c r="P254" s="572"/>
      <c r="Q254" s="616">
        <v>-5.7000000000000002E-3</v>
      </c>
      <c r="R254" s="592"/>
      <c r="S254" s="589">
        <v>-619.476</v>
      </c>
      <c r="Y254" s="593">
        <v>1.01E-2</v>
      </c>
      <c r="Z254" s="593">
        <v>3.5000000000000005E-3</v>
      </c>
      <c r="AA254" s="593">
        <v>-5.7000000000000002E-3</v>
      </c>
    </row>
    <row r="255" spans="1:27" s="677" customFormat="1">
      <c r="A255" s="585" t="s">
        <v>189</v>
      </c>
      <c r="B255" s="570"/>
      <c r="C255" s="571">
        <v>13971</v>
      </c>
      <c r="D255" s="678"/>
      <c r="E255" s="587">
        <v>13.7</v>
      </c>
      <c r="F255" s="646"/>
      <c r="G255" s="681">
        <v>191403</v>
      </c>
      <c r="H255" s="678"/>
      <c r="I255" s="616">
        <v>1.01E-2</v>
      </c>
      <c r="J255" s="592"/>
      <c r="K255" s="589">
        <v>1933.1703</v>
      </c>
      <c r="L255" s="572"/>
      <c r="M255" s="616">
        <v>3.5000000000000001E-3</v>
      </c>
      <c r="N255" s="592"/>
      <c r="O255" s="589">
        <v>446.60700000000003</v>
      </c>
      <c r="P255" s="572"/>
      <c r="Q255" s="616">
        <v>-5.7000000000000002E-3</v>
      </c>
      <c r="R255" s="592"/>
      <c r="S255" s="589">
        <v>-1090.9971</v>
      </c>
      <c r="Y255" s="593">
        <v>1.01E-2</v>
      </c>
      <c r="Z255" s="593">
        <v>3.5000000000000001E-3</v>
      </c>
      <c r="AA255" s="593">
        <v>-5.7000000000000002E-3</v>
      </c>
    </row>
    <row r="256" spans="1:27" s="677" customFormat="1">
      <c r="A256" s="585" t="s">
        <v>288</v>
      </c>
      <c r="B256" s="570"/>
      <c r="C256" s="571">
        <v>227</v>
      </c>
      <c r="D256" s="678"/>
      <c r="E256" s="587">
        <v>19.21</v>
      </c>
      <c r="F256" s="646"/>
      <c r="G256" s="681">
        <v>4361</v>
      </c>
      <c r="H256" s="678"/>
      <c r="I256" s="616">
        <v>1.01E-2</v>
      </c>
      <c r="J256" s="592"/>
      <c r="K256" s="589">
        <v>44.046099999999996</v>
      </c>
      <c r="L256" s="572"/>
      <c r="M256" s="616">
        <v>3.5000000000000001E-3</v>
      </c>
      <c r="N256" s="592"/>
      <c r="O256" s="589">
        <v>10.175666666666666</v>
      </c>
      <c r="P256" s="572"/>
      <c r="Q256" s="616">
        <v>-5.7000000000000002E-3</v>
      </c>
      <c r="R256" s="592"/>
      <c r="S256" s="589">
        <v>-24.857700000000001</v>
      </c>
      <c r="Y256" s="593">
        <v>1.01E-2</v>
      </c>
      <c r="Z256" s="593">
        <v>3.4999999999999996E-3</v>
      </c>
      <c r="AA256" s="593">
        <v>-5.7000000000000002E-3</v>
      </c>
    </row>
    <row r="257" spans="1:27" s="677" customFormat="1">
      <c r="A257" s="585" t="s">
        <v>289</v>
      </c>
      <c r="B257" s="570"/>
      <c r="C257" s="571">
        <v>50</v>
      </c>
      <c r="D257" s="678"/>
      <c r="E257" s="587">
        <v>17.29</v>
      </c>
      <c r="F257" s="646"/>
      <c r="G257" s="681">
        <v>865</v>
      </c>
      <c r="H257" s="678"/>
      <c r="I257" s="616">
        <v>1.01E-2</v>
      </c>
      <c r="J257" s="592"/>
      <c r="K257" s="589">
        <v>8.7364999999999995</v>
      </c>
      <c r="L257" s="572"/>
      <c r="M257" s="616">
        <v>3.5000000000000001E-3</v>
      </c>
      <c r="N257" s="592"/>
      <c r="O257" s="589">
        <v>2.0183333333333331</v>
      </c>
      <c r="P257" s="572"/>
      <c r="Q257" s="616">
        <v>-5.7000000000000002E-3</v>
      </c>
      <c r="R257" s="592"/>
      <c r="S257" s="589">
        <v>-4.9305000000000003</v>
      </c>
      <c r="Y257" s="593">
        <v>1.01E-2</v>
      </c>
      <c r="Z257" s="593">
        <v>3.4999999999999996E-3</v>
      </c>
      <c r="AA257" s="593">
        <v>-5.7000000000000002E-3</v>
      </c>
    </row>
    <row r="258" spans="1:27" s="677" customFormat="1">
      <c r="A258" s="585" t="s">
        <v>191</v>
      </c>
      <c r="B258" s="570"/>
      <c r="C258" s="571">
        <v>2309</v>
      </c>
      <c r="D258" s="678"/>
      <c r="E258" s="587">
        <v>24.2</v>
      </c>
      <c r="F258" s="646"/>
      <c r="G258" s="681">
        <v>55878</v>
      </c>
      <c r="H258" s="678"/>
      <c r="I258" s="616">
        <v>1.01E-2</v>
      </c>
      <c r="J258" s="592"/>
      <c r="K258" s="589">
        <v>564.36779999999999</v>
      </c>
      <c r="L258" s="572"/>
      <c r="M258" s="616">
        <v>3.5000000000000001E-3</v>
      </c>
      <c r="N258" s="592"/>
      <c r="O258" s="589">
        <v>130.38200000000001</v>
      </c>
      <c r="P258" s="572"/>
      <c r="Q258" s="616">
        <v>-5.7000000000000002E-3</v>
      </c>
      <c r="R258" s="592"/>
      <c r="S258" s="589">
        <v>-318.50460000000004</v>
      </c>
      <c r="Y258" s="593">
        <v>1.01E-2</v>
      </c>
      <c r="Z258" s="593">
        <v>3.5000000000000001E-3</v>
      </c>
      <c r="AA258" s="593">
        <v>-5.7000000000000011E-3</v>
      </c>
    </row>
    <row r="259" spans="1:27" s="677" customFormat="1">
      <c r="A259" s="648" t="s">
        <v>290</v>
      </c>
      <c r="B259" s="570"/>
      <c r="C259" s="571"/>
      <c r="D259" s="678"/>
      <c r="E259" s="570"/>
      <c r="F259" s="678"/>
      <c r="G259" s="681"/>
      <c r="H259" s="678"/>
      <c r="I259" s="640"/>
      <c r="J259" s="678"/>
      <c r="K259" s="681"/>
      <c r="L259" s="678"/>
      <c r="M259" s="640"/>
      <c r="N259" s="678"/>
      <c r="O259" s="681"/>
      <c r="P259" s="678"/>
      <c r="Q259" s="640"/>
      <c r="R259" s="678"/>
      <c r="S259" s="681"/>
    </row>
    <row r="260" spans="1:27" s="677" customFormat="1">
      <c r="A260" s="585" t="s">
        <v>291</v>
      </c>
      <c r="B260" s="570"/>
      <c r="C260" s="571">
        <v>0</v>
      </c>
      <c r="D260" s="678"/>
      <c r="E260" s="587">
        <v>11.87</v>
      </c>
      <c r="F260" s="646"/>
      <c r="G260" s="681">
        <v>0</v>
      </c>
      <c r="H260" s="678"/>
      <c r="I260" s="616">
        <v>1.01E-2</v>
      </c>
      <c r="J260" s="592"/>
      <c r="K260" s="589">
        <v>0</v>
      </c>
      <c r="L260" s="572"/>
      <c r="M260" s="616">
        <v>3.5000000000000001E-3</v>
      </c>
      <c r="N260" s="592"/>
      <c r="O260" s="589">
        <v>0</v>
      </c>
      <c r="P260" s="572"/>
      <c r="Q260" s="616">
        <v>-5.7000000000000002E-3</v>
      </c>
      <c r="R260" s="592"/>
      <c r="S260" s="589">
        <v>0</v>
      </c>
      <c r="Y260" s="593" t="e">
        <v>#DIV/0!</v>
      </c>
      <c r="Z260" s="593" t="e">
        <v>#DIV/0!</v>
      </c>
      <c r="AA260" s="593" t="e">
        <v>#DIV/0!</v>
      </c>
    </row>
    <row r="261" spans="1:27" s="677" customFormat="1">
      <c r="A261" s="585" t="s">
        <v>292</v>
      </c>
      <c r="B261" s="570"/>
      <c r="C261" s="571">
        <v>130</v>
      </c>
      <c r="D261" s="678"/>
      <c r="E261" s="587">
        <v>4.2</v>
      </c>
      <c r="F261" s="646"/>
      <c r="G261" s="681">
        <v>546</v>
      </c>
      <c r="H261" s="678"/>
      <c r="I261" s="616">
        <v>1.01E-2</v>
      </c>
      <c r="J261" s="592"/>
      <c r="K261" s="589">
        <v>5.5145999999999997</v>
      </c>
      <c r="L261" s="572"/>
      <c r="M261" s="616">
        <v>3.5000000000000001E-3</v>
      </c>
      <c r="N261" s="592"/>
      <c r="O261" s="589">
        <v>1.274</v>
      </c>
      <c r="P261" s="572"/>
      <c r="Q261" s="616">
        <v>-5.7000000000000002E-3</v>
      </c>
      <c r="R261" s="592"/>
      <c r="S261" s="589">
        <v>-3.1122000000000001</v>
      </c>
      <c r="Y261" s="593">
        <v>1.01E-2</v>
      </c>
      <c r="Z261" s="593">
        <v>3.5000000000000001E-3</v>
      </c>
      <c r="AA261" s="593">
        <v>-5.7000000000000002E-3</v>
      </c>
    </row>
    <row r="262" spans="1:27" s="677" customFormat="1">
      <c r="A262" s="585" t="s">
        <v>293</v>
      </c>
      <c r="B262" s="570"/>
      <c r="C262" s="571">
        <v>279</v>
      </c>
      <c r="D262" s="678"/>
      <c r="E262" s="587">
        <v>16.95</v>
      </c>
      <c r="F262" s="646"/>
      <c r="G262" s="681">
        <v>4729</v>
      </c>
      <c r="H262" s="678"/>
      <c r="I262" s="616">
        <v>1.01E-2</v>
      </c>
      <c r="J262" s="592"/>
      <c r="K262" s="589">
        <v>47.762899999999995</v>
      </c>
      <c r="L262" s="572"/>
      <c r="M262" s="616">
        <v>3.5000000000000001E-3</v>
      </c>
      <c r="N262" s="592"/>
      <c r="O262" s="589">
        <v>11.034333333333334</v>
      </c>
      <c r="P262" s="572"/>
      <c r="Q262" s="616">
        <v>-5.7000000000000002E-3</v>
      </c>
      <c r="R262" s="592"/>
      <c r="S262" s="589">
        <v>-26.955300000000001</v>
      </c>
      <c r="Y262" s="593">
        <v>1.01E-2</v>
      </c>
      <c r="Z262" s="593">
        <v>3.5000000000000005E-3</v>
      </c>
      <c r="AA262" s="593">
        <v>-5.7000000000000002E-3</v>
      </c>
    </row>
    <row r="263" spans="1:27" s="677" customFormat="1">
      <c r="A263" s="585" t="s">
        <v>287</v>
      </c>
      <c r="B263" s="570"/>
      <c r="C263" s="571">
        <v>352</v>
      </c>
      <c r="D263" s="678"/>
      <c r="E263" s="587">
        <v>20.23</v>
      </c>
      <c r="F263" s="646"/>
      <c r="G263" s="681">
        <v>7121</v>
      </c>
      <c r="H263" s="678"/>
      <c r="I263" s="616">
        <v>1.01E-2</v>
      </c>
      <c r="J263" s="592"/>
      <c r="K263" s="589">
        <v>71.9221</v>
      </c>
      <c r="L263" s="572"/>
      <c r="M263" s="616">
        <v>3.5000000000000001E-3</v>
      </c>
      <c r="N263" s="592"/>
      <c r="O263" s="589">
        <v>16.615666666666666</v>
      </c>
      <c r="P263" s="572"/>
      <c r="Q263" s="616">
        <v>-5.7000000000000002E-3</v>
      </c>
      <c r="R263" s="592"/>
      <c r="S263" s="589">
        <v>-40.589700000000001</v>
      </c>
      <c r="Y263" s="593">
        <v>1.01E-2</v>
      </c>
      <c r="Z263" s="593">
        <v>3.5000000000000001E-3</v>
      </c>
      <c r="AA263" s="593">
        <v>-5.7000000000000002E-3</v>
      </c>
    </row>
    <row r="264" spans="1:27" s="677" customFormat="1">
      <c r="A264" s="585" t="s">
        <v>294</v>
      </c>
      <c r="B264" s="570"/>
      <c r="C264" s="571">
        <v>1136</v>
      </c>
      <c r="D264" s="678"/>
      <c r="E264" s="587">
        <v>23.59</v>
      </c>
      <c r="F264" s="646"/>
      <c r="G264" s="681">
        <v>26798</v>
      </c>
      <c r="H264" s="678"/>
      <c r="I264" s="616">
        <v>1.01E-2</v>
      </c>
      <c r="J264" s="592"/>
      <c r="K264" s="589">
        <v>270.65979999999996</v>
      </c>
      <c r="L264" s="572"/>
      <c r="M264" s="616">
        <v>3.5000000000000001E-3</v>
      </c>
      <c r="N264" s="592"/>
      <c r="O264" s="589">
        <v>62.528666666666673</v>
      </c>
      <c r="P264" s="572"/>
      <c r="Q264" s="616">
        <v>-5.7000000000000002E-3</v>
      </c>
      <c r="R264" s="592"/>
      <c r="S264" s="589">
        <v>-152.74860000000001</v>
      </c>
      <c r="Y264" s="593">
        <v>1.0099999999999998E-2</v>
      </c>
      <c r="Z264" s="593">
        <v>3.5000000000000005E-3</v>
      </c>
      <c r="AA264" s="593">
        <v>-5.7000000000000002E-3</v>
      </c>
    </row>
    <row r="265" spans="1:27" s="677" customFormat="1">
      <c r="A265" s="585" t="s">
        <v>288</v>
      </c>
      <c r="B265" s="570"/>
      <c r="C265" s="571">
        <v>22</v>
      </c>
      <c r="D265" s="678"/>
      <c r="E265" s="587">
        <v>31.17</v>
      </c>
      <c r="F265" s="646"/>
      <c r="G265" s="681">
        <v>686</v>
      </c>
      <c r="H265" s="678"/>
      <c r="I265" s="616">
        <v>1.01E-2</v>
      </c>
      <c r="J265" s="592"/>
      <c r="K265" s="589">
        <v>6.9285999999999994</v>
      </c>
      <c r="L265" s="572"/>
      <c r="M265" s="616">
        <v>3.5000000000000001E-3</v>
      </c>
      <c r="N265" s="592"/>
      <c r="O265" s="589">
        <v>1.6006666666666669</v>
      </c>
      <c r="P265" s="572"/>
      <c r="Q265" s="616">
        <v>-5.7000000000000002E-3</v>
      </c>
      <c r="R265" s="592"/>
      <c r="S265" s="589">
        <v>-3.9102000000000001</v>
      </c>
      <c r="Y265" s="593">
        <v>1.01E-2</v>
      </c>
      <c r="Z265" s="593">
        <v>3.5000000000000005E-3</v>
      </c>
      <c r="AA265" s="593">
        <v>-5.7000000000000002E-3</v>
      </c>
    </row>
    <row r="266" spans="1:27" s="677" customFormat="1">
      <c r="A266" s="648" t="s">
        <v>295</v>
      </c>
      <c r="B266" s="570"/>
      <c r="C266" s="615"/>
      <c r="D266" s="678"/>
      <c r="E266" s="646"/>
      <c r="F266" s="646"/>
      <c r="G266" s="679"/>
      <c r="H266" s="678"/>
      <c r="I266" s="680"/>
      <c r="J266" s="646"/>
      <c r="K266" s="679"/>
      <c r="L266" s="678"/>
      <c r="M266" s="680"/>
      <c r="N266" s="646"/>
      <c r="O266" s="679"/>
      <c r="P266" s="678"/>
      <c r="Q266" s="680"/>
      <c r="R266" s="646"/>
      <c r="S266" s="679"/>
    </row>
    <row r="267" spans="1:27" s="677" customFormat="1">
      <c r="A267" s="585" t="s">
        <v>296</v>
      </c>
      <c r="B267" s="570"/>
      <c r="C267" s="571">
        <v>11</v>
      </c>
      <c r="D267" s="678"/>
      <c r="E267" s="587">
        <v>27.58</v>
      </c>
      <c r="F267" s="646"/>
      <c r="G267" s="681">
        <v>303</v>
      </c>
      <c r="H267" s="678"/>
      <c r="I267" s="616">
        <v>1.01E-2</v>
      </c>
      <c r="J267" s="592"/>
      <c r="K267" s="589">
        <v>3.0602999999999998</v>
      </c>
      <c r="L267" s="572"/>
      <c r="M267" s="616">
        <v>3.5000000000000001E-3</v>
      </c>
      <c r="N267" s="592"/>
      <c r="O267" s="589">
        <v>0.70699999999999996</v>
      </c>
      <c r="P267" s="572"/>
      <c r="Q267" s="616">
        <v>-5.7000000000000002E-3</v>
      </c>
      <c r="R267" s="592"/>
      <c r="S267" s="589">
        <v>-1.7271000000000001</v>
      </c>
      <c r="Y267" s="593">
        <v>1.01E-2</v>
      </c>
      <c r="Z267" s="593">
        <v>3.4999999999999996E-3</v>
      </c>
      <c r="AA267" s="593">
        <v>-5.7000000000000002E-3</v>
      </c>
    </row>
    <row r="268" spans="1:27" s="677" customFormat="1">
      <c r="A268" s="648" t="s">
        <v>297</v>
      </c>
      <c r="B268" s="570"/>
      <c r="C268" s="571"/>
      <c r="D268" s="678"/>
      <c r="E268" s="587"/>
      <c r="F268" s="646"/>
      <c r="G268" s="681"/>
      <c r="H268" s="678"/>
      <c r="I268" s="616"/>
      <c r="J268" s="646"/>
      <c r="K268" s="681"/>
      <c r="L268" s="678"/>
      <c r="M268" s="616"/>
      <c r="N268" s="646"/>
      <c r="O268" s="681"/>
      <c r="P268" s="678"/>
      <c r="Q268" s="616"/>
      <c r="R268" s="646"/>
      <c r="S268" s="681"/>
    </row>
    <row r="269" spans="1:27" s="677" customFormat="1">
      <c r="A269" s="585" t="s">
        <v>298</v>
      </c>
      <c r="B269" s="570"/>
      <c r="C269" s="571">
        <v>1417</v>
      </c>
      <c r="D269" s="678"/>
      <c r="E269" s="587">
        <v>38.659999999999997</v>
      </c>
      <c r="F269" s="646"/>
      <c r="G269" s="681">
        <v>54781</v>
      </c>
      <c r="H269" s="678"/>
      <c r="I269" s="616">
        <v>1.01E-2</v>
      </c>
      <c r="J269" s="592"/>
      <c r="K269" s="589">
        <v>553.28809999999999</v>
      </c>
      <c r="L269" s="572"/>
      <c r="M269" s="616">
        <v>3.5000000000000001E-3</v>
      </c>
      <c r="N269" s="592"/>
      <c r="O269" s="589">
        <v>127.82233333333333</v>
      </c>
      <c r="P269" s="572"/>
      <c r="Q269" s="616">
        <v>-5.7000000000000002E-3</v>
      </c>
      <c r="R269" s="592"/>
      <c r="S269" s="589">
        <v>-312.25170000000003</v>
      </c>
      <c r="Y269" s="593">
        <v>1.01E-2</v>
      </c>
      <c r="Z269" s="593">
        <v>3.5000000000000001E-3</v>
      </c>
      <c r="AA269" s="593">
        <v>-5.7000000000000002E-3</v>
      </c>
    </row>
    <row r="270" spans="1:27" s="677" customFormat="1">
      <c r="A270" s="585" t="s">
        <v>299</v>
      </c>
      <c r="B270" s="570"/>
      <c r="C270" s="617">
        <v>437568</v>
      </c>
      <c r="D270" s="678"/>
      <c r="E270" s="671"/>
      <c r="F270" s="678"/>
      <c r="G270" s="682">
        <v>6277643</v>
      </c>
      <c r="H270" s="678"/>
      <c r="I270" s="672"/>
      <c r="J270" s="678"/>
      <c r="K270" s="682"/>
      <c r="L270" s="678"/>
      <c r="M270" s="672"/>
      <c r="N270" s="678"/>
      <c r="O270" s="682"/>
      <c r="P270" s="678"/>
      <c r="Q270" s="672"/>
      <c r="R270" s="678"/>
      <c r="S270" s="682"/>
    </row>
    <row r="271" spans="1:27" s="677" customFormat="1" ht="16.5" thickBot="1">
      <c r="A271" s="585" t="s">
        <v>215</v>
      </c>
      <c r="B271" s="570"/>
      <c r="C271" s="683">
        <v>21323142.719419409</v>
      </c>
      <c r="D271" s="678"/>
      <c r="E271" s="631"/>
      <c r="F271" s="678"/>
      <c r="G271" s="631"/>
      <c r="H271" s="678"/>
      <c r="I271" s="640"/>
      <c r="J271" s="592"/>
      <c r="K271" s="339"/>
      <c r="L271" s="678"/>
      <c r="M271" s="640"/>
      <c r="N271" s="592"/>
      <c r="O271" s="339"/>
      <c r="P271" s="678"/>
      <c r="Q271" s="640"/>
      <c r="R271" s="592"/>
      <c r="S271" s="339"/>
      <c r="U271" s="593"/>
      <c r="V271" s="593"/>
      <c r="W271" s="627"/>
      <c r="X271" s="593"/>
    </row>
    <row r="272" spans="1:27" s="677" customFormat="1" ht="16.5" thickTop="1">
      <c r="A272" s="585" t="s">
        <v>11</v>
      </c>
      <c r="B272" s="570"/>
      <c r="C272" s="586">
        <v>1026.8333333333333</v>
      </c>
      <c r="D272" s="678"/>
      <c r="E272" s="570"/>
      <c r="F272" s="678"/>
      <c r="G272" s="570"/>
      <c r="H272" s="678"/>
      <c r="I272" s="684"/>
      <c r="J272" s="572"/>
      <c r="K272" s="570"/>
      <c r="L272" s="678"/>
      <c r="M272" s="684"/>
      <c r="N272" s="572"/>
      <c r="O272" s="570"/>
      <c r="P272" s="678"/>
      <c r="Q272" s="684"/>
      <c r="R272" s="572"/>
      <c r="S272" s="570"/>
    </row>
    <row r="273" spans="1:27" s="677" customFormat="1">
      <c r="A273" s="585" t="s">
        <v>216</v>
      </c>
      <c r="B273" s="570"/>
      <c r="C273" s="685">
        <v>0</v>
      </c>
      <c r="D273" s="678"/>
      <c r="E273" s="671"/>
      <c r="F273" s="678"/>
      <c r="G273" s="682"/>
      <c r="H273" s="678"/>
      <c r="I273" s="640"/>
      <c r="J273" s="572"/>
      <c r="K273" s="682"/>
      <c r="L273" s="678"/>
      <c r="M273" s="640"/>
      <c r="N273" s="572"/>
      <c r="O273" s="682"/>
      <c r="P273" s="678"/>
      <c r="Q273" s="640"/>
      <c r="R273" s="572"/>
      <c r="S273" s="682"/>
    </row>
    <row r="274" spans="1:27" s="677" customFormat="1" ht="16.5" thickBot="1">
      <c r="A274" s="585" t="s">
        <v>300</v>
      </c>
      <c r="B274" s="570"/>
      <c r="C274" s="683">
        <v>21323142.719419409</v>
      </c>
      <c r="D274" s="678"/>
      <c r="E274" s="339"/>
      <c r="F274" s="340"/>
      <c r="G274" s="339">
        <v>6277643</v>
      </c>
      <c r="H274" s="678"/>
      <c r="I274" s="659"/>
      <c r="J274" s="572"/>
      <c r="K274" s="339">
        <v>63404.194299999981</v>
      </c>
      <c r="L274" s="678"/>
      <c r="M274" s="659"/>
      <c r="N274" s="572"/>
      <c r="O274" s="339">
        <v>14647.833666666664</v>
      </c>
      <c r="P274" s="678"/>
      <c r="Q274" s="659"/>
      <c r="R274" s="572"/>
      <c r="S274" s="339">
        <v>-35782.5651</v>
      </c>
      <c r="V274" s="593">
        <v>1.0099999999999996E-2</v>
      </c>
      <c r="W274" s="593">
        <v>3.4999999999999988E-3</v>
      </c>
      <c r="X274" s="593">
        <v>-5.7000000000000002E-3</v>
      </c>
      <c r="Y274" s="593">
        <v>1.0099999999999996E-2</v>
      </c>
      <c r="Z274" s="593">
        <v>3.4999999999999992E-3</v>
      </c>
      <c r="AA274" s="593">
        <v>-5.7000000000000002E-3</v>
      </c>
    </row>
    <row r="275" spans="1:27" s="677" customFormat="1" ht="16.5" thickTop="1">
      <c r="A275" s="570"/>
      <c r="B275" s="570"/>
      <c r="C275" s="571"/>
      <c r="D275" s="678"/>
      <c r="E275" s="570"/>
      <c r="F275" s="678"/>
      <c r="G275" s="570"/>
      <c r="H275" s="678"/>
      <c r="I275" s="640"/>
      <c r="J275" s="678"/>
      <c r="K275" s="570"/>
      <c r="L275" s="678"/>
      <c r="M275" s="640"/>
      <c r="N275" s="678"/>
      <c r="O275" s="570"/>
      <c r="P275" s="678"/>
      <c r="Q275" s="640"/>
      <c r="R275" s="678"/>
      <c r="S275" s="570"/>
    </row>
    <row r="276" spans="1:27" s="677" customFormat="1">
      <c r="A276" s="562" t="s">
        <v>301</v>
      </c>
      <c r="B276" s="570"/>
      <c r="C276" s="571"/>
      <c r="D276" s="678"/>
      <c r="E276" s="570"/>
      <c r="F276" s="678"/>
      <c r="G276" s="570"/>
      <c r="H276" s="678"/>
      <c r="I276" s="640"/>
      <c r="J276" s="678"/>
      <c r="K276" s="570"/>
      <c r="L276" s="678"/>
      <c r="M276" s="640"/>
      <c r="N276" s="678"/>
      <c r="O276" s="570"/>
      <c r="P276" s="678"/>
      <c r="Q276" s="640"/>
      <c r="R276" s="678"/>
      <c r="S276" s="570"/>
    </row>
    <row r="277" spans="1:27" s="677" customFormat="1">
      <c r="A277" s="686" t="s">
        <v>302</v>
      </c>
      <c r="B277" s="570"/>
      <c r="C277" s="571"/>
      <c r="D277" s="678"/>
      <c r="E277" s="570"/>
      <c r="F277" s="678"/>
      <c r="G277" s="681"/>
      <c r="H277" s="678"/>
      <c r="I277" s="640"/>
      <c r="J277" s="678"/>
      <c r="K277" s="681"/>
      <c r="L277" s="678"/>
      <c r="M277" s="640"/>
      <c r="N277" s="678"/>
      <c r="O277" s="681"/>
      <c r="P277" s="678"/>
      <c r="Q277" s="640"/>
      <c r="R277" s="678"/>
      <c r="S277" s="681"/>
    </row>
    <row r="278" spans="1:27" s="677" customFormat="1">
      <c r="A278" s="648" t="s">
        <v>303</v>
      </c>
      <c r="B278" s="570"/>
      <c r="C278" s="571"/>
      <c r="D278" s="678"/>
      <c r="E278" s="570"/>
      <c r="F278" s="678"/>
      <c r="G278" s="681"/>
      <c r="H278" s="678"/>
      <c r="I278" s="640"/>
      <c r="J278" s="678"/>
      <c r="K278" s="681"/>
      <c r="L278" s="678"/>
      <c r="M278" s="640"/>
      <c r="N278" s="678"/>
      <c r="O278" s="681"/>
      <c r="P278" s="678"/>
      <c r="Q278" s="640"/>
      <c r="R278" s="678"/>
      <c r="S278" s="681"/>
    </row>
    <row r="279" spans="1:27" s="677" customFormat="1">
      <c r="A279" s="585" t="s">
        <v>304</v>
      </c>
      <c r="B279" s="570"/>
      <c r="C279" s="571">
        <v>39245</v>
      </c>
      <c r="D279" s="687"/>
      <c r="E279" s="587">
        <v>1.81</v>
      </c>
      <c r="F279" s="588"/>
      <c r="G279" s="681">
        <v>71033</v>
      </c>
      <c r="H279" s="687"/>
      <c r="I279" s="616">
        <v>1.01E-2</v>
      </c>
      <c r="J279" s="592"/>
      <c r="K279" s="589">
        <v>717.43329999999992</v>
      </c>
      <c r="L279" s="572"/>
      <c r="M279" s="616">
        <v>3.5000000000000001E-3</v>
      </c>
      <c r="N279" s="592"/>
      <c r="O279" s="589">
        <v>165.74366666666666</v>
      </c>
      <c r="P279" s="572"/>
      <c r="Q279" s="616">
        <v>-5.7000000000000002E-3</v>
      </c>
      <c r="R279" s="592"/>
      <c r="S279" s="589">
        <v>-404.88810000000001</v>
      </c>
      <c r="U279" s="594" t="s">
        <v>520</v>
      </c>
      <c r="V279" s="595"/>
      <c r="W279" s="596"/>
      <c r="X279" s="596"/>
      <c r="Y279" s="593">
        <v>1.01E-2</v>
      </c>
      <c r="Z279" s="593">
        <v>3.4999999999999996E-3</v>
      </c>
      <c r="AA279" s="593">
        <v>-5.7000000000000002E-3</v>
      </c>
    </row>
    <row r="280" spans="1:27" s="677" customFormat="1">
      <c r="A280" s="585" t="s">
        <v>305</v>
      </c>
      <c r="B280" s="570"/>
      <c r="C280" s="571">
        <v>86693</v>
      </c>
      <c r="D280" s="678"/>
      <c r="E280" s="587">
        <v>2.4700000000000002</v>
      </c>
      <c r="F280" s="646"/>
      <c r="G280" s="681">
        <v>214132</v>
      </c>
      <c r="H280" s="678"/>
      <c r="I280" s="616">
        <v>1.01E-2</v>
      </c>
      <c r="J280" s="592"/>
      <c r="K280" s="589">
        <v>2162.7332000000001</v>
      </c>
      <c r="L280" s="572"/>
      <c r="M280" s="616">
        <v>3.5000000000000001E-3</v>
      </c>
      <c r="N280" s="592"/>
      <c r="O280" s="589">
        <v>499.64133333333331</v>
      </c>
      <c r="P280" s="572"/>
      <c r="Q280" s="616">
        <v>-5.7000000000000002E-3</v>
      </c>
      <c r="R280" s="592"/>
      <c r="S280" s="589">
        <v>-1220.5524</v>
      </c>
      <c r="U280" s="597"/>
      <c r="V280" s="598" t="s">
        <v>374</v>
      </c>
      <c r="W280" s="599" t="s">
        <v>453</v>
      </c>
      <c r="X280" s="598" t="s">
        <v>454</v>
      </c>
      <c r="Y280" s="593">
        <v>1.0100000000000001E-2</v>
      </c>
      <c r="Z280" s="593">
        <v>3.5000000000000001E-3</v>
      </c>
      <c r="AA280" s="593">
        <v>-5.7000000000000002E-3</v>
      </c>
    </row>
    <row r="281" spans="1:27" s="677" customFormat="1">
      <c r="A281" s="585" t="s">
        <v>306</v>
      </c>
      <c r="B281" s="570"/>
      <c r="C281" s="571">
        <v>111321</v>
      </c>
      <c r="D281" s="678"/>
      <c r="E281" s="587">
        <v>3.62</v>
      </c>
      <c r="F281" s="646"/>
      <c r="G281" s="681">
        <v>402982</v>
      </c>
      <c r="H281" s="678"/>
      <c r="I281" s="616">
        <v>1.01E-2</v>
      </c>
      <c r="J281" s="592"/>
      <c r="K281" s="589">
        <v>4070.1181999999999</v>
      </c>
      <c r="L281" s="572"/>
      <c r="M281" s="616">
        <v>3.5000000000000001E-3</v>
      </c>
      <c r="N281" s="592"/>
      <c r="O281" s="589">
        <v>940.29133333333345</v>
      </c>
      <c r="P281" s="572"/>
      <c r="Q281" s="616">
        <v>-5.7000000000000002E-3</v>
      </c>
      <c r="R281" s="592"/>
      <c r="S281" s="589">
        <v>-2296.9974000000002</v>
      </c>
      <c r="U281" s="600" t="s">
        <v>508</v>
      </c>
      <c r="V281" s="601">
        <v>39864.040999726545</v>
      </c>
      <c r="W281" s="602">
        <v>9176.6748934688658</v>
      </c>
      <c r="X281" s="601">
        <v>-22389.78106366501</v>
      </c>
      <c r="Y281" s="593">
        <v>1.01E-2</v>
      </c>
      <c r="Z281" s="593">
        <v>3.5000000000000001E-3</v>
      </c>
      <c r="AA281" s="593">
        <v>-5.7000000000000002E-3</v>
      </c>
    </row>
    <row r="282" spans="1:27" s="677" customFormat="1">
      <c r="A282" s="585" t="s">
        <v>307</v>
      </c>
      <c r="B282" s="570"/>
      <c r="C282" s="571">
        <v>50134</v>
      </c>
      <c r="D282" s="678"/>
      <c r="E282" s="587">
        <v>6.45</v>
      </c>
      <c r="F282" s="646"/>
      <c r="G282" s="681">
        <v>323364</v>
      </c>
      <c r="H282" s="678"/>
      <c r="I282" s="616">
        <v>1.01E-2</v>
      </c>
      <c r="J282" s="592"/>
      <c r="K282" s="589">
        <v>3265.9764</v>
      </c>
      <c r="L282" s="572"/>
      <c r="M282" s="616">
        <v>3.5000000000000001E-3</v>
      </c>
      <c r="N282" s="592"/>
      <c r="O282" s="589">
        <v>754.51600000000008</v>
      </c>
      <c r="P282" s="572"/>
      <c r="Q282" s="616">
        <v>-5.7000000000000002E-3</v>
      </c>
      <c r="R282" s="592"/>
      <c r="S282" s="589">
        <v>-1843.1748</v>
      </c>
      <c r="U282" s="604" t="s">
        <v>509</v>
      </c>
      <c r="V282" s="601">
        <v>39867.012899999994</v>
      </c>
      <c r="W282" s="602">
        <v>9210.2010000000009</v>
      </c>
      <c r="X282" s="601">
        <v>-22499.205300000005</v>
      </c>
      <c r="Y282" s="593">
        <v>1.01E-2</v>
      </c>
      <c r="Z282" s="593">
        <v>3.5000000000000005E-3</v>
      </c>
      <c r="AA282" s="593">
        <v>-5.7000000000000002E-3</v>
      </c>
    </row>
    <row r="283" spans="1:27" s="677" customFormat="1">
      <c r="A283" s="585" t="s">
        <v>308</v>
      </c>
      <c r="B283" s="570"/>
      <c r="C283" s="571">
        <v>70398</v>
      </c>
      <c r="D283" s="678"/>
      <c r="E283" s="587">
        <v>9.92</v>
      </c>
      <c r="F283" s="646"/>
      <c r="G283" s="681">
        <v>698348</v>
      </c>
      <c r="H283" s="678"/>
      <c r="I283" s="616">
        <v>1.01E-2</v>
      </c>
      <c r="J283" s="592"/>
      <c r="K283" s="589">
        <v>7053.3148000000001</v>
      </c>
      <c r="L283" s="572"/>
      <c r="M283" s="616">
        <v>3.5000000000000001E-3</v>
      </c>
      <c r="N283" s="592"/>
      <c r="O283" s="589">
        <v>1629.4786666666666</v>
      </c>
      <c r="P283" s="572"/>
      <c r="Q283" s="616">
        <v>-5.7000000000000002E-3</v>
      </c>
      <c r="R283" s="592"/>
      <c r="S283" s="589">
        <v>-3980.5835999999999</v>
      </c>
      <c r="U283" s="606" t="s">
        <v>22</v>
      </c>
      <c r="V283" s="607">
        <v>2.9719002734491369</v>
      </c>
      <c r="W283" s="608">
        <v>33.526106531135156</v>
      </c>
      <c r="X283" s="607">
        <v>-109.42423633499493</v>
      </c>
      <c r="Y283" s="593">
        <v>1.01E-2</v>
      </c>
      <c r="Z283" s="593">
        <v>3.5000000000000001E-3</v>
      </c>
      <c r="AA283" s="593">
        <v>-5.7000000000000002E-3</v>
      </c>
    </row>
    <row r="284" spans="1:27" s="677" customFormat="1">
      <c r="A284" s="648" t="s">
        <v>274</v>
      </c>
      <c r="B284" s="570"/>
      <c r="C284" s="571"/>
      <c r="D284" s="678"/>
      <c r="E284" s="666"/>
      <c r="F284" s="673"/>
      <c r="G284" s="681"/>
      <c r="H284" s="678"/>
      <c r="I284" s="605"/>
      <c r="J284" s="673"/>
      <c r="K284" s="681"/>
      <c r="L284" s="678"/>
      <c r="M284" s="605"/>
      <c r="N284" s="673"/>
      <c r="O284" s="681"/>
      <c r="P284" s="678"/>
      <c r="Q284" s="605"/>
      <c r="R284" s="673"/>
      <c r="S284" s="681"/>
      <c r="U284" s="593" t="s">
        <v>510</v>
      </c>
      <c r="V284" s="610">
        <v>1.009924709200468E-2</v>
      </c>
      <c r="W284" s="611">
        <v>3.487259629528284E-3</v>
      </c>
      <c r="X284" s="610">
        <v>-5.6722782143283331E-3</v>
      </c>
    </row>
    <row r="285" spans="1:27" s="677" customFormat="1">
      <c r="A285" s="585" t="s">
        <v>309</v>
      </c>
      <c r="B285" s="570"/>
      <c r="C285" s="571">
        <v>4865</v>
      </c>
      <c r="D285" s="678"/>
      <c r="E285" s="587">
        <v>2.52</v>
      </c>
      <c r="F285" s="646"/>
      <c r="G285" s="681">
        <v>12260</v>
      </c>
      <c r="H285" s="678"/>
      <c r="I285" s="616">
        <v>1.01E-2</v>
      </c>
      <c r="J285" s="592"/>
      <c r="K285" s="589">
        <v>123.82599999999999</v>
      </c>
      <c r="L285" s="572"/>
      <c r="M285" s="616">
        <v>3.5000000000000001E-3</v>
      </c>
      <c r="N285" s="592"/>
      <c r="O285" s="589">
        <v>28.606666666666669</v>
      </c>
      <c r="P285" s="572"/>
      <c r="Q285" s="616">
        <v>-5.7000000000000002E-3</v>
      </c>
      <c r="R285" s="592"/>
      <c r="S285" s="589">
        <v>-69.882000000000005</v>
      </c>
      <c r="Y285" s="593">
        <v>1.01E-2</v>
      </c>
      <c r="Z285" s="593">
        <v>3.5000000000000005E-3</v>
      </c>
      <c r="AA285" s="593">
        <v>-5.7000000000000002E-3</v>
      </c>
    </row>
    <row r="286" spans="1:27" s="677" customFormat="1">
      <c r="A286" s="585" t="s">
        <v>310</v>
      </c>
      <c r="B286" s="570"/>
      <c r="C286" s="571">
        <v>7236</v>
      </c>
      <c r="D286" s="678"/>
      <c r="E286" s="587">
        <v>4.41</v>
      </c>
      <c r="F286" s="646"/>
      <c r="G286" s="681">
        <v>31911</v>
      </c>
      <c r="H286" s="678"/>
      <c r="I286" s="616">
        <v>1.01E-2</v>
      </c>
      <c r="J286" s="592"/>
      <c r="K286" s="589">
        <v>322.30109999999996</v>
      </c>
      <c r="L286" s="572"/>
      <c r="M286" s="616">
        <v>3.5000000000000001E-3</v>
      </c>
      <c r="N286" s="592"/>
      <c r="O286" s="589">
        <v>74.459000000000003</v>
      </c>
      <c r="P286" s="572"/>
      <c r="Q286" s="616">
        <v>-5.7000000000000002E-3</v>
      </c>
      <c r="R286" s="592"/>
      <c r="S286" s="589">
        <v>-181.89270000000002</v>
      </c>
      <c r="Y286" s="593">
        <v>1.01E-2</v>
      </c>
      <c r="Z286" s="593">
        <v>3.5000000000000001E-3</v>
      </c>
      <c r="AA286" s="593">
        <v>-5.7000000000000002E-3</v>
      </c>
    </row>
    <row r="287" spans="1:27" s="677" customFormat="1">
      <c r="A287" s="585" t="s">
        <v>311</v>
      </c>
      <c r="B287" s="570"/>
      <c r="C287" s="571">
        <v>24773</v>
      </c>
      <c r="D287" s="678"/>
      <c r="E287" s="587">
        <v>6.11</v>
      </c>
      <c r="F287" s="646"/>
      <c r="G287" s="681">
        <v>151363</v>
      </c>
      <c r="H287" s="678"/>
      <c r="I287" s="616">
        <v>1.01E-2</v>
      </c>
      <c r="J287" s="592"/>
      <c r="K287" s="589">
        <v>1528.7663</v>
      </c>
      <c r="L287" s="572"/>
      <c r="M287" s="616">
        <v>3.5000000000000001E-3</v>
      </c>
      <c r="N287" s="592"/>
      <c r="O287" s="589">
        <v>353.18033333333329</v>
      </c>
      <c r="P287" s="572"/>
      <c r="Q287" s="616">
        <v>-5.7000000000000002E-3</v>
      </c>
      <c r="R287" s="592"/>
      <c r="S287" s="589">
        <v>-862.76909999999998</v>
      </c>
      <c r="Y287" s="593">
        <v>1.01E-2</v>
      </c>
      <c r="Z287" s="593">
        <v>3.4999999999999996E-3</v>
      </c>
      <c r="AA287" s="593">
        <v>-5.7000000000000002E-3</v>
      </c>
    </row>
    <row r="288" spans="1:27" s="677" customFormat="1">
      <c r="A288" s="585" t="s">
        <v>312</v>
      </c>
      <c r="B288" s="570"/>
      <c r="C288" s="571">
        <v>23050</v>
      </c>
      <c r="D288" s="678"/>
      <c r="E288" s="646">
        <v>9.67</v>
      </c>
      <c r="F288" s="646"/>
      <c r="G288" s="681">
        <v>222894</v>
      </c>
      <c r="H288" s="678"/>
      <c r="I288" s="616">
        <v>1.01E-2</v>
      </c>
      <c r="J288" s="592"/>
      <c r="K288" s="589">
        <v>2251.2293999999997</v>
      </c>
      <c r="L288" s="572"/>
      <c r="M288" s="616">
        <v>3.5000000000000001E-3</v>
      </c>
      <c r="N288" s="592"/>
      <c r="O288" s="589">
        <v>520.08600000000001</v>
      </c>
      <c r="P288" s="572"/>
      <c r="Q288" s="616">
        <v>-5.7000000000000002E-3</v>
      </c>
      <c r="R288" s="592"/>
      <c r="S288" s="589">
        <v>-1270.4958000000001</v>
      </c>
      <c r="Y288" s="593">
        <v>1.0099999999999998E-2</v>
      </c>
      <c r="Z288" s="593">
        <v>3.5000000000000001E-3</v>
      </c>
      <c r="AA288" s="593">
        <v>-5.7000000000000011E-3</v>
      </c>
    </row>
    <row r="289" spans="1:27" s="677" customFormat="1">
      <c r="A289" s="648" t="s">
        <v>313</v>
      </c>
      <c r="B289" s="570"/>
      <c r="C289" s="571">
        <v>6480160</v>
      </c>
      <c r="D289" s="678"/>
      <c r="E289" s="345">
        <v>6.4596999999999998</v>
      </c>
      <c r="F289" s="592" t="s">
        <v>108</v>
      </c>
      <c r="G289" s="681">
        <v>418599</v>
      </c>
      <c r="H289" s="678"/>
      <c r="I289" s="616">
        <v>1.01E-2</v>
      </c>
      <c r="J289" s="592"/>
      <c r="K289" s="589">
        <v>4227.8499000000002</v>
      </c>
      <c r="L289" s="572"/>
      <c r="M289" s="616">
        <v>3.5000000000000001E-3</v>
      </c>
      <c r="N289" s="592"/>
      <c r="O289" s="589">
        <v>976.73100000000011</v>
      </c>
      <c r="P289" s="572"/>
      <c r="Q289" s="616">
        <v>-5.7000000000000002E-3</v>
      </c>
      <c r="R289" s="592"/>
      <c r="S289" s="589">
        <v>-2386.0143000000003</v>
      </c>
      <c r="Y289" s="593">
        <v>1.01E-2</v>
      </c>
      <c r="Z289" s="593">
        <v>3.5000000000000005E-3</v>
      </c>
      <c r="AA289" s="593">
        <v>-5.7000000000000011E-3</v>
      </c>
    </row>
    <row r="290" spans="1:27" s="677" customFormat="1">
      <c r="A290" s="648" t="s">
        <v>314</v>
      </c>
      <c r="B290" s="570"/>
      <c r="C290" s="615">
        <v>39094955.331382461</v>
      </c>
      <c r="D290" s="678"/>
      <c r="E290" s="345"/>
      <c r="F290" s="688"/>
      <c r="G290" s="679">
        <v>2546886</v>
      </c>
      <c r="H290" s="678"/>
      <c r="I290" s="616"/>
      <c r="J290" s="588"/>
      <c r="K290" s="589"/>
      <c r="L290" s="572"/>
      <c r="M290" s="616"/>
      <c r="N290" s="588"/>
      <c r="O290" s="589"/>
      <c r="P290" s="678"/>
      <c r="Q290" s="616"/>
      <c r="R290" s="588"/>
      <c r="S290" s="589"/>
    </row>
    <row r="291" spans="1:27" s="677" customFormat="1">
      <c r="A291" s="689" t="s">
        <v>315</v>
      </c>
      <c r="B291" s="570"/>
      <c r="C291" s="571"/>
      <c r="D291" s="678"/>
      <c r="E291" s="570"/>
      <c r="F291" s="678"/>
      <c r="G291" s="570"/>
      <c r="H291" s="678"/>
      <c r="I291" s="640"/>
      <c r="J291" s="678"/>
      <c r="K291" s="570"/>
      <c r="L291" s="678"/>
      <c r="M291" s="640"/>
      <c r="N291" s="678"/>
      <c r="O291" s="570"/>
      <c r="P291" s="678"/>
      <c r="Q291" s="640"/>
      <c r="R291" s="678"/>
      <c r="S291" s="570"/>
    </row>
    <row r="292" spans="1:27" s="677" customFormat="1">
      <c r="A292" s="648" t="s">
        <v>316</v>
      </c>
      <c r="B292" s="570"/>
      <c r="C292" s="571"/>
      <c r="D292" s="678"/>
      <c r="E292" s="570"/>
      <c r="F292" s="678"/>
      <c r="G292" s="681"/>
      <c r="H292" s="678"/>
      <c r="I292" s="640"/>
      <c r="J292" s="678"/>
      <c r="K292" s="681"/>
      <c r="L292" s="678"/>
      <c r="M292" s="640"/>
      <c r="N292" s="678"/>
      <c r="O292" s="681"/>
      <c r="P292" s="678"/>
      <c r="Q292" s="640"/>
      <c r="R292" s="678"/>
      <c r="S292" s="681"/>
    </row>
    <row r="293" spans="1:27" s="677" customFormat="1">
      <c r="A293" s="585" t="s">
        <v>317</v>
      </c>
      <c r="B293" s="570"/>
      <c r="C293" s="571">
        <v>81</v>
      </c>
      <c r="D293" s="678"/>
      <c r="E293" s="587">
        <v>8.8699999999999992</v>
      </c>
      <c r="F293" s="646"/>
      <c r="G293" s="681">
        <v>718</v>
      </c>
      <c r="H293" s="678"/>
      <c r="I293" s="616">
        <v>1.01E-2</v>
      </c>
      <c r="J293" s="592"/>
      <c r="K293" s="589">
        <v>7.2517999999999994</v>
      </c>
      <c r="L293" s="572"/>
      <c r="M293" s="616">
        <v>3.5000000000000001E-3</v>
      </c>
      <c r="N293" s="592"/>
      <c r="O293" s="589">
        <v>1.6753333333333333</v>
      </c>
      <c r="P293" s="572"/>
      <c r="Q293" s="616">
        <v>-5.7000000000000002E-3</v>
      </c>
      <c r="R293" s="592"/>
      <c r="S293" s="589">
        <v>-4.0926</v>
      </c>
      <c r="Y293" s="593">
        <v>1.01E-2</v>
      </c>
      <c r="Z293" s="593">
        <v>3.5000000000000001E-3</v>
      </c>
      <c r="AA293" s="593">
        <v>-5.7000000000000002E-3</v>
      </c>
    </row>
    <row r="294" spans="1:27" s="677" customFormat="1">
      <c r="A294" s="585" t="s">
        <v>318</v>
      </c>
      <c r="B294" s="570"/>
      <c r="C294" s="571">
        <v>19</v>
      </c>
      <c r="D294" s="678"/>
      <c r="E294" s="587">
        <v>7.54</v>
      </c>
      <c r="F294" s="646"/>
      <c r="G294" s="681">
        <v>143</v>
      </c>
      <c r="H294" s="678"/>
      <c r="I294" s="616">
        <v>1.01E-2</v>
      </c>
      <c r="J294" s="592"/>
      <c r="K294" s="589">
        <v>1.4442999999999999</v>
      </c>
      <c r="L294" s="572"/>
      <c r="M294" s="616">
        <v>3.5000000000000001E-3</v>
      </c>
      <c r="N294" s="592"/>
      <c r="O294" s="589">
        <v>0.33366666666666672</v>
      </c>
      <c r="P294" s="572"/>
      <c r="Q294" s="616">
        <v>-5.7000000000000002E-3</v>
      </c>
      <c r="R294" s="592"/>
      <c r="S294" s="589">
        <v>-0.81510000000000005</v>
      </c>
      <c r="Y294" s="593">
        <v>1.01E-2</v>
      </c>
      <c r="Z294" s="593">
        <v>3.5000000000000009E-3</v>
      </c>
      <c r="AA294" s="593">
        <v>-5.7000000000000002E-3</v>
      </c>
    </row>
    <row r="295" spans="1:27" s="677" customFormat="1">
      <c r="A295" s="585" t="s">
        <v>287</v>
      </c>
      <c r="B295" s="570"/>
      <c r="C295" s="571">
        <v>38</v>
      </c>
      <c r="D295" s="678"/>
      <c r="E295" s="587">
        <v>12.06</v>
      </c>
      <c r="F295" s="646"/>
      <c r="G295" s="681">
        <v>458</v>
      </c>
      <c r="H295" s="678"/>
      <c r="I295" s="616">
        <v>1.01E-2</v>
      </c>
      <c r="J295" s="592"/>
      <c r="K295" s="589">
        <v>4.6257999999999999</v>
      </c>
      <c r="L295" s="572"/>
      <c r="M295" s="616">
        <v>3.5000000000000001E-3</v>
      </c>
      <c r="N295" s="592"/>
      <c r="O295" s="589">
        <v>1.0686666666666667</v>
      </c>
      <c r="P295" s="572"/>
      <c r="Q295" s="616">
        <v>-5.7000000000000002E-3</v>
      </c>
      <c r="R295" s="592"/>
      <c r="S295" s="589">
        <v>-2.6106000000000003</v>
      </c>
      <c r="Y295" s="593">
        <v>1.01E-2</v>
      </c>
      <c r="Z295" s="593">
        <v>3.5000000000000001E-3</v>
      </c>
      <c r="AA295" s="593">
        <v>-5.7000000000000002E-3</v>
      </c>
    </row>
    <row r="296" spans="1:27" s="677" customFormat="1">
      <c r="A296" s="648" t="s">
        <v>319</v>
      </c>
      <c r="B296" s="570"/>
      <c r="C296" s="571"/>
      <c r="D296" s="678"/>
      <c r="E296" s="587"/>
      <c r="F296" s="646"/>
      <c r="G296" s="570"/>
      <c r="H296" s="678"/>
      <c r="I296" s="616"/>
      <c r="J296" s="646"/>
      <c r="K296" s="570"/>
      <c r="L296" s="678"/>
      <c r="M296" s="616"/>
      <c r="N296" s="646"/>
      <c r="O296" s="570"/>
      <c r="P296" s="678"/>
      <c r="Q296" s="616"/>
      <c r="R296" s="646"/>
      <c r="S296" s="570"/>
    </row>
    <row r="297" spans="1:27" s="677" customFormat="1">
      <c r="A297" s="585" t="s">
        <v>287</v>
      </c>
      <c r="B297" s="570"/>
      <c r="C297" s="571">
        <v>839</v>
      </c>
      <c r="D297" s="678"/>
      <c r="E297" s="587">
        <v>4.59</v>
      </c>
      <c r="F297" s="646"/>
      <c r="G297" s="681">
        <v>3851</v>
      </c>
      <c r="H297" s="678"/>
      <c r="I297" s="616">
        <v>1.01E-2</v>
      </c>
      <c r="J297" s="592"/>
      <c r="K297" s="589">
        <v>38.895099999999999</v>
      </c>
      <c r="L297" s="572"/>
      <c r="M297" s="616">
        <v>3.5000000000000001E-3</v>
      </c>
      <c r="N297" s="592"/>
      <c r="O297" s="589">
        <v>8.9856666666666669</v>
      </c>
      <c r="P297" s="572"/>
      <c r="Q297" s="616">
        <v>-5.7000000000000002E-3</v>
      </c>
      <c r="R297" s="592"/>
      <c r="S297" s="589">
        <v>-21.950700000000001</v>
      </c>
      <c r="Y297" s="593">
        <v>1.01E-2</v>
      </c>
      <c r="Z297" s="593">
        <v>3.5000000000000001E-3</v>
      </c>
      <c r="AA297" s="593">
        <v>-5.7000000000000002E-3</v>
      </c>
    </row>
    <row r="298" spans="1:27" s="677" customFormat="1">
      <c r="A298" s="585" t="s">
        <v>189</v>
      </c>
      <c r="B298" s="570"/>
      <c r="C298" s="615">
        <v>763</v>
      </c>
      <c r="D298" s="678"/>
      <c r="E298" s="587">
        <v>6.93</v>
      </c>
      <c r="F298" s="678"/>
      <c r="G298" s="681">
        <v>5288</v>
      </c>
      <c r="H298" s="678"/>
      <c r="I298" s="616">
        <v>1.01E-2</v>
      </c>
      <c r="J298" s="592"/>
      <c r="K298" s="589">
        <v>53.408799999999999</v>
      </c>
      <c r="L298" s="572"/>
      <c r="M298" s="616">
        <v>3.5000000000000001E-3</v>
      </c>
      <c r="N298" s="592"/>
      <c r="O298" s="589">
        <v>12.338666666666667</v>
      </c>
      <c r="P298" s="572"/>
      <c r="Q298" s="616">
        <v>-5.7000000000000002E-3</v>
      </c>
      <c r="R298" s="592"/>
      <c r="S298" s="589">
        <v>-30.1416</v>
      </c>
      <c r="Y298" s="593">
        <v>1.01E-2</v>
      </c>
      <c r="Z298" s="593">
        <v>3.4999999999999996E-3</v>
      </c>
      <c r="AA298" s="593">
        <v>-5.7000000000000002E-3</v>
      </c>
    </row>
    <row r="299" spans="1:27" s="677" customFormat="1">
      <c r="A299" s="585" t="s">
        <v>288</v>
      </c>
      <c r="B299" s="570"/>
      <c r="C299" s="571">
        <v>85</v>
      </c>
      <c r="D299" s="678"/>
      <c r="E299" s="587">
        <v>8.99</v>
      </c>
      <c r="F299" s="646"/>
      <c r="G299" s="681">
        <v>764</v>
      </c>
      <c r="H299" s="678"/>
      <c r="I299" s="616">
        <v>1.01E-2</v>
      </c>
      <c r="J299" s="592"/>
      <c r="K299" s="589">
        <v>7.7163999999999993</v>
      </c>
      <c r="L299" s="572"/>
      <c r="M299" s="616">
        <v>3.5000000000000001E-3</v>
      </c>
      <c r="N299" s="592"/>
      <c r="O299" s="589">
        <v>1.7826666666666666</v>
      </c>
      <c r="P299" s="572"/>
      <c r="Q299" s="616">
        <v>-5.7000000000000002E-3</v>
      </c>
      <c r="R299" s="592"/>
      <c r="S299" s="589">
        <v>-4.3548</v>
      </c>
      <c r="Y299" s="593">
        <v>1.01E-2</v>
      </c>
      <c r="Z299" s="593">
        <v>3.5000000000000001E-3</v>
      </c>
      <c r="AA299" s="593">
        <v>-5.7000000000000002E-3</v>
      </c>
    </row>
    <row r="300" spans="1:27" s="677" customFormat="1">
      <c r="A300" s="585" t="s">
        <v>191</v>
      </c>
      <c r="B300" s="570"/>
      <c r="C300" s="571">
        <v>200</v>
      </c>
      <c r="D300" s="678"/>
      <c r="E300" s="587">
        <v>13.19</v>
      </c>
      <c r="F300" s="646"/>
      <c r="G300" s="681">
        <v>2638</v>
      </c>
      <c r="H300" s="678"/>
      <c r="I300" s="616">
        <v>1.01E-2</v>
      </c>
      <c r="J300" s="592"/>
      <c r="K300" s="589">
        <v>26.643799999999999</v>
      </c>
      <c r="L300" s="572"/>
      <c r="M300" s="616">
        <v>3.5000000000000001E-3</v>
      </c>
      <c r="N300" s="592"/>
      <c r="O300" s="589">
        <v>6.155333333333334</v>
      </c>
      <c r="P300" s="572"/>
      <c r="Q300" s="616">
        <v>-5.7000000000000002E-3</v>
      </c>
      <c r="R300" s="592"/>
      <c r="S300" s="589">
        <v>-15.0366</v>
      </c>
      <c r="Y300" s="593">
        <v>1.01E-2</v>
      </c>
      <c r="Z300" s="593">
        <v>3.5000000000000001E-3</v>
      </c>
      <c r="AA300" s="593">
        <v>-5.7000000000000002E-3</v>
      </c>
    </row>
    <row r="301" spans="1:27" s="677" customFormat="1">
      <c r="A301" s="585" t="s">
        <v>320</v>
      </c>
      <c r="B301" s="570"/>
      <c r="C301" s="571">
        <v>25</v>
      </c>
      <c r="D301" s="678"/>
      <c r="E301" s="587">
        <v>28.08</v>
      </c>
      <c r="F301" s="646"/>
      <c r="G301" s="681">
        <v>702</v>
      </c>
      <c r="H301" s="678"/>
      <c r="I301" s="616">
        <v>1.01E-2</v>
      </c>
      <c r="J301" s="592"/>
      <c r="K301" s="589">
        <v>7.0901999999999994</v>
      </c>
      <c r="L301" s="572"/>
      <c r="M301" s="616">
        <v>3.5000000000000001E-3</v>
      </c>
      <c r="N301" s="592"/>
      <c r="O301" s="589">
        <v>1.6379999999999999</v>
      </c>
      <c r="P301" s="572"/>
      <c r="Q301" s="616">
        <v>-5.7000000000000002E-3</v>
      </c>
      <c r="R301" s="592"/>
      <c r="S301" s="589">
        <v>-4.0014000000000003</v>
      </c>
      <c r="Y301" s="593">
        <v>1.01E-2</v>
      </c>
      <c r="Z301" s="593">
        <v>3.4999999999999996E-3</v>
      </c>
      <c r="AA301" s="593">
        <v>-5.7000000000000002E-3</v>
      </c>
    </row>
    <row r="302" spans="1:27" s="677" customFormat="1">
      <c r="A302" s="648" t="s">
        <v>321</v>
      </c>
      <c r="B302" s="570"/>
      <c r="C302" s="571"/>
      <c r="D302" s="678"/>
      <c r="E302" s="587"/>
      <c r="F302" s="646"/>
      <c r="G302" s="681"/>
      <c r="H302" s="678"/>
      <c r="I302" s="616"/>
      <c r="J302" s="646"/>
      <c r="K302" s="681"/>
      <c r="L302" s="678"/>
      <c r="M302" s="616"/>
      <c r="N302" s="646"/>
      <c r="O302" s="681"/>
      <c r="P302" s="678"/>
      <c r="Q302" s="616"/>
      <c r="R302" s="646"/>
      <c r="S302" s="681"/>
    </row>
    <row r="303" spans="1:27" s="677" customFormat="1">
      <c r="A303" s="585" t="s">
        <v>304</v>
      </c>
      <c r="B303" s="570"/>
      <c r="C303" s="571">
        <v>46417</v>
      </c>
      <c r="D303" s="678"/>
      <c r="E303" s="587">
        <v>4.04</v>
      </c>
      <c r="F303" s="646"/>
      <c r="G303" s="681">
        <v>187525</v>
      </c>
      <c r="H303" s="678"/>
      <c r="I303" s="616">
        <v>1.01E-2</v>
      </c>
      <c r="J303" s="592"/>
      <c r="K303" s="589">
        <v>1894.0024999999998</v>
      </c>
      <c r="L303" s="572"/>
      <c r="M303" s="616">
        <v>3.5000000000000001E-3</v>
      </c>
      <c r="N303" s="592"/>
      <c r="O303" s="589">
        <v>437.55833333333334</v>
      </c>
      <c r="P303" s="572"/>
      <c r="Q303" s="616">
        <v>-5.7000000000000002E-3</v>
      </c>
      <c r="R303" s="592"/>
      <c r="S303" s="589">
        <v>-1068.8924999999999</v>
      </c>
      <c r="Y303" s="593">
        <v>1.01E-2</v>
      </c>
      <c r="Z303" s="593">
        <v>3.5000000000000001E-3</v>
      </c>
      <c r="AA303" s="593">
        <v>-5.6999999999999993E-3</v>
      </c>
    </row>
    <row r="304" spans="1:27" s="677" customFormat="1">
      <c r="A304" s="585" t="s">
        <v>305</v>
      </c>
      <c r="B304" s="570"/>
      <c r="C304" s="571">
        <v>18630</v>
      </c>
      <c r="D304" s="678"/>
      <c r="E304" s="587">
        <v>5.31</v>
      </c>
      <c r="F304" s="646"/>
      <c r="G304" s="681">
        <v>98925</v>
      </c>
      <c r="H304" s="678"/>
      <c r="I304" s="616">
        <v>1.01E-2</v>
      </c>
      <c r="J304" s="592"/>
      <c r="K304" s="589">
        <v>999.14249999999993</v>
      </c>
      <c r="L304" s="572"/>
      <c r="M304" s="616">
        <v>3.5000000000000001E-3</v>
      </c>
      <c r="N304" s="592"/>
      <c r="O304" s="589">
        <v>230.82500000000002</v>
      </c>
      <c r="P304" s="572"/>
      <c r="Q304" s="616">
        <v>-5.7000000000000002E-3</v>
      </c>
      <c r="R304" s="592"/>
      <c r="S304" s="589">
        <v>-563.87250000000006</v>
      </c>
      <c r="Y304" s="593">
        <v>1.01E-2</v>
      </c>
      <c r="Z304" s="593">
        <v>3.5000000000000001E-3</v>
      </c>
      <c r="AA304" s="593">
        <v>-5.7000000000000002E-3</v>
      </c>
    </row>
    <row r="305" spans="1:27" s="677" customFormat="1">
      <c r="A305" s="585" t="s">
        <v>322</v>
      </c>
      <c r="B305" s="570"/>
      <c r="C305" s="571">
        <v>148</v>
      </c>
      <c r="D305" s="678"/>
      <c r="E305" s="587">
        <v>4.51</v>
      </c>
      <c r="F305" s="646"/>
      <c r="G305" s="681">
        <v>667</v>
      </c>
      <c r="H305" s="678"/>
      <c r="I305" s="616">
        <v>1.01E-2</v>
      </c>
      <c r="J305" s="592"/>
      <c r="K305" s="589">
        <v>6.7366999999999999</v>
      </c>
      <c r="L305" s="572"/>
      <c r="M305" s="616">
        <v>3.5000000000000001E-3</v>
      </c>
      <c r="N305" s="592"/>
      <c r="O305" s="589">
        <v>1.5563333333333336</v>
      </c>
      <c r="P305" s="572"/>
      <c r="Q305" s="616">
        <v>-5.7000000000000002E-3</v>
      </c>
      <c r="R305" s="592"/>
      <c r="S305" s="589">
        <v>-3.8019000000000003</v>
      </c>
      <c r="Y305" s="593">
        <v>1.01E-2</v>
      </c>
      <c r="Z305" s="593">
        <v>3.5000000000000005E-3</v>
      </c>
      <c r="AA305" s="593">
        <v>-5.7000000000000002E-3</v>
      </c>
    </row>
    <row r="306" spans="1:27" s="677" customFormat="1">
      <c r="A306" s="585" t="s">
        <v>323</v>
      </c>
      <c r="B306" s="570"/>
      <c r="C306" s="571">
        <v>10874</v>
      </c>
      <c r="D306" s="678"/>
      <c r="E306" s="587">
        <v>6.89</v>
      </c>
      <c r="F306" s="646"/>
      <c r="G306" s="681">
        <v>74922</v>
      </c>
      <c r="H306" s="678"/>
      <c r="I306" s="616">
        <v>1.01E-2</v>
      </c>
      <c r="J306" s="592"/>
      <c r="K306" s="589">
        <v>756.71219999999994</v>
      </c>
      <c r="L306" s="572"/>
      <c r="M306" s="616">
        <v>3.5000000000000001E-3</v>
      </c>
      <c r="N306" s="592"/>
      <c r="O306" s="589">
        <v>174.81800000000001</v>
      </c>
      <c r="P306" s="572"/>
      <c r="Q306" s="616">
        <v>-5.7000000000000002E-3</v>
      </c>
      <c r="R306" s="592"/>
      <c r="S306" s="589">
        <v>-427.05540000000002</v>
      </c>
      <c r="Y306" s="593">
        <v>1.01E-2</v>
      </c>
      <c r="Z306" s="593">
        <v>3.5000000000000001E-3</v>
      </c>
      <c r="AA306" s="593">
        <v>-5.7000000000000002E-3</v>
      </c>
    </row>
    <row r="307" spans="1:27" s="677" customFormat="1">
      <c r="A307" s="585" t="s">
        <v>306</v>
      </c>
      <c r="B307" s="570"/>
      <c r="C307" s="571">
        <v>7847</v>
      </c>
      <c r="D307" s="678"/>
      <c r="E307" s="587">
        <v>6.45</v>
      </c>
      <c r="F307" s="646"/>
      <c r="G307" s="681">
        <v>50613</v>
      </c>
      <c r="H307" s="678"/>
      <c r="I307" s="616">
        <v>1.01E-2</v>
      </c>
      <c r="J307" s="592"/>
      <c r="K307" s="589">
        <v>511.19129999999996</v>
      </c>
      <c r="L307" s="572"/>
      <c r="M307" s="616">
        <v>3.5000000000000001E-3</v>
      </c>
      <c r="N307" s="592"/>
      <c r="O307" s="589">
        <v>118.09699999999999</v>
      </c>
      <c r="P307" s="572"/>
      <c r="Q307" s="616">
        <v>-5.7000000000000002E-3</v>
      </c>
      <c r="R307" s="592"/>
      <c r="S307" s="589">
        <v>-288.4941</v>
      </c>
      <c r="Y307" s="593">
        <v>1.01E-2</v>
      </c>
      <c r="Z307" s="593">
        <v>3.4999999999999996E-3</v>
      </c>
      <c r="AA307" s="593">
        <v>-5.7000000000000002E-3</v>
      </c>
    </row>
    <row r="308" spans="1:27" s="677" customFormat="1">
      <c r="A308" s="585" t="s">
        <v>324</v>
      </c>
      <c r="B308" s="570"/>
      <c r="C308" s="571">
        <v>10</v>
      </c>
      <c r="D308" s="678"/>
      <c r="E308" s="587">
        <v>5.48</v>
      </c>
      <c r="F308" s="646"/>
      <c r="G308" s="681">
        <v>55</v>
      </c>
      <c r="H308" s="678"/>
      <c r="I308" s="616">
        <v>1.01E-2</v>
      </c>
      <c r="J308" s="592"/>
      <c r="K308" s="589">
        <v>0.55549999999999999</v>
      </c>
      <c r="L308" s="572"/>
      <c r="M308" s="616">
        <v>3.5000000000000001E-3</v>
      </c>
      <c r="N308" s="592"/>
      <c r="O308" s="589">
        <v>0.12833333333333333</v>
      </c>
      <c r="P308" s="572"/>
      <c r="Q308" s="616">
        <v>-5.7000000000000002E-3</v>
      </c>
      <c r="R308" s="592"/>
      <c r="S308" s="589">
        <v>-0.3135</v>
      </c>
      <c r="Y308" s="593">
        <v>1.01E-2</v>
      </c>
      <c r="Z308" s="593">
        <v>3.5000000000000001E-3</v>
      </c>
      <c r="AA308" s="593">
        <v>-5.7000000000000002E-3</v>
      </c>
    </row>
    <row r="309" spans="1:27" s="677" customFormat="1">
      <c r="A309" s="585" t="s">
        <v>325</v>
      </c>
      <c r="B309" s="570"/>
      <c r="C309" s="571">
        <v>1719</v>
      </c>
      <c r="D309" s="678"/>
      <c r="E309" s="587">
        <v>8.18</v>
      </c>
      <c r="F309" s="646"/>
      <c r="G309" s="681">
        <v>14061</v>
      </c>
      <c r="H309" s="678"/>
      <c r="I309" s="616">
        <v>1.01E-2</v>
      </c>
      <c r="J309" s="592"/>
      <c r="K309" s="589">
        <v>142.01609999999999</v>
      </c>
      <c r="L309" s="572"/>
      <c r="M309" s="616">
        <v>3.5000000000000001E-3</v>
      </c>
      <c r="N309" s="592"/>
      <c r="O309" s="589">
        <v>32.809000000000005</v>
      </c>
      <c r="P309" s="572"/>
      <c r="Q309" s="616">
        <v>-5.7000000000000002E-3</v>
      </c>
      <c r="R309" s="592"/>
      <c r="S309" s="589">
        <v>-80.1477</v>
      </c>
      <c r="Y309" s="593">
        <v>1.01E-2</v>
      </c>
      <c r="Z309" s="593">
        <v>3.5000000000000005E-3</v>
      </c>
      <c r="AA309" s="593">
        <v>-5.7000000000000002E-3</v>
      </c>
    </row>
    <row r="310" spans="1:27" s="677" customFormat="1">
      <c r="A310" s="585" t="s">
        <v>326</v>
      </c>
      <c r="B310" s="570"/>
      <c r="C310" s="571">
        <v>53</v>
      </c>
      <c r="D310" s="678"/>
      <c r="E310" s="587">
        <v>8.17</v>
      </c>
      <c r="F310" s="646"/>
      <c r="G310" s="681">
        <v>433</v>
      </c>
      <c r="H310" s="678"/>
      <c r="I310" s="616">
        <v>1.01E-2</v>
      </c>
      <c r="J310" s="592"/>
      <c r="K310" s="589">
        <v>4.3732999999999995</v>
      </c>
      <c r="L310" s="572"/>
      <c r="M310" s="616">
        <v>3.5000000000000001E-3</v>
      </c>
      <c r="N310" s="592"/>
      <c r="O310" s="589">
        <v>1.0103333333333333</v>
      </c>
      <c r="P310" s="572"/>
      <c r="Q310" s="616">
        <v>-5.7000000000000002E-3</v>
      </c>
      <c r="R310" s="592"/>
      <c r="S310" s="589">
        <v>-2.4681000000000002</v>
      </c>
      <c r="Y310" s="593">
        <v>1.01E-2</v>
      </c>
      <c r="Z310" s="593">
        <v>3.4999999999999996E-3</v>
      </c>
      <c r="AA310" s="593">
        <v>-5.7000000000000002E-3</v>
      </c>
    </row>
    <row r="311" spans="1:27" s="677" customFormat="1">
      <c r="A311" s="585" t="s">
        <v>307</v>
      </c>
      <c r="B311" s="570"/>
      <c r="C311" s="571">
        <v>7413</v>
      </c>
      <c r="D311" s="678"/>
      <c r="E311" s="587">
        <v>9.49</v>
      </c>
      <c r="F311" s="646"/>
      <c r="G311" s="681">
        <v>70349</v>
      </c>
      <c r="H311" s="678"/>
      <c r="I311" s="616">
        <v>1.01E-2</v>
      </c>
      <c r="J311" s="592"/>
      <c r="K311" s="589">
        <v>710.5249</v>
      </c>
      <c r="L311" s="572"/>
      <c r="M311" s="616">
        <v>3.5000000000000001E-3</v>
      </c>
      <c r="N311" s="592"/>
      <c r="O311" s="589">
        <v>164.14766666666665</v>
      </c>
      <c r="P311" s="572"/>
      <c r="Q311" s="616">
        <v>-5.7000000000000002E-3</v>
      </c>
      <c r="R311" s="592"/>
      <c r="S311" s="589">
        <v>-400.98930000000001</v>
      </c>
      <c r="Y311" s="593">
        <v>1.01E-2</v>
      </c>
      <c r="Z311" s="593">
        <v>3.4999999999999996E-3</v>
      </c>
      <c r="AA311" s="593">
        <v>-5.7000000000000002E-3</v>
      </c>
    </row>
    <row r="312" spans="1:27" s="677" customFormat="1">
      <c r="A312" s="585" t="s">
        <v>327</v>
      </c>
      <c r="B312" s="570"/>
      <c r="C312" s="571">
        <v>0</v>
      </c>
      <c r="D312" s="678"/>
      <c r="E312" s="587">
        <v>8.07</v>
      </c>
      <c r="F312" s="646"/>
      <c r="G312" s="681">
        <v>0</v>
      </c>
      <c r="H312" s="678"/>
      <c r="I312" s="616">
        <v>1.01E-2</v>
      </c>
      <c r="J312" s="592"/>
      <c r="K312" s="589">
        <v>0</v>
      </c>
      <c r="L312" s="572"/>
      <c r="M312" s="616">
        <v>3.5000000000000001E-3</v>
      </c>
      <c r="N312" s="592"/>
      <c r="O312" s="589">
        <v>0</v>
      </c>
      <c r="P312" s="572"/>
      <c r="Q312" s="616">
        <v>-5.7000000000000002E-3</v>
      </c>
      <c r="R312" s="592"/>
      <c r="S312" s="589">
        <v>0</v>
      </c>
      <c r="Y312" s="593" t="e">
        <v>#DIV/0!</v>
      </c>
      <c r="Z312" s="593" t="e">
        <v>#DIV/0!</v>
      </c>
      <c r="AA312" s="593" t="e">
        <v>#DIV/0!</v>
      </c>
    </row>
    <row r="313" spans="1:27" s="677" customFormat="1">
      <c r="A313" s="585" t="s">
        <v>328</v>
      </c>
      <c r="B313" s="570"/>
      <c r="C313" s="571">
        <v>185</v>
      </c>
      <c r="D313" s="678"/>
      <c r="E313" s="587">
        <v>11.81</v>
      </c>
      <c r="F313" s="646"/>
      <c r="G313" s="681">
        <v>2185</v>
      </c>
      <c r="H313" s="678"/>
      <c r="I313" s="616">
        <v>1.01E-2</v>
      </c>
      <c r="J313" s="592"/>
      <c r="K313" s="589">
        <v>22.0685</v>
      </c>
      <c r="L313" s="572"/>
      <c r="M313" s="616">
        <v>3.5000000000000001E-3</v>
      </c>
      <c r="N313" s="592"/>
      <c r="O313" s="589">
        <v>5.0983333333333336</v>
      </c>
      <c r="P313" s="572"/>
      <c r="Q313" s="616">
        <v>-5.7000000000000002E-3</v>
      </c>
      <c r="R313" s="592"/>
      <c r="S313" s="589">
        <v>-12.454500000000001</v>
      </c>
      <c r="Y313" s="593">
        <v>1.01E-2</v>
      </c>
      <c r="Z313" s="593">
        <v>3.5000000000000001E-3</v>
      </c>
      <c r="AA313" s="593">
        <v>-5.7000000000000002E-3</v>
      </c>
    </row>
    <row r="314" spans="1:27" s="677" customFormat="1">
      <c r="A314" s="585" t="s">
        <v>308</v>
      </c>
      <c r="B314" s="570"/>
      <c r="C314" s="571">
        <v>11806</v>
      </c>
      <c r="D314" s="678"/>
      <c r="E314" s="587">
        <v>13.85</v>
      </c>
      <c r="F314" s="646"/>
      <c r="G314" s="681">
        <v>163513</v>
      </c>
      <c r="H314" s="678"/>
      <c r="I314" s="616">
        <v>1.01E-2</v>
      </c>
      <c r="J314" s="592"/>
      <c r="K314" s="589">
        <v>1651.4812999999999</v>
      </c>
      <c r="L314" s="572"/>
      <c r="M314" s="616">
        <v>3.5000000000000001E-3</v>
      </c>
      <c r="N314" s="592"/>
      <c r="O314" s="589">
        <v>381.53033333333337</v>
      </c>
      <c r="P314" s="572"/>
      <c r="Q314" s="616">
        <v>-5.7000000000000002E-3</v>
      </c>
      <c r="R314" s="592"/>
      <c r="S314" s="589">
        <v>-932.02410000000009</v>
      </c>
      <c r="Y314" s="593">
        <v>1.01E-2</v>
      </c>
      <c r="Z314" s="593">
        <v>3.5000000000000001E-3</v>
      </c>
      <c r="AA314" s="593">
        <v>-5.7000000000000002E-3</v>
      </c>
    </row>
    <row r="315" spans="1:27" s="677" customFormat="1">
      <c r="A315" s="614" t="s">
        <v>329</v>
      </c>
      <c r="B315" s="678"/>
      <c r="C315" s="571">
        <v>0</v>
      </c>
      <c r="D315" s="678"/>
      <c r="E315" s="646">
        <v>11.77</v>
      </c>
      <c r="F315" s="646"/>
      <c r="G315" s="681">
        <v>0</v>
      </c>
      <c r="H315" s="678"/>
      <c r="I315" s="616">
        <v>1.01E-2</v>
      </c>
      <c r="J315" s="592"/>
      <c r="K315" s="589">
        <v>0</v>
      </c>
      <c r="L315" s="572"/>
      <c r="M315" s="616">
        <v>3.5000000000000001E-3</v>
      </c>
      <c r="N315" s="592"/>
      <c r="O315" s="589">
        <v>0</v>
      </c>
      <c r="P315" s="572"/>
      <c r="Q315" s="616">
        <v>-5.7000000000000002E-3</v>
      </c>
      <c r="R315" s="592"/>
      <c r="S315" s="589">
        <v>0</v>
      </c>
      <c r="Y315" s="593" t="e">
        <v>#DIV/0!</v>
      </c>
      <c r="Z315" s="593" t="e">
        <v>#DIV/0!</v>
      </c>
      <c r="AA315" s="593" t="e">
        <v>#DIV/0!</v>
      </c>
    </row>
    <row r="316" spans="1:27" s="677" customFormat="1">
      <c r="A316" s="585" t="s">
        <v>330</v>
      </c>
      <c r="B316" s="570"/>
      <c r="C316" s="571">
        <v>267</v>
      </c>
      <c r="D316" s="678"/>
      <c r="E316" s="587">
        <v>15.4</v>
      </c>
      <c r="F316" s="646"/>
      <c r="G316" s="681">
        <v>4112</v>
      </c>
      <c r="H316" s="678"/>
      <c r="I316" s="616">
        <v>1.01E-2</v>
      </c>
      <c r="J316" s="592"/>
      <c r="K316" s="589">
        <v>41.531199999999998</v>
      </c>
      <c r="L316" s="572"/>
      <c r="M316" s="616">
        <v>3.5000000000000001E-3</v>
      </c>
      <c r="N316" s="592"/>
      <c r="O316" s="589">
        <v>9.5946666666666669</v>
      </c>
      <c r="P316" s="572"/>
      <c r="Q316" s="616">
        <v>-5.7000000000000002E-3</v>
      </c>
      <c r="R316" s="592"/>
      <c r="S316" s="589">
        <v>-23.438400000000001</v>
      </c>
      <c r="Y316" s="593">
        <v>1.01E-2</v>
      </c>
      <c r="Z316" s="593">
        <v>3.5000000000000001E-3</v>
      </c>
      <c r="AA316" s="593">
        <v>-5.7000000000000002E-3</v>
      </c>
    </row>
    <row r="317" spans="1:27" s="677" customFormat="1">
      <c r="A317" s="585" t="s">
        <v>273</v>
      </c>
      <c r="B317" s="570"/>
      <c r="C317" s="615">
        <v>0</v>
      </c>
      <c r="D317" s="678"/>
      <c r="E317" s="646">
        <v>26.1</v>
      </c>
      <c r="F317" s="646"/>
      <c r="G317" s="681">
        <v>0</v>
      </c>
      <c r="H317" s="678"/>
      <c r="I317" s="616">
        <v>1.01E-2</v>
      </c>
      <c r="J317" s="592"/>
      <c r="K317" s="589">
        <v>0</v>
      </c>
      <c r="L317" s="572"/>
      <c r="M317" s="616">
        <v>3.5000000000000001E-3</v>
      </c>
      <c r="N317" s="592"/>
      <c r="O317" s="589">
        <v>0</v>
      </c>
      <c r="P317" s="572"/>
      <c r="Q317" s="616">
        <v>-5.7000000000000002E-3</v>
      </c>
      <c r="R317" s="592"/>
      <c r="S317" s="589">
        <v>0</v>
      </c>
      <c r="Y317" s="593" t="e">
        <v>#DIV/0!</v>
      </c>
      <c r="Z317" s="593" t="e">
        <v>#DIV/0!</v>
      </c>
      <c r="AA317" s="593" t="e">
        <v>#DIV/0!</v>
      </c>
    </row>
    <row r="318" spans="1:27" s="677" customFormat="1">
      <c r="A318" s="648" t="s">
        <v>274</v>
      </c>
      <c r="B318" s="570"/>
      <c r="C318" s="571"/>
      <c r="D318" s="678"/>
      <c r="E318" s="587"/>
      <c r="F318" s="646"/>
      <c r="G318" s="570"/>
      <c r="H318" s="678"/>
      <c r="I318" s="616"/>
      <c r="J318" s="646"/>
      <c r="K318" s="570"/>
      <c r="L318" s="678"/>
      <c r="M318" s="616"/>
      <c r="N318" s="646"/>
      <c r="O318" s="570"/>
      <c r="P318" s="678"/>
      <c r="Q318" s="616"/>
      <c r="R318" s="646"/>
      <c r="S318" s="570"/>
    </row>
    <row r="319" spans="1:27" s="677" customFormat="1">
      <c r="A319" s="585" t="s">
        <v>331</v>
      </c>
      <c r="B319" s="570"/>
      <c r="C319" s="571">
        <v>564</v>
      </c>
      <c r="D319" s="678"/>
      <c r="E319" s="587">
        <v>9.09</v>
      </c>
      <c r="F319" s="646"/>
      <c r="G319" s="681">
        <v>5127</v>
      </c>
      <c r="H319" s="678"/>
      <c r="I319" s="616">
        <v>1.01E-2</v>
      </c>
      <c r="J319" s="592"/>
      <c r="K319" s="589">
        <v>51.782699999999998</v>
      </c>
      <c r="L319" s="572"/>
      <c r="M319" s="616">
        <v>3.5000000000000001E-3</v>
      </c>
      <c r="N319" s="592"/>
      <c r="O319" s="589">
        <v>11.963000000000001</v>
      </c>
      <c r="P319" s="572"/>
      <c r="Q319" s="616">
        <v>-5.7000000000000002E-3</v>
      </c>
      <c r="R319" s="592"/>
      <c r="S319" s="589">
        <v>-29.2239</v>
      </c>
      <c r="Y319" s="593">
        <v>1.01E-2</v>
      </c>
      <c r="Z319" s="593">
        <v>3.5000000000000001E-3</v>
      </c>
      <c r="AA319" s="593">
        <v>-5.7000000000000002E-3</v>
      </c>
    </row>
    <row r="320" spans="1:27" s="677" customFormat="1">
      <c r="A320" s="585" t="s">
        <v>310</v>
      </c>
      <c r="B320" s="570"/>
      <c r="C320" s="571">
        <v>680</v>
      </c>
      <c r="D320" s="678"/>
      <c r="E320" s="587">
        <v>13.43</v>
      </c>
      <c r="F320" s="646"/>
      <c r="G320" s="681">
        <v>9132</v>
      </c>
      <c r="H320" s="678"/>
      <c r="I320" s="616">
        <v>1.01E-2</v>
      </c>
      <c r="J320" s="592"/>
      <c r="K320" s="589">
        <v>92.233199999999997</v>
      </c>
      <c r="L320" s="572"/>
      <c r="M320" s="616">
        <v>3.5000000000000001E-3</v>
      </c>
      <c r="N320" s="592"/>
      <c r="O320" s="589">
        <v>21.308</v>
      </c>
      <c r="P320" s="572"/>
      <c r="Q320" s="616">
        <v>-5.7000000000000002E-3</v>
      </c>
      <c r="R320" s="592"/>
      <c r="S320" s="589">
        <v>-52.052399999999999</v>
      </c>
      <c r="Y320" s="593">
        <v>1.01E-2</v>
      </c>
      <c r="Z320" s="593">
        <v>3.5000000000000001E-3</v>
      </c>
      <c r="AA320" s="593">
        <v>-5.7000000000000002E-3</v>
      </c>
    </row>
    <row r="321" spans="1:27" s="677" customFormat="1">
      <c r="A321" s="585" t="s">
        <v>332</v>
      </c>
      <c r="B321" s="570"/>
      <c r="C321" s="571">
        <v>68</v>
      </c>
      <c r="D321" s="678"/>
      <c r="E321" s="587">
        <v>11.42</v>
      </c>
      <c r="F321" s="646"/>
      <c r="G321" s="681">
        <v>777</v>
      </c>
      <c r="H321" s="678"/>
      <c r="I321" s="616">
        <v>1.01E-2</v>
      </c>
      <c r="J321" s="592"/>
      <c r="K321" s="589">
        <v>7.8476999999999997</v>
      </c>
      <c r="L321" s="572"/>
      <c r="M321" s="616">
        <v>3.5000000000000001E-3</v>
      </c>
      <c r="N321" s="592"/>
      <c r="O321" s="589">
        <v>1.8129999999999999</v>
      </c>
      <c r="P321" s="572"/>
      <c r="Q321" s="616">
        <v>-5.7000000000000002E-3</v>
      </c>
      <c r="R321" s="592"/>
      <c r="S321" s="589">
        <v>-4.4289000000000005</v>
      </c>
      <c r="Y321" s="593">
        <v>1.01E-2</v>
      </c>
      <c r="Z321" s="593">
        <v>3.5000000000000001E-3</v>
      </c>
      <c r="AA321" s="593">
        <v>-5.7000000000000011E-3</v>
      </c>
    </row>
    <row r="322" spans="1:27" s="677" customFormat="1">
      <c r="A322" s="585" t="s">
        <v>333</v>
      </c>
      <c r="B322" s="570"/>
      <c r="C322" s="571">
        <v>5922</v>
      </c>
      <c r="D322" s="678"/>
      <c r="E322" s="587">
        <v>10.97</v>
      </c>
      <c r="F322" s="646"/>
      <c r="G322" s="681">
        <v>64964</v>
      </c>
      <c r="H322" s="678"/>
      <c r="I322" s="616">
        <v>1.01E-2</v>
      </c>
      <c r="J322" s="592"/>
      <c r="K322" s="589">
        <v>656.13639999999998</v>
      </c>
      <c r="L322" s="572"/>
      <c r="M322" s="616">
        <v>3.5000000000000001E-3</v>
      </c>
      <c r="N322" s="592"/>
      <c r="O322" s="589">
        <v>151.58266666666665</v>
      </c>
      <c r="P322" s="572"/>
      <c r="Q322" s="616">
        <v>-5.7000000000000002E-3</v>
      </c>
      <c r="R322" s="592"/>
      <c r="S322" s="589">
        <v>-370.29480000000001</v>
      </c>
      <c r="Y322" s="593">
        <v>1.01E-2</v>
      </c>
      <c r="Z322" s="593">
        <v>3.4999999999999996E-3</v>
      </c>
      <c r="AA322" s="593">
        <v>-5.7000000000000002E-3</v>
      </c>
    </row>
    <row r="323" spans="1:27" s="677" customFormat="1">
      <c r="A323" s="585" t="s">
        <v>311</v>
      </c>
      <c r="B323" s="570"/>
      <c r="C323" s="571">
        <v>2516</v>
      </c>
      <c r="D323" s="678"/>
      <c r="E323" s="587">
        <v>13.57</v>
      </c>
      <c r="F323" s="646"/>
      <c r="G323" s="681">
        <v>34142</v>
      </c>
      <c r="H323" s="678"/>
      <c r="I323" s="616">
        <v>1.01E-2</v>
      </c>
      <c r="J323" s="592"/>
      <c r="K323" s="589">
        <v>344.83420000000001</v>
      </c>
      <c r="L323" s="572"/>
      <c r="M323" s="616">
        <v>3.5000000000000001E-3</v>
      </c>
      <c r="N323" s="592"/>
      <c r="O323" s="589">
        <v>79.664666666666662</v>
      </c>
      <c r="P323" s="572"/>
      <c r="Q323" s="616">
        <v>-5.7000000000000002E-3</v>
      </c>
      <c r="R323" s="592"/>
      <c r="S323" s="589">
        <v>-194.60939999999999</v>
      </c>
      <c r="Y323" s="593">
        <v>1.01E-2</v>
      </c>
      <c r="Z323" s="593">
        <v>3.5000000000000001E-3</v>
      </c>
      <c r="AA323" s="593">
        <v>-5.7000000000000002E-3</v>
      </c>
    </row>
    <row r="324" spans="1:27" s="677" customFormat="1">
      <c r="A324" s="585" t="s">
        <v>334</v>
      </c>
      <c r="B324" s="570"/>
      <c r="C324" s="571">
        <v>4994</v>
      </c>
      <c r="D324" s="678"/>
      <c r="E324" s="587">
        <v>13.98</v>
      </c>
      <c r="F324" s="646"/>
      <c r="G324" s="681">
        <v>69816</v>
      </c>
      <c r="H324" s="678"/>
      <c r="I324" s="616">
        <v>1.01E-2</v>
      </c>
      <c r="J324" s="592"/>
      <c r="K324" s="589">
        <v>705.14159999999993</v>
      </c>
      <c r="L324" s="572"/>
      <c r="M324" s="616">
        <v>3.5000000000000001E-3</v>
      </c>
      <c r="N324" s="592"/>
      <c r="O324" s="589">
        <v>162.904</v>
      </c>
      <c r="P324" s="572"/>
      <c r="Q324" s="616">
        <v>-5.7000000000000002E-3</v>
      </c>
      <c r="R324" s="592"/>
      <c r="S324" s="589">
        <v>-397.95120000000003</v>
      </c>
      <c r="Y324" s="593">
        <v>1.01E-2</v>
      </c>
      <c r="Z324" s="593">
        <v>3.5000000000000001E-3</v>
      </c>
      <c r="AA324" s="593">
        <v>-5.7000000000000002E-3</v>
      </c>
    </row>
    <row r="325" spans="1:27" s="677" customFormat="1">
      <c r="A325" s="585" t="s">
        <v>312</v>
      </c>
      <c r="B325" s="570"/>
      <c r="C325" s="571">
        <v>1686</v>
      </c>
      <c r="D325" s="678"/>
      <c r="E325" s="587">
        <v>14.43</v>
      </c>
      <c r="F325" s="646"/>
      <c r="G325" s="681">
        <v>24329</v>
      </c>
      <c r="H325" s="678"/>
      <c r="I325" s="616">
        <v>1.01E-2</v>
      </c>
      <c r="J325" s="592"/>
      <c r="K325" s="589">
        <v>245.72289999999998</v>
      </c>
      <c r="L325" s="572"/>
      <c r="M325" s="616">
        <v>3.5000000000000001E-3</v>
      </c>
      <c r="N325" s="592"/>
      <c r="O325" s="589">
        <v>56.767666666666663</v>
      </c>
      <c r="P325" s="572"/>
      <c r="Q325" s="616">
        <v>-5.7000000000000002E-3</v>
      </c>
      <c r="R325" s="592"/>
      <c r="S325" s="589">
        <v>-138.67529999999999</v>
      </c>
      <c r="Y325" s="593">
        <v>1.01E-2</v>
      </c>
      <c r="Z325" s="593">
        <v>3.4999999999999996E-3</v>
      </c>
      <c r="AA325" s="593">
        <v>-5.6999999999999993E-3</v>
      </c>
    </row>
    <row r="326" spans="1:27" s="677" customFormat="1">
      <c r="A326" s="585" t="s">
        <v>335</v>
      </c>
      <c r="B326" s="570"/>
      <c r="C326" s="615">
        <v>390</v>
      </c>
      <c r="D326" s="678"/>
      <c r="E326" s="646">
        <v>15.62</v>
      </c>
      <c r="F326" s="646"/>
      <c r="G326" s="681">
        <v>6092</v>
      </c>
      <c r="H326" s="678"/>
      <c r="I326" s="616">
        <v>1.01E-2</v>
      </c>
      <c r="J326" s="592"/>
      <c r="K326" s="589">
        <v>61.529199999999996</v>
      </c>
      <c r="L326" s="572"/>
      <c r="M326" s="616">
        <v>3.5000000000000001E-3</v>
      </c>
      <c r="N326" s="592"/>
      <c r="O326" s="589">
        <v>14.214666666666666</v>
      </c>
      <c r="P326" s="572"/>
      <c r="Q326" s="616">
        <v>-5.7000000000000002E-3</v>
      </c>
      <c r="R326" s="592"/>
      <c r="S326" s="589">
        <v>-34.724400000000003</v>
      </c>
      <c r="Y326" s="593">
        <v>1.01E-2</v>
      </c>
      <c r="Z326" s="593">
        <v>3.4999999999999996E-3</v>
      </c>
      <c r="AA326" s="593">
        <v>-5.7000000000000002E-3</v>
      </c>
    </row>
    <row r="327" spans="1:27" s="677" customFormat="1">
      <c r="A327" s="648" t="s">
        <v>336</v>
      </c>
      <c r="B327" s="570"/>
      <c r="C327" s="571"/>
      <c r="D327" s="678"/>
      <c r="E327" s="587"/>
      <c r="F327" s="646"/>
      <c r="G327" s="681"/>
      <c r="H327" s="678"/>
      <c r="I327" s="616"/>
      <c r="J327" s="646"/>
      <c r="K327" s="681"/>
      <c r="L327" s="678"/>
      <c r="M327" s="616"/>
      <c r="N327" s="646"/>
      <c r="O327" s="681"/>
      <c r="P327" s="678"/>
      <c r="Q327" s="616"/>
      <c r="R327" s="646"/>
      <c r="S327" s="681"/>
    </row>
    <row r="328" spans="1:27" s="677" customFormat="1">
      <c r="A328" s="585" t="s">
        <v>337</v>
      </c>
      <c r="B328" s="570"/>
      <c r="C328" s="571">
        <v>198</v>
      </c>
      <c r="D328" s="678"/>
      <c r="E328" s="587">
        <v>3.71</v>
      </c>
      <c r="F328" s="646"/>
      <c r="G328" s="681">
        <v>735</v>
      </c>
      <c r="H328" s="678"/>
      <c r="I328" s="616">
        <v>1.01E-2</v>
      </c>
      <c r="J328" s="592"/>
      <c r="K328" s="589">
        <v>7.4234999999999998</v>
      </c>
      <c r="L328" s="572"/>
      <c r="M328" s="616">
        <v>3.5000000000000001E-3</v>
      </c>
      <c r="N328" s="592"/>
      <c r="O328" s="589">
        <v>1.7150000000000001</v>
      </c>
      <c r="P328" s="572"/>
      <c r="Q328" s="616">
        <v>-5.7000000000000002E-3</v>
      </c>
      <c r="R328" s="592"/>
      <c r="S328" s="589">
        <v>-4.1894999999999998</v>
      </c>
      <c r="Y328" s="593">
        <v>1.01E-2</v>
      </c>
      <c r="Z328" s="593">
        <v>3.5000000000000001E-3</v>
      </c>
      <c r="AA328" s="593">
        <v>-5.6999999999999993E-3</v>
      </c>
    </row>
    <row r="329" spans="1:27" s="677" customFormat="1">
      <c r="A329" s="585" t="s">
        <v>338</v>
      </c>
      <c r="B329" s="570"/>
      <c r="C329" s="571">
        <v>88</v>
      </c>
      <c r="D329" s="678"/>
      <c r="E329" s="587">
        <v>13.77</v>
      </c>
      <c r="F329" s="646"/>
      <c r="G329" s="681">
        <v>1212</v>
      </c>
      <c r="H329" s="678"/>
      <c r="I329" s="616">
        <v>1.01E-2</v>
      </c>
      <c r="J329" s="592"/>
      <c r="K329" s="589">
        <v>12.241199999999999</v>
      </c>
      <c r="L329" s="572"/>
      <c r="M329" s="616">
        <v>3.5000000000000001E-3</v>
      </c>
      <c r="N329" s="592"/>
      <c r="O329" s="589">
        <v>2.8279999999999998</v>
      </c>
      <c r="P329" s="572"/>
      <c r="Q329" s="616">
        <v>-5.7000000000000002E-3</v>
      </c>
      <c r="R329" s="592"/>
      <c r="S329" s="589">
        <v>-6.9084000000000003</v>
      </c>
      <c r="Y329" s="593">
        <v>1.01E-2</v>
      </c>
      <c r="Z329" s="593">
        <v>3.4999999999999996E-3</v>
      </c>
      <c r="AA329" s="593">
        <v>-5.7000000000000002E-3</v>
      </c>
    </row>
    <row r="330" spans="1:27" s="677" customFormat="1">
      <c r="A330" s="648" t="s">
        <v>314</v>
      </c>
      <c r="B330" s="570"/>
      <c r="C330" s="615">
        <v>7180283</v>
      </c>
      <c r="D330" s="678"/>
      <c r="E330" s="587"/>
      <c r="F330" s="688"/>
      <c r="G330" s="679">
        <v>898248</v>
      </c>
      <c r="H330" s="678"/>
      <c r="I330" s="616"/>
      <c r="J330" s="588"/>
      <c r="K330" s="589"/>
      <c r="L330" s="572"/>
      <c r="M330" s="616"/>
      <c r="N330" s="588"/>
      <c r="O330" s="589"/>
      <c r="P330" s="678"/>
      <c r="Q330" s="616"/>
      <c r="R330" s="588"/>
      <c r="S330" s="589"/>
    </row>
    <row r="331" spans="1:27" s="677" customFormat="1" ht="14.25" customHeight="1">
      <c r="A331" s="689" t="s">
        <v>339</v>
      </c>
      <c r="B331" s="570"/>
      <c r="C331" s="571"/>
      <c r="D331" s="678"/>
      <c r="E331" s="587"/>
      <c r="F331" s="646"/>
      <c r="G331" s="570"/>
      <c r="H331" s="678"/>
      <c r="I331" s="616"/>
      <c r="J331" s="646"/>
      <c r="K331" s="570"/>
      <c r="L331" s="678"/>
      <c r="M331" s="616"/>
      <c r="N331" s="646"/>
      <c r="O331" s="570"/>
      <c r="P331" s="678"/>
      <c r="Q331" s="616"/>
      <c r="R331" s="646"/>
      <c r="S331" s="570"/>
    </row>
    <row r="332" spans="1:27" s="677" customFormat="1">
      <c r="A332" s="648" t="s">
        <v>316</v>
      </c>
      <c r="B332" s="570"/>
      <c r="C332" s="571"/>
      <c r="D332" s="678"/>
      <c r="E332" s="587"/>
      <c r="F332" s="646"/>
      <c r="G332" s="681"/>
      <c r="H332" s="678"/>
      <c r="I332" s="616"/>
      <c r="J332" s="646"/>
      <c r="K332" s="681"/>
      <c r="L332" s="678"/>
      <c r="M332" s="616"/>
      <c r="N332" s="646"/>
      <c r="O332" s="681"/>
      <c r="P332" s="678"/>
      <c r="Q332" s="616"/>
      <c r="R332" s="646"/>
      <c r="S332" s="681"/>
    </row>
    <row r="333" spans="1:27" s="677" customFormat="1">
      <c r="A333" s="585" t="s">
        <v>294</v>
      </c>
      <c r="B333" s="570"/>
      <c r="C333" s="571">
        <v>86</v>
      </c>
      <c r="D333" s="678"/>
      <c r="E333" s="587">
        <v>17.54</v>
      </c>
      <c r="F333" s="646"/>
      <c r="G333" s="681">
        <v>1508</v>
      </c>
      <c r="H333" s="678"/>
      <c r="I333" s="616">
        <v>1.01E-2</v>
      </c>
      <c r="J333" s="592"/>
      <c r="K333" s="589">
        <v>15.230799999999999</v>
      </c>
      <c r="L333" s="572"/>
      <c r="M333" s="616">
        <v>3.5000000000000001E-3</v>
      </c>
      <c r="N333" s="592"/>
      <c r="O333" s="589">
        <v>3.5186666666666668</v>
      </c>
      <c r="P333" s="572"/>
      <c r="Q333" s="616">
        <v>-5.7000000000000002E-3</v>
      </c>
      <c r="R333" s="592"/>
      <c r="S333" s="589">
        <v>-8.595600000000001</v>
      </c>
      <c r="Y333" s="593">
        <v>1.01E-2</v>
      </c>
      <c r="Z333" s="593">
        <v>3.5000000000000001E-3</v>
      </c>
      <c r="AA333" s="593">
        <v>-5.7000000000000011E-3</v>
      </c>
    </row>
    <row r="334" spans="1:27" s="677" customFormat="1">
      <c r="A334" s="585" t="s">
        <v>288</v>
      </c>
      <c r="B334" s="570"/>
      <c r="C334" s="571">
        <v>13</v>
      </c>
      <c r="D334" s="678"/>
      <c r="E334" s="587">
        <v>23.16</v>
      </c>
      <c r="F334" s="646"/>
      <c r="G334" s="681">
        <v>301</v>
      </c>
      <c r="H334" s="678"/>
      <c r="I334" s="616">
        <v>1.01E-2</v>
      </c>
      <c r="J334" s="592"/>
      <c r="K334" s="589">
        <v>3.0400999999999998</v>
      </c>
      <c r="L334" s="572"/>
      <c r="M334" s="616">
        <v>3.5000000000000001E-3</v>
      </c>
      <c r="N334" s="592"/>
      <c r="O334" s="589">
        <v>0.70233333333333337</v>
      </c>
      <c r="P334" s="572"/>
      <c r="Q334" s="616">
        <v>-5.7000000000000002E-3</v>
      </c>
      <c r="R334" s="592"/>
      <c r="S334" s="589">
        <v>-1.7157</v>
      </c>
      <c r="Y334" s="593">
        <v>1.01E-2</v>
      </c>
      <c r="Z334" s="593">
        <v>3.5000000000000005E-3</v>
      </c>
      <c r="AA334" s="593">
        <v>-5.7000000000000002E-3</v>
      </c>
    </row>
    <row r="335" spans="1:27" s="677" customFormat="1">
      <c r="A335" s="648" t="s">
        <v>319</v>
      </c>
      <c r="B335" s="570"/>
      <c r="C335" s="571"/>
      <c r="D335" s="678"/>
      <c r="E335" s="570"/>
      <c r="F335" s="678"/>
      <c r="G335" s="570"/>
      <c r="H335" s="678"/>
      <c r="I335" s="640"/>
      <c r="J335" s="678"/>
      <c r="K335" s="570"/>
      <c r="L335" s="678"/>
      <c r="M335" s="640"/>
      <c r="N335" s="678"/>
      <c r="O335" s="570"/>
      <c r="P335" s="678"/>
      <c r="Q335" s="640"/>
      <c r="R335" s="678"/>
      <c r="S335" s="570"/>
    </row>
    <row r="336" spans="1:27" s="677" customFormat="1">
      <c r="A336" s="585" t="s">
        <v>189</v>
      </c>
      <c r="B336" s="570"/>
      <c r="C336" s="571">
        <v>88</v>
      </c>
      <c r="D336" s="678"/>
      <c r="E336" s="587">
        <v>7.95</v>
      </c>
      <c r="F336" s="646"/>
      <c r="G336" s="681">
        <v>700</v>
      </c>
      <c r="H336" s="678"/>
      <c r="I336" s="616">
        <v>1.01E-2</v>
      </c>
      <c r="J336" s="592"/>
      <c r="K336" s="589">
        <v>7.0699999999999994</v>
      </c>
      <c r="L336" s="572"/>
      <c r="M336" s="616">
        <v>3.5000000000000001E-3</v>
      </c>
      <c r="N336" s="592"/>
      <c r="O336" s="589">
        <v>1.6333333333333335</v>
      </c>
      <c r="P336" s="572"/>
      <c r="Q336" s="616">
        <v>-5.7000000000000002E-3</v>
      </c>
      <c r="R336" s="592"/>
      <c r="S336" s="589">
        <v>-3.99</v>
      </c>
      <c r="Y336" s="593">
        <v>1.01E-2</v>
      </c>
      <c r="Z336" s="593">
        <v>3.5000000000000001E-3</v>
      </c>
      <c r="AA336" s="593">
        <v>-5.7000000000000002E-3</v>
      </c>
    </row>
    <row r="337" spans="1:27" s="677" customFormat="1">
      <c r="A337" s="585" t="s">
        <v>191</v>
      </c>
      <c r="B337" s="570"/>
      <c r="C337" s="571">
        <v>47</v>
      </c>
      <c r="D337" s="678"/>
      <c r="E337" s="587">
        <v>15.14</v>
      </c>
      <c r="F337" s="646"/>
      <c r="G337" s="681">
        <v>712</v>
      </c>
      <c r="H337" s="678"/>
      <c r="I337" s="616">
        <v>1.01E-2</v>
      </c>
      <c r="J337" s="592"/>
      <c r="K337" s="589">
        <v>7.1911999999999994</v>
      </c>
      <c r="L337" s="572"/>
      <c r="M337" s="616">
        <v>3.5000000000000001E-3</v>
      </c>
      <c r="N337" s="592"/>
      <c r="O337" s="589">
        <v>1.6613333333333333</v>
      </c>
      <c r="P337" s="572"/>
      <c r="Q337" s="616">
        <v>-5.7000000000000002E-3</v>
      </c>
      <c r="R337" s="592"/>
      <c r="S337" s="589">
        <v>-4.0583999999999998</v>
      </c>
      <c r="Y337" s="593">
        <v>1.01E-2</v>
      </c>
      <c r="Z337" s="593">
        <v>3.4999999999999996E-3</v>
      </c>
      <c r="AA337" s="593">
        <v>-5.6999999999999993E-3</v>
      </c>
    </row>
    <row r="338" spans="1:27" s="677" customFormat="1">
      <c r="A338" s="585" t="s">
        <v>320</v>
      </c>
      <c r="B338" s="570"/>
      <c r="C338" s="571">
        <v>100</v>
      </c>
      <c r="D338" s="678"/>
      <c r="E338" s="646">
        <v>32.14</v>
      </c>
      <c r="F338" s="646"/>
      <c r="G338" s="681">
        <v>3214</v>
      </c>
      <c r="H338" s="678"/>
      <c r="I338" s="616">
        <v>1.01E-2</v>
      </c>
      <c r="J338" s="592"/>
      <c r="K338" s="589">
        <v>32.461399999999998</v>
      </c>
      <c r="L338" s="572"/>
      <c r="M338" s="616">
        <v>3.5000000000000001E-3</v>
      </c>
      <c r="N338" s="592"/>
      <c r="O338" s="589">
        <v>7.4993333333333334</v>
      </c>
      <c r="P338" s="572"/>
      <c r="Q338" s="616">
        <v>-5.7000000000000002E-3</v>
      </c>
      <c r="R338" s="592"/>
      <c r="S338" s="589">
        <v>-18.319800000000001</v>
      </c>
      <c r="Y338" s="593">
        <v>1.01E-2</v>
      </c>
      <c r="Z338" s="593">
        <v>3.5000000000000001E-3</v>
      </c>
      <c r="AA338" s="593">
        <v>-5.7000000000000002E-3</v>
      </c>
    </row>
    <row r="339" spans="1:27" s="677" customFormat="1">
      <c r="A339" s="648" t="s">
        <v>258</v>
      </c>
      <c r="B339" s="570"/>
      <c r="C339" s="571"/>
      <c r="D339" s="678"/>
      <c r="E339" s="666"/>
      <c r="F339" s="673"/>
      <c r="G339" s="681"/>
      <c r="H339" s="678"/>
      <c r="I339" s="605"/>
      <c r="J339" s="673"/>
      <c r="K339" s="681"/>
      <c r="L339" s="678"/>
      <c r="M339" s="605"/>
      <c r="N339" s="673"/>
      <c r="O339" s="681"/>
      <c r="P339" s="678"/>
      <c r="Q339" s="605"/>
      <c r="R339" s="673"/>
      <c r="S339" s="681"/>
    </row>
    <row r="340" spans="1:27" s="677" customFormat="1">
      <c r="A340" s="585" t="s">
        <v>304</v>
      </c>
      <c r="B340" s="570"/>
      <c r="C340" s="571">
        <v>23027</v>
      </c>
      <c r="D340" s="678"/>
      <c r="E340" s="587">
        <v>4.63</v>
      </c>
      <c r="F340" s="646"/>
      <c r="G340" s="681">
        <v>106615</v>
      </c>
      <c r="H340" s="678"/>
      <c r="I340" s="616">
        <v>1.01E-2</v>
      </c>
      <c r="J340" s="592"/>
      <c r="K340" s="589">
        <v>1076.8115</v>
      </c>
      <c r="L340" s="572"/>
      <c r="M340" s="616">
        <v>3.5000000000000001E-3</v>
      </c>
      <c r="N340" s="592"/>
      <c r="O340" s="589">
        <v>248.76833333333335</v>
      </c>
      <c r="P340" s="572"/>
      <c r="Q340" s="616">
        <v>-5.7000000000000002E-3</v>
      </c>
      <c r="R340" s="592"/>
      <c r="S340" s="589">
        <v>-607.70550000000003</v>
      </c>
      <c r="Y340" s="593">
        <v>1.01E-2</v>
      </c>
      <c r="Z340" s="593">
        <v>3.5000000000000001E-3</v>
      </c>
      <c r="AA340" s="593">
        <v>-5.7000000000000002E-3</v>
      </c>
    </row>
    <row r="341" spans="1:27" s="677" customFormat="1">
      <c r="A341" s="585" t="s">
        <v>305</v>
      </c>
      <c r="B341" s="570"/>
      <c r="C341" s="571">
        <v>28346</v>
      </c>
      <c r="D341" s="678"/>
      <c r="E341" s="587">
        <v>6.1</v>
      </c>
      <c r="F341" s="646"/>
      <c r="G341" s="681">
        <v>172911</v>
      </c>
      <c r="H341" s="678"/>
      <c r="I341" s="616">
        <v>1.01E-2</v>
      </c>
      <c r="J341" s="592"/>
      <c r="K341" s="589">
        <v>1746.4011</v>
      </c>
      <c r="L341" s="572"/>
      <c r="M341" s="616">
        <v>3.5000000000000001E-3</v>
      </c>
      <c r="N341" s="592"/>
      <c r="O341" s="589">
        <v>403.459</v>
      </c>
      <c r="P341" s="572"/>
      <c r="Q341" s="616">
        <v>-5.7000000000000002E-3</v>
      </c>
      <c r="R341" s="592"/>
      <c r="S341" s="589">
        <v>-985.59270000000004</v>
      </c>
      <c r="Y341" s="593">
        <v>1.01E-2</v>
      </c>
      <c r="Z341" s="593">
        <v>3.5000000000000001E-3</v>
      </c>
      <c r="AA341" s="593">
        <v>-5.7000000000000002E-3</v>
      </c>
    </row>
    <row r="342" spans="1:27" s="677" customFormat="1">
      <c r="A342" s="585" t="s">
        <v>340</v>
      </c>
      <c r="B342" s="570"/>
      <c r="C342" s="571">
        <v>83</v>
      </c>
      <c r="D342" s="678"/>
      <c r="E342" s="587">
        <v>5.49</v>
      </c>
      <c r="F342" s="646"/>
      <c r="G342" s="681">
        <v>456</v>
      </c>
      <c r="H342" s="678"/>
      <c r="I342" s="616">
        <v>1.01E-2</v>
      </c>
      <c r="J342" s="592"/>
      <c r="K342" s="589">
        <v>4.6055999999999999</v>
      </c>
      <c r="L342" s="572"/>
      <c r="M342" s="616">
        <v>3.5000000000000001E-3</v>
      </c>
      <c r="N342" s="592"/>
      <c r="O342" s="589">
        <v>1.0640000000000001</v>
      </c>
      <c r="P342" s="572"/>
      <c r="Q342" s="616">
        <v>-5.7000000000000002E-3</v>
      </c>
      <c r="R342" s="592"/>
      <c r="S342" s="589">
        <v>-2.5992000000000002</v>
      </c>
      <c r="Y342" s="593">
        <v>1.01E-2</v>
      </c>
      <c r="Z342" s="593">
        <v>3.5000000000000001E-3</v>
      </c>
      <c r="AA342" s="593">
        <v>-5.7000000000000002E-3</v>
      </c>
    </row>
    <row r="343" spans="1:27" s="677" customFormat="1">
      <c r="A343" s="585" t="s">
        <v>306</v>
      </c>
      <c r="B343" s="570"/>
      <c r="C343" s="571">
        <v>5713</v>
      </c>
      <c r="D343" s="678"/>
      <c r="E343" s="587">
        <v>7.39</v>
      </c>
      <c r="F343" s="646"/>
      <c r="G343" s="681">
        <v>42219</v>
      </c>
      <c r="H343" s="678"/>
      <c r="I343" s="616">
        <v>1.01E-2</v>
      </c>
      <c r="J343" s="592"/>
      <c r="K343" s="589">
        <v>426.4119</v>
      </c>
      <c r="L343" s="572"/>
      <c r="M343" s="616">
        <v>3.5000000000000001E-3</v>
      </c>
      <c r="N343" s="592"/>
      <c r="O343" s="589">
        <v>98.51100000000001</v>
      </c>
      <c r="P343" s="572"/>
      <c r="Q343" s="616">
        <v>-5.7000000000000002E-3</v>
      </c>
      <c r="R343" s="592"/>
      <c r="S343" s="589">
        <v>-240.64830000000001</v>
      </c>
      <c r="Y343" s="593">
        <v>1.01E-2</v>
      </c>
      <c r="Z343" s="593">
        <v>3.5000000000000005E-3</v>
      </c>
      <c r="AA343" s="593">
        <v>-5.7000000000000002E-3</v>
      </c>
    </row>
    <row r="344" spans="1:27" s="677" customFormat="1">
      <c r="A344" s="585" t="s">
        <v>341</v>
      </c>
      <c r="B344" s="570"/>
      <c r="C344" s="571">
        <v>312</v>
      </c>
      <c r="D344" s="678"/>
      <c r="E344" s="587">
        <v>6.65</v>
      </c>
      <c r="F344" s="646"/>
      <c r="G344" s="681">
        <v>2075</v>
      </c>
      <c r="H344" s="678"/>
      <c r="I344" s="616">
        <v>1.01E-2</v>
      </c>
      <c r="J344" s="592"/>
      <c r="K344" s="589">
        <v>20.9575</v>
      </c>
      <c r="L344" s="572"/>
      <c r="M344" s="616">
        <v>3.5000000000000001E-3</v>
      </c>
      <c r="N344" s="592"/>
      <c r="O344" s="589">
        <v>4.8416666666666668</v>
      </c>
      <c r="P344" s="572"/>
      <c r="Q344" s="616">
        <v>-5.7000000000000002E-3</v>
      </c>
      <c r="R344" s="592"/>
      <c r="S344" s="589">
        <v>-11.827500000000001</v>
      </c>
      <c r="Y344" s="593">
        <v>1.01E-2</v>
      </c>
      <c r="Z344" s="593">
        <v>3.5000000000000001E-3</v>
      </c>
      <c r="AA344" s="593">
        <v>-5.7000000000000002E-3</v>
      </c>
    </row>
    <row r="345" spans="1:27" s="677" customFormat="1">
      <c r="A345" s="585" t="s">
        <v>199</v>
      </c>
      <c r="B345" s="570"/>
      <c r="C345" s="571">
        <v>77</v>
      </c>
      <c r="D345" s="678"/>
      <c r="E345" s="587">
        <v>9.34</v>
      </c>
      <c r="F345" s="646"/>
      <c r="G345" s="681">
        <v>719</v>
      </c>
      <c r="H345" s="678"/>
      <c r="I345" s="616">
        <v>1.01E-2</v>
      </c>
      <c r="J345" s="592"/>
      <c r="K345" s="589">
        <v>7.2618999999999998</v>
      </c>
      <c r="L345" s="572"/>
      <c r="M345" s="616">
        <v>3.5000000000000001E-3</v>
      </c>
      <c r="N345" s="592"/>
      <c r="O345" s="589">
        <v>1.6776666666666669</v>
      </c>
      <c r="P345" s="572"/>
      <c r="Q345" s="616">
        <v>-5.7000000000000002E-3</v>
      </c>
      <c r="R345" s="592"/>
      <c r="S345" s="589">
        <v>-4.0983000000000001</v>
      </c>
      <c r="Y345" s="593">
        <v>1.01E-2</v>
      </c>
      <c r="Z345" s="593">
        <v>3.5000000000000005E-3</v>
      </c>
      <c r="AA345" s="593">
        <v>-5.7000000000000002E-3</v>
      </c>
    </row>
    <row r="346" spans="1:27" s="677" customFormat="1">
      <c r="A346" s="585" t="s">
        <v>307</v>
      </c>
      <c r="B346" s="570"/>
      <c r="C346" s="571">
        <v>4254</v>
      </c>
      <c r="D346" s="678"/>
      <c r="E346" s="587">
        <v>10.88</v>
      </c>
      <c r="F346" s="646"/>
      <c r="G346" s="681">
        <v>46284</v>
      </c>
      <c r="H346" s="678"/>
      <c r="I346" s="616">
        <v>1.01E-2</v>
      </c>
      <c r="J346" s="592"/>
      <c r="K346" s="589">
        <v>467.46839999999997</v>
      </c>
      <c r="L346" s="572"/>
      <c r="M346" s="616">
        <v>3.5000000000000001E-3</v>
      </c>
      <c r="N346" s="592"/>
      <c r="O346" s="589">
        <v>107.996</v>
      </c>
      <c r="P346" s="572"/>
      <c r="Q346" s="616">
        <v>-5.7000000000000002E-3</v>
      </c>
      <c r="R346" s="592"/>
      <c r="S346" s="589">
        <v>-263.81880000000001</v>
      </c>
      <c r="Y346" s="593">
        <v>1.01E-2</v>
      </c>
      <c r="Z346" s="593">
        <v>3.4999999999999996E-3</v>
      </c>
      <c r="AA346" s="593">
        <v>-5.7000000000000002E-3</v>
      </c>
    </row>
    <row r="347" spans="1:27" s="677" customFormat="1">
      <c r="A347" s="585" t="s">
        <v>308</v>
      </c>
      <c r="B347" s="570"/>
      <c r="C347" s="571">
        <v>3774</v>
      </c>
      <c r="D347" s="678"/>
      <c r="E347" s="587">
        <v>15.85</v>
      </c>
      <c r="F347" s="646"/>
      <c r="G347" s="681">
        <v>59818</v>
      </c>
      <c r="H347" s="678"/>
      <c r="I347" s="616">
        <v>1.01E-2</v>
      </c>
      <c r="J347" s="592"/>
      <c r="K347" s="589">
        <v>604.16179999999997</v>
      </c>
      <c r="L347" s="572"/>
      <c r="M347" s="616">
        <v>3.5000000000000001E-3</v>
      </c>
      <c r="N347" s="592"/>
      <c r="O347" s="589">
        <v>139.57533333333333</v>
      </c>
      <c r="P347" s="572"/>
      <c r="Q347" s="616">
        <v>-5.7000000000000002E-3</v>
      </c>
      <c r="R347" s="592"/>
      <c r="S347" s="589">
        <v>-340.96260000000001</v>
      </c>
      <c r="Y347" s="593">
        <v>1.01E-2</v>
      </c>
      <c r="Z347" s="593">
        <v>3.5000000000000001E-3</v>
      </c>
      <c r="AA347" s="593">
        <v>-5.7000000000000002E-3</v>
      </c>
    </row>
    <row r="348" spans="1:27" s="677" customFormat="1">
      <c r="A348" s="585" t="s">
        <v>342</v>
      </c>
      <c r="B348" s="570"/>
      <c r="C348" s="571">
        <v>52</v>
      </c>
      <c r="D348" s="678"/>
      <c r="E348" s="646">
        <v>14.27</v>
      </c>
      <c r="F348" s="673"/>
      <c r="G348" s="681">
        <v>742</v>
      </c>
      <c r="H348" s="678"/>
      <c r="I348" s="616">
        <v>1.01E-2</v>
      </c>
      <c r="J348" s="592"/>
      <c r="K348" s="589">
        <v>7.4941999999999993</v>
      </c>
      <c r="L348" s="572"/>
      <c r="M348" s="616">
        <v>3.5000000000000001E-3</v>
      </c>
      <c r="N348" s="592"/>
      <c r="O348" s="589">
        <v>1.7313333333333334</v>
      </c>
      <c r="P348" s="572"/>
      <c r="Q348" s="616">
        <v>-5.7000000000000002E-3</v>
      </c>
      <c r="R348" s="592"/>
      <c r="S348" s="589">
        <v>-4.2294</v>
      </c>
      <c r="Y348" s="593">
        <v>1.01E-2</v>
      </c>
      <c r="Z348" s="593">
        <v>3.5000000000000001E-3</v>
      </c>
      <c r="AA348" s="593">
        <v>-5.7000000000000002E-3</v>
      </c>
    </row>
    <row r="349" spans="1:27" s="677" customFormat="1">
      <c r="A349" s="648" t="s">
        <v>274</v>
      </c>
      <c r="B349" s="570"/>
      <c r="C349" s="571"/>
      <c r="D349" s="678"/>
      <c r="E349" s="570"/>
      <c r="F349" s="678"/>
      <c r="G349" s="570"/>
      <c r="H349" s="678"/>
      <c r="I349" s="640"/>
      <c r="J349" s="678"/>
      <c r="K349" s="570"/>
      <c r="L349" s="678"/>
      <c r="M349" s="640"/>
      <c r="N349" s="678"/>
      <c r="O349" s="570"/>
      <c r="P349" s="678"/>
      <c r="Q349" s="640"/>
      <c r="R349" s="678"/>
      <c r="S349" s="570"/>
    </row>
    <row r="350" spans="1:27" s="677" customFormat="1">
      <c r="A350" s="585" t="s">
        <v>310</v>
      </c>
      <c r="B350" s="570"/>
      <c r="C350" s="571">
        <v>2062</v>
      </c>
      <c r="D350" s="678"/>
      <c r="E350" s="587">
        <v>15.42</v>
      </c>
      <c r="F350" s="646"/>
      <c r="G350" s="681">
        <v>31796</v>
      </c>
      <c r="H350" s="678"/>
      <c r="I350" s="616">
        <v>1.01E-2</v>
      </c>
      <c r="J350" s="592"/>
      <c r="K350" s="589">
        <v>321.13959999999997</v>
      </c>
      <c r="L350" s="572"/>
      <c r="M350" s="616">
        <v>3.5000000000000001E-3</v>
      </c>
      <c r="N350" s="592"/>
      <c r="O350" s="589">
        <v>74.190666666666672</v>
      </c>
      <c r="P350" s="572"/>
      <c r="Q350" s="616">
        <v>-5.7000000000000002E-3</v>
      </c>
      <c r="R350" s="592"/>
      <c r="S350" s="589">
        <v>-181.2372</v>
      </c>
      <c r="Y350" s="593">
        <v>1.01E-2</v>
      </c>
      <c r="Z350" s="593">
        <v>3.5000000000000005E-3</v>
      </c>
      <c r="AA350" s="593">
        <v>-5.7000000000000002E-3</v>
      </c>
    </row>
    <row r="351" spans="1:27" s="677" customFormat="1">
      <c r="A351" s="585" t="s">
        <v>311</v>
      </c>
      <c r="B351" s="570"/>
      <c r="C351" s="571">
        <v>347</v>
      </c>
      <c r="D351" s="678"/>
      <c r="E351" s="587">
        <v>15.57</v>
      </c>
      <c r="F351" s="646"/>
      <c r="G351" s="681">
        <v>5403</v>
      </c>
      <c r="H351" s="678"/>
      <c r="I351" s="616">
        <v>1.01E-2</v>
      </c>
      <c r="J351" s="592"/>
      <c r="K351" s="589">
        <v>54.570299999999996</v>
      </c>
      <c r="L351" s="572"/>
      <c r="M351" s="616">
        <v>3.5000000000000001E-3</v>
      </c>
      <c r="N351" s="592"/>
      <c r="O351" s="589">
        <v>12.606999999999999</v>
      </c>
      <c r="P351" s="572"/>
      <c r="Q351" s="616">
        <v>-5.7000000000000002E-3</v>
      </c>
      <c r="R351" s="592"/>
      <c r="S351" s="589">
        <v>-30.7971</v>
      </c>
      <c r="Y351" s="593">
        <v>1.01E-2</v>
      </c>
      <c r="Z351" s="593">
        <v>3.4999999999999996E-3</v>
      </c>
      <c r="AA351" s="593">
        <v>-5.7000000000000002E-3</v>
      </c>
    </row>
    <row r="352" spans="1:27" s="677" customFormat="1">
      <c r="A352" s="585" t="s">
        <v>312</v>
      </c>
      <c r="B352" s="570"/>
      <c r="C352" s="571">
        <v>1411</v>
      </c>
      <c r="D352" s="678"/>
      <c r="E352" s="587">
        <v>16.55</v>
      </c>
      <c r="F352" s="646"/>
      <c r="G352" s="681">
        <v>23352</v>
      </c>
      <c r="H352" s="678"/>
      <c r="I352" s="616">
        <v>1.01E-2</v>
      </c>
      <c r="J352" s="592"/>
      <c r="K352" s="589">
        <v>235.8552</v>
      </c>
      <c r="L352" s="572"/>
      <c r="M352" s="616">
        <v>3.5000000000000001E-3</v>
      </c>
      <c r="N352" s="592"/>
      <c r="O352" s="589">
        <v>54.488</v>
      </c>
      <c r="P352" s="572"/>
      <c r="Q352" s="616">
        <v>-5.7000000000000002E-3</v>
      </c>
      <c r="R352" s="592"/>
      <c r="S352" s="589">
        <v>-133.10640000000001</v>
      </c>
      <c r="Y352" s="593">
        <v>1.01E-2</v>
      </c>
      <c r="Z352" s="593">
        <v>3.5000000000000001E-3</v>
      </c>
      <c r="AA352" s="593">
        <v>-5.7000000000000002E-3</v>
      </c>
    </row>
    <row r="353" spans="1:27" s="677" customFormat="1">
      <c r="A353" s="585" t="s">
        <v>343</v>
      </c>
      <c r="B353" s="570"/>
      <c r="C353" s="571">
        <v>100</v>
      </c>
      <c r="D353" s="678"/>
      <c r="E353" s="690">
        <v>32.700000000000003</v>
      </c>
      <c r="F353" s="646"/>
      <c r="G353" s="691">
        <v>3270</v>
      </c>
      <c r="H353" s="678"/>
      <c r="I353" s="616">
        <v>1.01E-2</v>
      </c>
      <c r="J353" s="592"/>
      <c r="K353" s="669">
        <v>33.027000000000001</v>
      </c>
      <c r="L353" s="572"/>
      <c r="M353" s="616">
        <v>3.5000000000000001E-3</v>
      </c>
      <c r="N353" s="592"/>
      <c r="O353" s="669">
        <v>7.63</v>
      </c>
      <c r="P353" s="572"/>
      <c r="Q353" s="616">
        <v>-5.7000000000000002E-3</v>
      </c>
      <c r="R353" s="592"/>
      <c r="S353" s="669">
        <v>-18.638999999999999</v>
      </c>
      <c r="Y353" s="593">
        <v>1.01E-2</v>
      </c>
      <c r="Z353" s="593">
        <v>3.5000000000000001E-3</v>
      </c>
      <c r="AA353" s="593">
        <v>-5.7000000000000002E-3</v>
      </c>
    </row>
    <row r="354" spans="1:27" s="677" customFormat="1">
      <c r="A354" s="648" t="s">
        <v>314</v>
      </c>
      <c r="B354" s="570"/>
      <c r="C354" s="615">
        <v>3557171</v>
      </c>
      <c r="D354" s="678"/>
      <c r="E354" s="646"/>
      <c r="F354" s="688"/>
      <c r="G354" s="679">
        <v>502095</v>
      </c>
      <c r="H354" s="678"/>
      <c r="I354" s="692"/>
      <c r="J354" s="646"/>
      <c r="K354" s="679"/>
      <c r="L354" s="678"/>
      <c r="M354" s="692"/>
      <c r="N354" s="646"/>
      <c r="O354" s="679"/>
      <c r="P354" s="678"/>
      <c r="Q354" s="692"/>
      <c r="R354" s="646"/>
      <c r="S354" s="679"/>
    </row>
    <row r="355" spans="1:27" s="677" customFormat="1">
      <c r="A355" s="585"/>
      <c r="B355" s="570"/>
      <c r="C355" s="617"/>
      <c r="D355" s="678"/>
      <c r="E355" s="646"/>
      <c r="F355" s="646"/>
      <c r="G355" s="679"/>
      <c r="H355" s="678"/>
      <c r="I355" s="680"/>
      <c r="J355" s="646"/>
      <c r="K355" s="682"/>
      <c r="L355" s="678"/>
      <c r="M355" s="680"/>
      <c r="N355" s="646"/>
      <c r="O355" s="682"/>
      <c r="P355" s="678"/>
      <c r="Q355" s="680"/>
      <c r="R355" s="646"/>
      <c r="S355" s="682"/>
    </row>
    <row r="356" spans="1:27" s="677" customFormat="1">
      <c r="A356" s="585" t="s">
        <v>344</v>
      </c>
      <c r="B356" s="570"/>
      <c r="C356" s="685">
        <v>49832409.331382461</v>
      </c>
      <c r="D356" s="678"/>
      <c r="E356" s="671"/>
      <c r="F356" s="678"/>
      <c r="G356" s="682">
        <v>3947229</v>
      </c>
      <c r="H356" s="678"/>
      <c r="I356" s="672"/>
      <c r="J356" s="678"/>
      <c r="K356" s="682"/>
      <c r="L356" s="678"/>
      <c r="M356" s="672"/>
      <c r="N356" s="678"/>
      <c r="O356" s="682"/>
      <c r="P356" s="678"/>
      <c r="Q356" s="672"/>
      <c r="R356" s="678"/>
      <c r="S356" s="682"/>
      <c r="U356" s="593"/>
      <c r="V356" s="593"/>
      <c r="W356" s="627"/>
      <c r="X356" s="593"/>
    </row>
    <row r="357" spans="1:27" s="677" customFormat="1">
      <c r="A357" s="585" t="s">
        <v>11</v>
      </c>
      <c r="B357" s="570"/>
      <c r="C357" s="571">
        <v>759.58333333333337</v>
      </c>
      <c r="D357" s="678"/>
      <c r="E357" s="570"/>
      <c r="F357" s="678"/>
      <c r="G357" s="570"/>
      <c r="H357" s="678"/>
      <c r="I357" s="640"/>
      <c r="J357" s="678"/>
      <c r="K357" s="570"/>
      <c r="L357" s="678"/>
      <c r="M357" s="640"/>
      <c r="N357" s="678"/>
      <c r="O357" s="570"/>
      <c r="P357" s="678"/>
      <c r="Q357" s="640"/>
      <c r="R357" s="678"/>
      <c r="S357" s="570"/>
    </row>
    <row r="358" spans="1:27" s="677" customFormat="1">
      <c r="A358" s="585" t="s">
        <v>216</v>
      </c>
      <c r="B358" s="570"/>
      <c r="C358" s="685"/>
      <c r="D358" s="678"/>
      <c r="E358" s="671"/>
      <c r="F358" s="678"/>
      <c r="G358" s="682"/>
      <c r="H358" s="678"/>
      <c r="I358" s="672"/>
      <c r="J358" s="678"/>
      <c r="K358" s="682"/>
      <c r="L358" s="678"/>
      <c r="M358" s="672"/>
      <c r="N358" s="678"/>
      <c r="O358" s="682"/>
      <c r="P358" s="678"/>
      <c r="Q358" s="672"/>
      <c r="R358" s="678"/>
      <c r="S358" s="682"/>
    </row>
    <row r="359" spans="1:27" s="677" customFormat="1" ht="16.5" thickBot="1">
      <c r="A359" s="585" t="s">
        <v>300</v>
      </c>
      <c r="B359" s="570"/>
      <c r="C359" s="683">
        <v>49832409.331382461</v>
      </c>
      <c r="D359" s="678"/>
      <c r="E359" s="339"/>
      <c r="F359" s="340"/>
      <c r="G359" s="339">
        <v>3947229</v>
      </c>
      <c r="H359" s="678"/>
      <c r="I359" s="693"/>
      <c r="J359" s="340"/>
      <c r="K359" s="339">
        <v>39867.012899999994</v>
      </c>
      <c r="L359" s="678"/>
      <c r="M359" s="693"/>
      <c r="N359" s="340"/>
      <c r="O359" s="339">
        <v>9210.2010000000009</v>
      </c>
      <c r="P359" s="678"/>
      <c r="Q359" s="693"/>
      <c r="R359" s="340"/>
      <c r="S359" s="339">
        <v>-22499.205300000005</v>
      </c>
      <c r="V359" s="593">
        <v>1.0099999999999998E-2</v>
      </c>
      <c r="W359" s="593">
        <v>3.5000000000000005E-3</v>
      </c>
      <c r="X359" s="593">
        <v>-5.7000000000000011E-3</v>
      </c>
      <c r="Y359" s="593">
        <v>1.0099999999999998E-2</v>
      </c>
      <c r="Z359" s="593">
        <v>3.5000000000000005E-3</v>
      </c>
      <c r="AA359" s="593">
        <v>-5.7000000000000011E-3</v>
      </c>
    </row>
    <row r="360" spans="1:27" s="677" customFormat="1" ht="16.5" thickTop="1">
      <c r="A360" s="585"/>
      <c r="B360" s="570"/>
      <c r="C360" s="694"/>
      <c r="D360" s="678"/>
      <c r="E360" s="678"/>
      <c r="F360" s="678"/>
      <c r="G360" s="679"/>
      <c r="H360" s="678"/>
      <c r="I360" s="684"/>
      <c r="J360" s="678"/>
      <c r="K360" s="679"/>
      <c r="L360" s="678"/>
      <c r="M360" s="684"/>
      <c r="N360" s="678"/>
      <c r="O360" s="679"/>
      <c r="P360" s="678"/>
      <c r="Q360" s="684"/>
      <c r="R360" s="678"/>
      <c r="S360" s="679"/>
    </row>
    <row r="361" spans="1:27" s="677" customFormat="1">
      <c r="A361" s="689" t="s">
        <v>345</v>
      </c>
      <c r="B361" s="570"/>
      <c r="C361" s="571"/>
      <c r="D361" s="678"/>
      <c r="E361" s="570"/>
      <c r="F361" s="678"/>
      <c r="G361" s="570"/>
      <c r="H361" s="678"/>
      <c r="I361" s="640"/>
      <c r="J361" s="678"/>
      <c r="K361" s="570"/>
      <c r="L361" s="678"/>
      <c r="M361" s="640"/>
      <c r="N361" s="678"/>
      <c r="O361" s="570"/>
      <c r="P361" s="678"/>
      <c r="Q361" s="640"/>
      <c r="R361" s="678"/>
      <c r="S361" s="570"/>
    </row>
    <row r="362" spans="1:27" s="677" customFormat="1">
      <c r="A362" s="585" t="s">
        <v>346</v>
      </c>
      <c r="B362" s="570"/>
      <c r="C362" s="571">
        <v>19032</v>
      </c>
      <c r="D362" s="678"/>
      <c r="E362" s="587">
        <v>10.76</v>
      </c>
      <c r="F362" s="646"/>
      <c r="G362" s="681">
        <v>204784</v>
      </c>
      <c r="H362" s="678"/>
      <c r="I362" s="616"/>
      <c r="J362" s="646"/>
      <c r="K362" s="681"/>
      <c r="L362" s="678"/>
      <c r="M362" s="616"/>
      <c r="N362" s="646"/>
      <c r="O362" s="681"/>
      <c r="P362" s="678"/>
      <c r="Q362" s="616"/>
      <c r="R362" s="646"/>
      <c r="S362" s="681"/>
      <c r="U362" s="594" t="s">
        <v>521</v>
      </c>
      <c r="V362" s="595"/>
      <c r="W362" s="596"/>
      <c r="X362" s="596"/>
    </row>
    <row r="363" spans="1:27" s="677" customFormat="1">
      <c r="A363" s="585" t="s">
        <v>347</v>
      </c>
      <c r="B363" s="570"/>
      <c r="C363" s="571">
        <v>388</v>
      </c>
      <c r="D363" s="678"/>
      <c r="E363" s="587">
        <v>71.400000000000006</v>
      </c>
      <c r="F363" s="646"/>
      <c r="G363" s="681">
        <v>27703</v>
      </c>
      <c r="H363" s="678"/>
      <c r="I363" s="616"/>
      <c r="J363" s="646"/>
      <c r="K363" s="681"/>
      <c r="L363" s="678"/>
      <c r="M363" s="616"/>
      <c r="N363" s="646"/>
      <c r="O363" s="681"/>
      <c r="P363" s="678"/>
      <c r="Q363" s="616"/>
      <c r="R363" s="646"/>
      <c r="S363" s="681"/>
      <c r="U363" s="597"/>
      <c r="V363" s="598" t="s">
        <v>374</v>
      </c>
      <c r="W363" s="599" t="s">
        <v>453</v>
      </c>
      <c r="X363" s="598" t="s">
        <v>454</v>
      </c>
    </row>
    <row r="364" spans="1:27" s="677" customFormat="1">
      <c r="A364" s="585" t="s">
        <v>348</v>
      </c>
      <c r="B364" s="570"/>
      <c r="C364" s="571">
        <v>0</v>
      </c>
      <c r="D364" s="678"/>
      <c r="E364" s="587">
        <v>125.2</v>
      </c>
      <c r="F364" s="646"/>
      <c r="G364" s="681">
        <v>0</v>
      </c>
      <c r="H364" s="678"/>
      <c r="I364" s="616"/>
      <c r="J364" s="646"/>
      <c r="K364" s="681"/>
      <c r="L364" s="678"/>
      <c r="M364" s="616"/>
      <c r="N364" s="646"/>
      <c r="O364" s="681"/>
      <c r="P364" s="678"/>
      <c r="Q364" s="616"/>
      <c r="R364" s="646"/>
      <c r="S364" s="681"/>
      <c r="U364" s="600" t="s">
        <v>508</v>
      </c>
      <c r="V364" s="601">
        <v>18021.375629821778</v>
      </c>
      <c r="W364" s="602">
        <v>3478.9746108026557</v>
      </c>
      <c r="X364" s="601">
        <v>-10121.770013746112</v>
      </c>
    </row>
    <row r="365" spans="1:27" s="677" customFormat="1">
      <c r="A365" s="585" t="s">
        <v>349</v>
      </c>
      <c r="B365" s="570"/>
      <c r="C365" s="571">
        <v>4564</v>
      </c>
      <c r="D365" s="678"/>
      <c r="E365" s="587">
        <v>6.11</v>
      </c>
      <c r="F365" s="646"/>
      <c r="G365" s="681">
        <v>27886</v>
      </c>
      <c r="H365" s="678"/>
      <c r="I365" s="616"/>
      <c r="J365" s="646"/>
      <c r="K365" s="681"/>
      <c r="L365" s="678"/>
      <c r="M365" s="616"/>
      <c r="N365" s="646"/>
      <c r="O365" s="681"/>
      <c r="P365" s="678"/>
      <c r="Q365" s="616"/>
      <c r="R365" s="646"/>
      <c r="S365" s="681"/>
      <c r="U365" s="604" t="s">
        <v>509</v>
      </c>
      <c r="V365" s="601">
        <v>18033.72</v>
      </c>
      <c r="W365" s="602">
        <v>3499.08</v>
      </c>
      <c r="X365" s="601">
        <v>-10093.5</v>
      </c>
    </row>
    <row r="366" spans="1:27" s="677" customFormat="1">
      <c r="A366" s="585" t="s">
        <v>350</v>
      </c>
      <c r="B366" s="570"/>
      <c r="C366" s="571">
        <v>12757358.913578073</v>
      </c>
      <c r="D366" s="678"/>
      <c r="E366" s="663">
        <v>5.2746000000000004</v>
      </c>
      <c r="F366" s="688" t="s">
        <v>108</v>
      </c>
      <c r="G366" s="681">
        <v>672900</v>
      </c>
      <c r="H366" s="678"/>
      <c r="I366" s="616">
        <v>2.6800000000000001E-2</v>
      </c>
      <c r="J366" s="592"/>
      <c r="K366" s="589">
        <v>18033.72</v>
      </c>
      <c r="L366" s="572"/>
      <c r="M366" s="616">
        <v>7.7999999999999996E-3</v>
      </c>
      <c r="N366" s="592"/>
      <c r="O366" s="589">
        <v>3499.08</v>
      </c>
      <c r="P366" s="572"/>
      <c r="Q366" s="616">
        <v>-1.4999999999999999E-2</v>
      </c>
      <c r="R366" s="592"/>
      <c r="S366" s="589">
        <v>-10093.5</v>
      </c>
      <c r="U366" s="606" t="s">
        <v>22</v>
      </c>
      <c r="V366" s="607">
        <v>12.344370178223471</v>
      </c>
      <c r="W366" s="608">
        <v>20.105389197344266</v>
      </c>
      <c r="X366" s="607">
        <v>28.270013746112454</v>
      </c>
      <c r="Y366" s="593">
        <v>2.6800000000000001E-2</v>
      </c>
      <c r="Z366" s="593">
        <v>7.7999999999999996E-3</v>
      </c>
      <c r="AA366" s="593">
        <v>-1.4999999999999999E-2</v>
      </c>
    </row>
    <row r="367" spans="1:27" s="677" customFormat="1">
      <c r="A367" s="585" t="s">
        <v>351</v>
      </c>
      <c r="B367" s="570"/>
      <c r="C367" s="617">
        <v>0</v>
      </c>
      <c r="D367" s="678"/>
      <c r="E367" s="570"/>
      <c r="F367" s="678"/>
      <c r="G367" s="682"/>
      <c r="H367" s="678"/>
      <c r="I367" s="640"/>
      <c r="J367" s="678"/>
      <c r="K367" s="682"/>
      <c r="L367" s="678"/>
      <c r="M367" s="640"/>
      <c r="N367" s="678"/>
      <c r="O367" s="682"/>
      <c r="P367" s="678"/>
      <c r="Q367" s="640"/>
      <c r="R367" s="678"/>
      <c r="S367" s="682"/>
      <c r="U367" s="593" t="s">
        <v>510</v>
      </c>
      <c r="V367" s="610">
        <v>2.6781654970756096E-2</v>
      </c>
      <c r="W367" s="611">
        <v>7.7551819233229059E-3</v>
      </c>
      <c r="X367" s="610">
        <v>-1.50420122064885E-2</v>
      </c>
    </row>
    <row r="368" spans="1:27" s="677" customFormat="1" ht="16.5" thickBot="1">
      <c r="A368" s="570" t="s">
        <v>300</v>
      </c>
      <c r="B368" s="570"/>
      <c r="C368" s="641">
        <v>12757358.913578073</v>
      </c>
      <c r="D368" s="678"/>
      <c r="E368" s="631"/>
      <c r="F368" s="678"/>
      <c r="G368" s="695">
        <v>933273</v>
      </c>
      <c r="H368" s="678"/>
      <c r="I368" s="642"/>
      <c r="J368" s="678"/>
      <c r="K368" s="695">
        <v>18033.72</v>
      </c>
      <c r="L368" s="678"/>
      <c r="M368" s="642"/>
      <c r="N368" s="678"/>
      <c r="O368" s="695">
        <v>3499.08</v>
      </c>
      <c r="P368" s="678"/>
      <c r="Q368" s="642"/>
      <c r="R368" s="678"/>
      <c r="S368" s="695">
        <v>-10093.5</v>
      </c>
      <c r="V368" s="593">
        <v>1.9323091957015794E-2</v>
      </c>
      <c r="W368" s="593">
        <v>5.6238849725642973E-3</v>
      </c>
      <c r="X368" s="593">
        <v>-1.0815163408777495E-2</v>
      </c>
      <c r="Y368" s="593">
        <v>1.9323091957015794E-2</v>
      </c>
      <c r="Z368" s="593">
        <v>5.6238849725642982E-3</v>
      </c>
      <c r="AA368" s="593">
        <v>-1.0815163408777495E-2</v>
      </c>
    </row>
    <row r="369" spans="1:27" s="677" customFormat="1" ht="16.5" thickTop="1">
      <c r="A369" s="570"/>
      <c r="B369" s="570"/>
      <c r="C369" s="571"/>
      <c r="D369" s="678"/>
      <c r="E369" s="570"/>
      <c r="F369" s="678"/>
      <c r="G369" s="570"/>
      <c r="H369" s="678"/>
      <c r="I369" s="640"/>
      <c r="J369" s="678"/>
      <c r="K369" s="570"/>
      <c r="L369" s="678"/>
      <c r="M369" s="640"/>
      <c r="N369" s="678"/>
      <c r="O369" s="570"/>
      <c r="P369" s="678"/>
      <c r="Q369" s="640"/>
      <c r="R369" s="678"/>
      <c r="S369" s="570"/>
    </row>
    <row r="370" spans="1:27" s="677" customFormat="1">
      <c r="A370" s="689" t="s">
        <v>352</v>
      </c>
      <c r="B370" s="570"/>
      <c r="C370" s="571"/>
      <c r="D370" s="678"/>
      <c r="E370" s="678"/>
      <c r="F370" s="678"/>
      <c r="G370" s="679"/>
      <c r="H370" s="678"/>
      <c r="I370" s="684"/>
      <c r="J370" s="678"/>
      <c r="K370" s="679"/>
      <c r="L370" s="678"/>
      <c r="M370" s="684"/>
      <c r="N370" s="678"/>
      <c r="O370" s="679"/>
      <c r="P370" s="678"/>
      <c r="Q370" s="684"/>
      <c r="R370" s="678"/>
      <c r="S370" s="679"/>
      <c r="U370" s="594" t="s">
        <v>522</v>
      </c>
      <c r="V370" s="595"/>
      <c r="W370" s="596"/>
      <c r="X370" s="596"/>
    </row>
    <row r="371" spans="1:27">
      <c r="A371" s="585" t="s">
        <v>353</v>
      </c>
      <c r="B371" s="570"/>
      <c r="C371" s="571">
        <v>26612</v>
      </c>
      <c r="D371" s="678"/>
      <c r="E371" s="587">
        <v>4.5</v>
      </c>
      <c r="F371" s="646"/>
      <c r="G371" s="681">
        <v>119754</v>
      </c>
      <c r="H371" s="678"/>
      <c r="I371" s="616"/>
      <c r="J371" s="646"/>
      <c r="K371" s="681"/>
      <c r="L371" s="678"/>
      <c r="M371" s="616"/>
      <c r="N371" s="646"/>
      <c r="O371" s="681"/>
      <c r="P371" s="678"/>
      <c r="Q371" s="616"/>
      <c r="R371" s="646"/>
      <c r="S371" s="681"/>
      <c r="U371" s="597"/>
      <c r="V371" s="598" t="s">
        <v>374</v>
      </c>
      <c r="W371" s="599" t="s">
        <v>453</v>
      </c>
      <c r="X371" s="598" t="s">
        <v>454</v>
      </c>
    </row>
    <row r="372" spans="1:27">
      <c r="A372" s="585" t="s">
        <v>350</v>
      </c>
      <c r="B372" s="570"/>
      <c r="C372" s="571">
        <v>5255307</v>
      </c>
      <c r="D372" s="678"/>
      <c r="E372" s="664">
        <v>6.9957000000000003</v>
      </c>
      <c r="F372" s="688" t="s">
        <v>108</v>
      </c>
      <c r="G372" s="681">
        <v>367646</v>
      </c>
      <c r="H372" s="678"/>
      <c r="I372" s="616">
        <v>3.9100000000000003E-2</v>
      </c>
      <c r="J372" s="592"/>
      <c r="K372" s="589">
        <v>14374.958600000002</v>
      </c>
      <c r="M372" s="616">
        <v>1.4500000000000001E-2</v>
      </c>
      <c r="N372" s="592"/>
      <c r="O372" s="589">
        <v>3553.9113333333335</v>
      </c>
      <c r="Q372" s="616">
        <v>-2.1999999999999999E-2</v>
      </c>
      <c r="R372" s="592"/>
      <c r="S372" s="589">
        <v>-8088.2119999999995</v>
      </c>
      <c r="U372" s="600" t="s">
        <v>508</v>
      </c>
      <c r="V372" s="601">
        <v>14381.723144759793</v>
      </c>
      <c r="W372" s="602">
        <v>3544.1132029758828</v>
      </c>
      <c r="X372" s="601">
        <v>-8077.5461908546704</v>
      </c>
      <c r="Y372" s="593">
        <v>3.9100000000000003E-2</v>
      </c>
      <c r="Z372" s="593">
        <v>1.4500000000000001E-2</v>
      </c>
      <c r="AA372" s="593">
        <v>-2.1999999999999999E-2</v>
      </c>
    </row>
    <row r="373" spans="1:27">
      <c r="A373" s="585" t="s">
        <v>351</v>
      </c>
      <c r="B373" s="570"/>
      <c r="C373" s="617">
        <v>0</v>
      </c>
      <c r="D373" s="678"/>
      <c r="F373" s="678"/>
      <c r="G373" s="682"/>
      <c r="H373" s="678"/>
      <c r="I373" s="640"/>
      <c r="J373" s="678"/>
      <c r="K373" s="682"/>
      <c r="L373" s="678"/>
      <c r="M373" s="640"/>
      <c r="N373" s="678"/>
      <c r="O373" s="682"/>
      <c r="P373" s="678"/>
      <c r="Q373" s="640"/>
      <c r="R373" s="678"/>
      <c r="S373" s="682"/>
      <c r="U373" s="604" t="s">
        <v>509</v>
      </c>
      <c r="V373" s="601">
        <v>14374.958600000002</v>
      </c>
      <c r="W373" s="602">
        <v>3553.9113333333335</v>
      </c>
      <c r="X373" s="601">
        <v>-8088.2119999999995</v>
      </c>
    </row>
    <row r="374" spans="1:27" ht="16.5" thickBot="1">
      <c r="A374" s="570" t="s">
        <v>300</v>
      </c>
      <c r="B374" s="570"/>
      <c r="C374" s="641">
        <v>5255307</v>
      </c>
      <c r="D374" s="678"/>
      <c r="E374" s="631"/>
      <c r="F374" s="678"/>
      <c r="G374" s="695">
        <v>487400</v>
      </c>
      <c r="H374" s="678"/>
      <c r="I374" s="642"/>
      <c r="J374" s="678"/>
      <c r="K374" s="695">
        <v>14374.958600000002</v>
      </c>
      <c r="L374" s="678"/>
      <c r="M374" s="642"/>
      <c r="N374" s="678"/>
      <c r="O374" s="695">
        <v>3553.9113333333335</v>
      </c>
      <c r="P374" s="678"/>
      <c r="Q374" s="642"/>
      <c r="R374" s="678"/>
      <c r="S374" s="695">
        <v>-8088.2119999999995</v>
      </c>
      <c r="U374" s="606" t="s">
        <v>22</v>
      </c>
      <c r="V374" s="607">
        <v>-6.7645447597915336</v>
      </c>
      <c r="W374" s="608">
        <v>9.7981303574506455</v>
      </c>
      <c r="X374" s="607">
        <v>-10.665809145329149</v>
      </c>
      <c r="Y374" s="593">
        <v>2.949314443988511E-2</v>
      </c>
      <c r="Z374" s="593">
        <v>1.0937355354944604E-2</v>
      </c>
      <c r="AA374" s="593">
        <v>-1.6594608124743535E-2</v>
      </c>
    </row>
    <row r="375" spans="1:27" ht="16.5" thickTop="1">
      <c r="A375" s="585"/>
      <c r="B375" s="570"/>
      <c r="C375" s="571"/>
      <c r="D375" s="678"/>
      <c r="E375" s="238"/>
      <c r="F375" s="342"/>
      <c r="G375" s="679"/>
      <c r="H375" s="678"/>
      <c r="I375" s="238"/>
      <c r="J375" s="342"/>
      <c r="K375" s="679"/>
      <c r="L375" s="678"/>
      <c r="M375" s="238"/>
      <c r="N375" s="342"/>
      <c r="O375" s="679"/>
      <c r="P375" s="678"/>
      <c r="Q375" s="238"/>
      <c r="R375" s="342"/>
      <c r="S375" s="679"/>
      <c r="U375" s="593" t="s">
        <v>510</v>
      </c>
      <c r="V375" s="610">
        <v>3.911839961473753E-2</v>
      </c>
      <c r="W375" s="611">
        <v>1.4460023513009318E-2</v>
      </c>
      <c r="X375" s="610">
        <v>-2.1970988915572781E-2</v>
      </c>
    </row>
    <row r="376" spans="1:27">
      <c r="A376" s="562" t="s">
        <v>354</v>
      </c>
      <c r="C376" s="571"/>
      <c r="V376" s="593">
        <v>2.949314443988511E-2</v>
      </c>
      <c r="W376" s="593">
        <v>1.0937355354944604E-2</v>
      </c>
      <c r="X376" s="593">
        <v>-1.6594608124743535E-2</v>
      </c>
    </row>
    <row r="377" spans="1:27">
      <c r="A377" s="696" t="s">
        <v>355</v>
      </c>
      <c r="C377" s="571"/>
    </row>
    <row r="378" spans="1:27">
      <c r="A378" s="585" t="s">
        <v>104</v>
      </c>
      <c r="C378" s="615">
        <v>36</v>
      </c>
      <c r="E378" s="587">
        <v>97</v>
      </c>
      <c r="F378" s="588"/>
      <c r="G378" s="589">
        <v>3492</v>
      </c>
      <c r="I378" s="634"/>
      <c r="J378" s="588"/>
      <c r="K378" s="589"/>
      <c r="M378" s="634"/>
      <c r="N378" s="588"/>
      <c r="O378" s="589"/>
      <c r="Q378" s="634"/>
      <c r="R378" s="588"/>
      <c r="S378" s="589"/>
    </row>
    <row r="379" spans="1:27">
      <c r="A379" s="585" t="s">
        <v>523</v>
      </c>
      <c r="C379" s="615">
        <v>12415</v>
      </c>
      <c r="E379" s="587">
        <v>3.29</v>
      </c>
      <c r="F379" s="588"/>
      <c r="G379" s="589">
        <v>40845</v>
      </c>
      <c r="I379" s="616">
        <v>4.5199999999999997E-2</v>
      </c>
      <c r="J379" s="592"/>
      <c r="K379" s="589">
        <v>1846.194</v>
      </c>
      <c r="M379" s="616">
        <v>1.66E-2</v>
      </c>
      <c r="N379" s="592"/>
      <c r="O379" s="589">
        <v>452.01800000000003</v>
      </c>
      <c r="Q379" s="616">
        <v>-2.5399999999999999E-2</v>
      </c>
      <c r="R379" s="592"/>
      <c r="S379" s="589">
        <v>-1037.463</v>
      </c>
      <c r="Y379" s="593">
        <v>4.5199999999999997E-2</v>
      </c>
      <c r="Z379" s="593">
        <v>1.66E-2</v>
      </c>
      <c r="AA379" s="593">
        <v>-2.5399999999999999E-2</v>
      </c>
    </row>
    <row r="380" spans="1:27">
      <c r="A380" s="585" t="s">
        <v>357</v>
      </c>
      <c r="C380" s="615">
        <v>470641</v>
      </c>
      <c r="E380" s="357">
        <v>5.2439999999999998</v>
      </c>
      <c r="F380" s="592" t="s">
        <v>108</v>
      </c>
      <c r="G380" s="589">
        <v>24680</v>
      </c>
      <c r="I380" s="616">
        <v>4.5199999999999997E-2</v>
      </c>
      <c r="J380" s="592"/>
      <c r="K380" s="589">
        <v>1115.5359999999998</v>
      </c>
      <c r="M380" s="616">
        <v>1.66E-2</v>
      </c>
      <c r="N380" s="592"/>
      <c r="O380" s="589">
        <v>273.12533333333334</v>
      </c>
      <c r="Q380" s="616">
        <v>-2.5399999999999999E-2</v>
      </c>
      <c r="R380" s="592"/>
      <c r="S380" s="589">
        <v>-626.87199999999996</v>
      </c>
      <c r="Y380" s="593">
        <v>4.519999999999999E-2</v>
      </c>
      <c r="Z380" s="593">
        <v>1.66E-2</v>
      </c>
      <c r="AA380" s="593">
        <v>-2.5399999999999999E-2</v>
      </c>
    </row>
    <row r="381" spans="1:27">
      <c r="A381" s="585" t="s">
        <v>245</v>
      </c>
      <c r="C381" s="615">
        <v>0</v>
      </c>
      <c r="E381" s="357">
        <v>4.4032</v>
      </c>
      <c r="F381" s="592" t="s">
        <v>108</v>
      </c>
      <c r="G381" s="589">
        <v>0</v>
      </c>
      <c r="I381" s="616">
        <v>4.5199999999999997E-2</v>
      </c>
      <c r="J381" s="592"/>
      <c r="K381" s="589">
        <v>0</v>
      </c>
      <c r="M381" s="616">
        <v>1.66E-2</v>
      </c>
      <c r="N381" s="592"/>
      <c r="O381" s="589">
        <v>0</v>
      </c>
      <c r="Q381" s="616">
        <v>-2.5399999999999999E-2</v>
      </c>
      <c r="R381" s="592"/>
      <c r="S381" s="589">
        <v>0</v>
      </c>
      <c r="Y381" s="593" t="e">
        <v>#DIV/0!</v>
      </c>
      <c r="Z381" s="593" t="e">
        <v>#DIV/0!</v>
      </c>
      <c r="AA381" s="593" t="e">
        <v>#DIV/0!</v>
      </c>
    </row>
    <row r="382" spans="1:27">
      <c r="A382" s="585" t="s">
        <v>132</v>
      </c>
      <c r="C382" s="617">
        <v>0</v>
      </c>
      <c r="E382" s="357"/>
      <c r="F382" s="358"/>
      <c r="G382" s="645"/>
      <c r="I382" s="697"/>
      <c r="J382" s="358"/>
      <c r="K382" s="645"/>
      <c r="M382" s="697"/>
      <c r="N382" s="358"/>
      <c r="O382" s="645"/>
      <c r="Q382" s="697"/>
      <c r="R382" s="358"/>
      <c r="S382" s="645"/>
      <c r="U382" s="594" t="s">
        <v>524</v>
      </c>
      <c r="V382" s="595"/>
      <c r="W382" s="596"/>
      <c r="X382" s="596"/>
    </row>
    <row r="383" spans="1:27">
      <c r="A383" s="585" t="s">
        <v>358</v>
      </c>
      <c r="C383" s="571">
        <v>470641</v>
      </c>
      <c r="E383" s="638"/>
      <c r="F383" s="636"/>
      <c r="G383" s="589">
        <v>69017</v>
      </c>
      <c r="I383" s="605"/>
      <c r="J383" s="636"/>
      <c r="K383" s="589">
        <v>2961.7299999999996</v>
      </c>
      <c r="M383" s="605"/>
      <c r="N383" s="636"/>
      <c r="O383" s="589">
        <v>725.14333333333343</v>
      </c>
      <c r="Q383" s="605"/>
      <c r="R383" s="636"/>
      <c r="S383" s="589">
        <v>-1664.335</v>
      </c>
      <c r="U383" s="597"/>
      <c r="V383" s="598" t="s">
        <v>374</v>
      </c>
      <c r="W383" s="599" t="s">
        <v>453</v>
      </c>
      <c r="X383" s="598" t="s">
        <v>454</v>
      </c>
      <c r="Y383" s="593">
        <v>4.2913050407870516E-2</v>
      </c>
      <c r="Z383" s="593">
        <v>1.5760102583421476E-2</v>
      </c>
      <c r="AA383" s="593">
        <v>-2.4114855760175032E-2</v>
      </c>
    </row>
    <row r="384" spans="1:27">
      <c r="A384" s="696" t="s">
        <v>359</v>
      </c>
      <c r="C384" s="615"/>
      <c r="E384" s="638"/>
      <c r="F384" s="636"/>
      <c r="I384" s="605"/>
      <c r="J384" s="636"/>
      <c r="M384" s="605"/>
      <c r="N384" s="636"/>
      <c r="Q384" s="605"/>
      <c r="R384" s="636"/>
      <c r="U384" s="600" t="s">
        <v>508</v>
      </c>
      <c r="V384" s="601">
        <v>13227.666641249423</v>
      </c>
      <c r="W384" s="602">
        <v>3245.9626206119879</v>
      </c>
      <c r="X384" s="601">
        <v>-7429.3662321577294</v>
      </c>
    </row>
    <row r="385" spans="1:27">
      <c r="A385" s="585" t="s">
        <v>104</v>
      </c>
      <c r="C385" s="615">
        <v>24</v>
      </c>
      <c r="E385" s="587">
        <v>97</v>
      </c>
      <c r="F385" s="588"/>
      <c r="G385" s="589">
        <v>2328</v>
      </c>
      <c r="I385" s="616"/>
      <c r="J385" s="588"/>
      <c r="K385" s="589"/>
      <c r="M385" s="616"/>
      <c r="N385" s="588"/>
      <c r="O385" s="589"/>
      <c r="Q385" s="616"/>
      <c r="R385" s="588"/>
      <c r="S385" s="589"/>
      <c r="U385" s="604" t="s">
        <v>509</v>
      </c>
      <c r="V385" s="601">
        <v>13226.649999999998</v>
      </c>
      <c r="W385" s="602">
        <v>3238.3833333333332</v>
      </c>
      <c r="X385" s="601">
        <v>-7432.6750000000002</v>
      </c>
    </row>
    <row r="386" spans="1:27">
      <c r="A386" s="585" t="s">
        <v>523</v>
      </c>
      <c r="C386" s="615">
        <v>33448</v>
      </c>
      <c r="E386" s="587">
        <v>3.29</v>
      </c>
      <c r="F386" s="588"/>
      <c r="G386" s="589">
        <v>110044</v>
      </c>
      <c r="I386" s="616">
        <v>4.5199999999999997E-2</v>
      </c>
      <c r="J386" s="592"/>
      <c r="K386" s="589">
        <v>4973.9888000000001</v>
      </c>
      <c r="M386" s="616">
        <v>1.66E-2</v>
      </c>
      <c r="N386" s="592"/>
      <c r="O386" s="589">
        <v>1217.8202666666666</v>
      </c>
      <c r="Q386" s="616">
        <v>-2.5399999999999999E-2</v>
      </c>
      <c r="R386" s="592"/>
      <c r="S386" s="589">
        <v>-2795.1176</v>
      </c>
      <c r="U386" s="606" t="s">
        <v>22</v>
      </c>
      <c r="V386" s="607">
        <v>-1.0166412494254473</v>
      </c>
      <c r="W386" s="608">
        <v>-7.5792872786546468</v>
      </c>
      <c r="X386" s="607">
        <v>-3.308767842270754</v>
      </c>
      <c r="Y386" s="593">
        <v>4.5200000000000004E-2</v>
      </c>
      <c r="Z386" s="593">
        <v>1.6599999999999997E-2</v>
      </c>
      <c r="AA386" s="593">
        <v>-2.5399999999999999E-2</v>
      </c>
    </row>
    <row r="387" spans="1:27">
      <c r="A387" s="585" t="s">
        <v>357</v>
      </c>
      <c r="C387" s="615">
        <v>2365056</v>
      </c>
      <c r="E387" s="357">
        <v>4.1257000000000001</v>
      </c>
      <c r="F387" s="592" t="s">
        <v>108</v>
      </c>
      <c r="G387" s="589">
        <v>97575</v>
      </c>
      <c r="I387" s="616">
        <v>4.5199999999999997E-2</v>
      </c>
      <c r="J387" s="592"/>
      <c r="K387" s="589">
        <v>4410.3899999999994</v>
      </c>
      <c r="M387" s="616">
        <v>1.66E-2</v>
      </c>
      <c r="N387" s="592"/>
      <c r="O387" s="589">
        <v>1079.8300000000002</v>
      </c>
      <c r="Q387" s="616">
        <v>-2.5399999999999999E-2</v>
      </c>
      <c r="R387" s="592"/>
      <c r="S387" s="589">
        <v>-2478.4049999999997</v>
      </c>
      <c r="U387" s="593" t="s">
        <v>510</v>
      </c>
      <c r="V387" s="610">
        <v>4.5203474211873297E-2</v>
      </c>
      <c r="W387" s="611">
        <v>1.6638851536669736E-2</v>
      </c>
      <c r="X387" s="610">
        <v>-2.5388692805323295E-2</v>
      </c>
      <c r="Y387" s="593">
        <v>4.5199999999999997E-2</v>
      </c>
      <c r="Z387" s="593">
        <v>1.6600000000000004E-2</v>
      </c>
      <c r="AA387" s="593">
        <v>-2.5399999999999999E-2</v>
      </c>
    </row>
    <row r="388" spans="1:27">
      <c r="A388" s="585" t="s">
        <v>245</v>
      </c>
      <c r="C388" s="615">
        <v>533046.47888738429</v>
      </c>
      <c r="E388" s="357">
        <v>3.6547000000000001</v>
      </c>
      <c r="F388" s="592" t="s">
        <v>108</v>
      </c>
      <c r="G388" s="589">
        <v>19481</v>
      </c>
      <c r="I388" s="616">
        <v>4.5199999999999997E-2</v>
      </c>
      <c r="J388" s="592"/>
      <c r="K388" s="589">
        <v>880.54119999999989</v>
      </c>
      <c r="M388" s="616">
        <v>1.66E-2</v>
      </c>
      <c r="N388" s="592"/>
      <c r="O388" s="589">
        <v>215.58973333333333</v>
      </c>
      <c r="Q388" s="616">
        <v>-2.5399999999999999E-2</v>
      </c>
      <c r="R388" s="592"/>
      <c r="S388" s="589">
        <v>-494.81739999999996</v>
      </c>
      <c r="Y388" s="593">
        <v>4.5199999999999997E-2</v>
      </c>
      <c r="Z388" s="593">
        <v>1.66E-2</v>
      </c>
      <c r="AA388" s="593">
        <v>-2.5399999999999999E-2</v>
      </c>
    </row>
    <row r="389" spans="1:27">
      <c r="A389" s="585" t="s">
        <v>132</v>
      </c>
      <c r="C389" s="617">
        <v>0</v>
      </c>
      <c r="E389" s="357"/>
      <c r="F389" s="359"/>
      <c r="G389" s="618"/>
      <c r="I389" s="697"/>
      <c r="J389" s="359"/>
      <c r="K389" s="618"/>
      <c r="M389" s="697"/>
      <c r="N389" s="359"/>
      <c r="O389" s="618"/>
      <c r="Q389" s="697"/>
      <c r="R389" s="359"/>
      <c r="S389" s="618"/>
    </row>
    <row r="390" spans="1:27">
      <c r="A390" s="585" t="s">
        <v>358</v>
      </c>
      <c r="C390" s="571">
        <v>2898102.4788873843</v>
      </c>
      <c r="E390" s="638"/>
      <c r="F390" s="636"/>
      <c r="G390" s="589">
        <v>229428</v>
      </c>
      <c r="I390" s="605"/>
      <c r="J390" s="636"/>
      <c r="K390" s="589">
        <v>10264.919999999998</v>
      </c>
      <c r="M390" s="605"/>
      <c r="N390" s="636"/>
      <c r="O390" s="589">
        <v>2513.2399999999998</v>
      </c>
      <c r="Q390" s="605"/>
      <c r="R390" s="636"/>
      <c r="S390" s="589">
        <v>-5768.34</v>
      </c>
      <c r="Y390" s="593">
        <v>4.4741356765521205E-2</v>
      </c>
      <c r="Z390" s="593">
        <v>1.64315602280454E-2</v>
      </c>
      <c r="AA390" s="593">
        <v>-2.5142266854961032E-2</v>
      </c>
    </row>
    <row r="391" spans="1:27" ht="16.5" thickBot="1">
      <c r="A391" s="585" t="s">
        <v>134</v>
      </c>
      <c r="C391" s="641">
        <v>3368743.4788873843</v>
      </c>
      <c r="E391" s="631"/>
      <c r="G391" s="695">
        <v>298445</v>
      </c>
      <c r="I391" s="642"/>
      <c r="K391" s="695">
        <v>13226.649999999998</v>
      </c>
      <c r="M391" s="642"/>
      <c r="O391" s="695">
        <v>3238.3833333333332</v>
      </c>
      <c r="Q391" s="642"/>
      <c r="S391" s="695">
        <v>-7432.6750000000002</v>
      </c>
      <c r="V391" s="593">
        <v>4.4318551156829561E-2</v>
      </c>
      <c r="W391" s="593">
        <v>1.6276282062021478E-2</v>
      </c>
      <c r="X391" s="593">
        <v>-2.4904672552731658E-2</v>
      </c>
      <c r="Y391" s="593">
        <v>4.4318551156829561E-2</v>
      </c>
      <c r="Z391" s="593">
        <v>1.6276282062021478E-2</v>
      </c>
      <c r="AA391" s="593">
        <v>-2.4904672552731658E-2</v>
      </c>
    </row>
    <row r="392" spans="1:27" ht="16.5" thickTop="1">
      <c r="C392" s="571"/>
    </row>
    <row r="393" spans="1:27">
      <c r="A393" s="562" t="s">
        <v>362</v>
      </c>
      <c r="C393" s="571"/>
    </row>
    <row r="394" spans="1:27">
      <c r="A394" s="585" t="s">
        <v>104</v>
      </c>
      <c r="C394" s="571">
        <v>904591</v>
      </c>
      <c r="E394" s="587">
        <v>8</v>
      </c>
      <c r="F394" s="588"/>
      <c r="G394" s="589">
        <v>7236728</v>
      </c>
      <c r="I394" s="590"/>
      <c r="J394" s="588"/>
      <c r="K394" s="589"/>
      <c r="M394" s="590"/>
      <c r="N394" s="588"/>
      <c r="O394" s="589"/>
      <c r="Q394" s="590"/>
      <c r="R394" s="588"/>
      <c r="S394" s="589"/>
    </row>
    <row r="395" spans="1:27">
      <c r="A395" s="585" t="s">
        <v>152</v>
      </c>
      <c r="C395" s="571">
        <v>350607</v>
      </c>
      <c r="E395" s="587">
        <v>7.25</v>
      </c>
      <c r="F395" s="588"/>
      <c r="G395" s="589">
        <v>2541901</v>
      </c>
      <c r="I395" s="616">
        <v>4.4900000000000002E-2</v>
      </c>
      <c r="J395" s="592"/>
      <c r="K395" s="589">
        <v>114131.35490000001</v>
      </c>
      <c r="M395" s="616">
        <v>1.6400000000000001E-2</v>
      </c>
      <c r="N395" s="592"/>
      <c r="O395" s="589">
        <v>27791.450933333337</v>
      </c>
      <c r="Q395" s="616">
        <v>-2.52E-2</v>
      </c>
      <c r="R395" s="592"/>
      <c r="S395" s="589">
        <v>-64055.905200000001</v>
      </c>
      <c r="U395" s="594" t="s">
        <v>466</v>
      </c>
      <c r="V395" s="595"/>
      <c r="W395" s="596"/>
      <c r="X395" s="596"/>
      <c r="Y395" s="593">
        <v>4.4900000000000002E-2</v>
      </c>
      <c r="Z395" s="593">
        <v>1.6400000000000001E-2</v>
      </c>
      <c r="AA395" s="593">
        <v>-2.52E-2</v>
      </c>
    </row>
    <row r="396" spans="1:27">
      <c r="A396" s="585" t="s">
        <v>153</v>
      </c>
      <c r="C396" s="571">
        <v>332283</v>
      </c>
      <c r="E396" s="587">
        <v>7.3</v>
      </c>
      <c r="F396" s="588"/>
      <c r="G396" s="589">
        <v>2425666</v>
      </c>
      <c r="I396" s="616">
        <v>4.4900000000000002E-2</v>
      </c>
      <c r="J396" s="592"/>
      <c r="K396" s="589">
        <v>108912.40340000001</v>
      </c>
      <c r="M396" s="616">
        <v>1.6400000000000001E-2</v>
      </c>
      <c r="N396" s="592"/>
      <c r="O396" s="589">
        <v>26520.614933333334</v>
      </c>
      <c r="Q396" s="616">
        <v>-2.52E-2</v>
      </c>
      <c r="R396" s="592"/>
      <c r="S396" s="589">
        <v>-61126.783199999998</v>
      </c>
      <c r="U396" s="597"/>
      <c r="V396" s="598" t="s">
        <v>374</v>
      </c>
      <c r="W396" s="599" t="s">
        <v>453</v>
      </c>
      <c r="X396" s="598" t="s">
        <v>454</v>
      </c>
      <c r="Y396" s="593">
        <v>4.4900000000000002E-2</v>
      </c>
      <c r="Z396" s="593">
        <v>1.6400000000000001E-2</v>
      </c>
      <c r="AA396" s="593">
        <v>-2.52E-2</v>
      </c>
    </row>
    <row r="397" spans="1:27">
      <c r="A397" s="585" t="s">
        <v>154</v>
      </c>
      <c r="C397" s="571">
        <v>5569</v>
      </c>
      <c r="E397" s="587">
        <v>-0.41</v>
      </c>
      <c r="F397" s="588"/>
      <c r="G397" s="589">
        <v>-2283</v>
      </c>
      <c r="I397" s="616"/>
      <c r="J397" s="588"/>
      <c r="K397" s="589"/>
      <c r="M397" s="616"/>
      <c r="N397" s="588"/>
      <c r="O397" s="589"/>
      <c r="Q397" s="616"/>
      <c r="R397" s="588"/>
      <c r="S397" s="589"/>
      <c r="U397" s="600" t="s">
        <v>508</v>
      </c>
      <c r="V397" s="601">
        <v>4371266.5290361727</v>
      </c>
      <c r="W397" s="602">
        <v>1061610.9714237356</v>
      </c>
      <c r="X397" s="601">
        <v>-2455137.464782312</v>
      </c>
    </row>
    <row r="398" spans="1:27">
      <c r="A398" s="585" t="s">
        <v>155</v>
      </c>
      <c r="C398" s="571">
        <v>266278933</v>
      </c>
      <c r="E398" s="603">
        <v>9.8214000000000006</v>
      </c>
      <c r="F398" s="592" t="s">
        <v>108</v>
      </c>
      <c r="G398" s="589">
        <v>26152319</v>
      </c>
      <c r="I398" s="616">
        <v>4.4900000000000002E-2</v>
      </c>
      <c r="J398" s="592"/>
      <c r="K398" s="589">
        <v>1174239.1231</v>
      </c>
      <c r="M398" s="616">
        <v>1.6400000000000001E-2</v>
      </c>
      <c r="N398" s="592"/>
      <c r="O398" s="589">
        <v>285932.0210666667</v>
      </c>
      <c r="Q398" s="616">
        <v>-2.52E-2</v>
      </c>
      <c r="R398" s="592"/>
      <c r="S398" s="589">
        <v>-659038.4388</v>
      </c>
      <c r="U398" s="604" t="s">
        <v>509</v>
      </c>
      <c r="V398" s="601">
        <v>4366512.4729000004</v>
      </c>
      <c r="W398" s="602">
        <v>1063263.6162666667</v>
      </c>
      <c r="X398" s="601">
        <v>-2450692.9692000002</v>
      </c>
      <c r="Y398" s="593">
        <v>4.4899999999999995E-2</v>
      </c>
      <c r="Z398" s="593">
        <v>1.6400000000000001E-2</v>
      </c>
      <c r="AA398" s="593">
        <v>-2.52E-2</v>
      </c>
    </row>
    <row r="399" spans="1:27">
      <c r="A399" s="585" t="s">
        <v>156</v>
      </c>
      <c r="C399" s="571">
        <v>285728059</v>
      </c>
      <c r="E399" s="603">
        <v>5.5063000000000004</v>
      </c>
      <c r="F399" s="592" t="s">
        <v>108</v>
      </c>
      <c r="G399" s="589">
        <v>15733044</v>
      </c>
      <c r="I399" s="616">
        <v>4.4900000000000002E-2</v>
      </c>
      <c r="J399" s="592"/>
      <c r="K399" s="589">
        <v>706413.67560000008</v>
      </c>
      <c r="M399" s="616">
        <v>1.6400000000000001E-2</v>
      </c>
      <c r="N399" s="592"/>
      <c r="O399" s="589">
        <v>172014.61440000002</v>
      </c>
      <c r="Q399" s="616">
        <v>-2.52E-2</v>
      </c>
      <c r="R399" s="592"/>
      <c r="S399" s="589">
        <v>-396472.70880000002</v>
      </c>
      <c r="U399" s="606" t="s">
        <v>22</v>
      </c>
      <c r="V399" s="607">
        <v>-4754.0561361722648</v>
      </c>
      <c r="W399" s="608">
        <v>1652.6448429310694</v>
      </c>
      <c r="X399" s="607">
        <v>4444.4955823118798</v>
      </c>
      <c r="Y399" s="593">
        <v>4.4900000000000002E-2</v>
      </c>
      <c r="Z399" s="593">
        <v>1.6400000000000001E-2</v>
      </c>
      <c r="AA399" s="593">
        <v>-2.52E-2</v>
      </c>
    </row>
    <row r="400" spans="1:27">
      <c r="A400" s="585" t="s">
        <v>157</v>
      </c>
      <c r="C400" s="571">
        <v>371991564</v>
      </c>
      <c r="E400" s="603">
        <v>9.0399999999999991</v>
      </c>
      <c r="F400" s="592" t="s">
        <v>108</v>
      </c>
      <c r="G400" s="589">
        <v>33628037</v>
      </c>
      <c r="I400" s="616">
        <v>4.4900000000000002E-2</v>
      </c>
      <c r="J400" s="592"/>
      <c r="K400" s="589">
        <v>1509898.8613</v>
      </c>
      <c r="M400" s="616">
        <v>1.6400000000000001E-2</v>
      </c>
      <c r="N400" s="592"/>
      <c r="O400" s="589">
        <v>367666.53786666668</v>
      </c>
      <c r="Q400" s="616">
        <v>-2.52E-2</v>
      </c>
      <c r="R400" s="592"/>
      <c r="S400" s="589">
        <v>-847426.53240000003</v>
      </c>
      <c r="U400" s="593" t="s">
        <v>510</v>
      </c>
      <c r="V400" s="610">
        <v>4.494888503624779E-2</v>
      </c>
      <c r="W400" s="611">
        <v>1.6374509260911951E-2</v>
      </c>
      <c r="X400" s="610">
        <v>-2.5245701885173655E-2</v>
      </c>
      <c r="Y400" s="593">
        <v>4.4900000000000002E-2</v>
      </c>
      <c r="Z400" s="593">
        <v>1.6400000000000001E-2</v>
      </c>
      <c r="AA400" s="593">
        <v>-2.52E-2</v>
      </c>
    </row>
    <row r="401" spans="1:27">
      <c r="A401" s="585" t="s">
        <v>158</v>
      </c>
      <c r="C401" s="571">
        <v>330822960.7588349</v>
      </c>
      <c r="E401" s="603">
        <v>5.0688000000000004</v>
      </c>
      <c r="F401" s="592" t="s">
        <v>108</v>
      </c>
      <c r="G401" s="589">
        <v>16768754</v>
      </c>
      <c r="I401" s="616">
        <v>4.4900000000000002E-2</v>
      </c>
      <c r="J401" s="592"/>
      <c r="K401" s="589">
        <v>752917.05460000003</v>
      </c>
      <c r="M401" s="616">
        <v>1.6400000000000001E-2</v>
      </c>
      <c r="N401" s="592"/>
      <c r="O401" s="589">
        <v>183338.3770666667</v>
      </c>
      <c r="Q401" s="616">
        <v>-2.52E-2</v>
      </c>
      <c r="R401" s="592"/>
      <c r="S401" s="589">
        <v>-422572.60080000001</v>
      </c>
      <c r="Y401" s="593">
        <v>4.4900000000000002E-2</v>
      </c>
      <c r="Z401" s="593">
        <v>1.6400000000000001E-2</v>
      </c>
      <c r="AA401" s="593">
        <v>-2.52E-2</v>
      </c>
    </row>
    <row r="402" spans="1:27">
      <c r="A402" s="585" t="s">
        <v>159</v>
      </c>
      <c r="C402" s="571">
        <v>0</v>
      </c>
      <c r="E402" s="587">
        <v>96</v>
      </c>
      <c r="F402" s="625"/>
      <c r="G402" s="589">
        <v>0</v>
      </c>
      <c r="I402" s="616"/>
      <c r="J402" s="625"/>
      <c r="K402" s="589"/>
      <c r="M402" s="616"/>
      <c r="N402" s="625"/>
      <c r="O402" s="589"/>
      <c r="Q402" s="616"/>
      <c r="R402" s="625"/>
      <c r="S402" s="589"/>
    </row>
    <row r="403" spans="1:27">
      <c r="A403" s="585" t="s">
        <v>132</v>
      </c>
      <c r="C403" s="617">
        <v>0</v>
      </c>
      <c r="G403" s="645"/>
      <c r="I403" s="640"/>
      <c r="K403" s="645"/>
      <c r="M403" s="640"/>
      <c r="O403" s="645"/>
      <c r="Q403" s="640"/>
      <c r="S403" s="645"/>
    </row>
    <row r="404" spans="1:27" ht="16.5" thickBot="1">
      <c r="A404" s="585" t="s">
        <v>134</v>
      </c>
      <c r="C404" s="641">
        <v>1254821516.7588348</v>
      </c>
      <c r="E404" s="631"/>
      <c r="G404" s="632">
        <v>104484166</v>
      </c>
      <c r="I404" s="642"/>
      <c r="K404" s="632">
        <v>4366512.4729000004</v>
      </c>
      <c r="M404" s="642"/>
      <c r="O404" s="632">
        <v>1063263.6162666667</v>
      </c>
      <c r="Q404" s="642"/>
      <c r="S404" s="632">
        <v>-2450692.9692000002</v>
      </c>
      <c r="V404" s="593">
        <v>4.1791140610721825E-2</v>
      </c>
      <c r="W404" s="593">
        <v>1.5264470067167881E-2</v>
      </c>
      <c r="X404" s="593">
        <v>-2.345516132272138E-2</v>
      </c>
      <c r="Y404" s="593">
        <v>4.1791140610721825E-2</v>
      </c>
      <c r="Z404" s="593">
        <v>1.5264470067167879E-2</v>
      </c>
      <c r="AA404" s="593">
        <v>-2.345516132272138E-2</v>
      </c>
    </row>
    <row r="405" spans="1:27" ht="16.5" thickTop="1"/>
    <row r="406" spans="1:27">
      <c r="A406" s="562" t="s">
        <v>368</v>
      </c>
      <c r="C406" s="571"/>
      <c r="E406" s="638"/>
      <c r="F406" s="636"/>
      <c r="I406" s="639"/>
      <c r="J406" s="636"/>
      <c r="M406" s="639"/>
      <c r="N406" s="636"/>
      <c r="Q406" s="639"/>
      <c r="R406" s="636"/>
    </row>
    <row r="407" spans="1:27">
      <c r="A407" s="696" t="s">
        <v>369</v>
      </c>
      <c r="C407" s="571"/>
    </row>
    <row r="408" spans="1:27">
      <c r="A408" s="585" t="s">
        <v>370</v>
      </c>
      <c r="B408" s="585"/>
      <c r="C408" s="571">
        <v>0</v>
      </c>
      <c r="E408" s="587">
        <v>104</v>
      </c>
      <c r="F408" s="588"/>
      <c r="G408" s="589">
        <v>0</v>
      </c>
      <c r="I408" s="616"/>
      <c r="J408" s="588"/>
      <c r="K408" s="589"/>
      <c r="M408" s="616"/>
      <c r="N408" s="588"/>
      <c r="O408" s="589"/>
      <c r="Q408" s="616"/>
      <c r="R408" s="588"/>
      <c r="S408" s="589"/>
    </row>
    <row r="409" spans="1:27">
      <c r="A409" s="585" t="s">
        <v>371</v>
      </c>
      <c r="B409" s="585"/>
      <c r="C409" s="571">
        <v>0</v>
      </c>
      <c r="E409" s="587">
        <v>3.81</v>
      </c>
      <c r="F409" s="588"/>
      <c r="G409" s="589">
        <v>0</v>
      </c>
      <c r="I409" s="616"/>
      <c r="J409" s="588"/>
      <c r="K409" s="589"/>
      <c r="M409" s="616"/>
      <c r="N409" s="588"/>
      <c r="O409" s="589"/>
      <c r="Q409" s="616"/>
      <c r="R409" s="588"/>
      <c r="S409" s="589"/>
    </row>
    <row r="410" spans="1:27">
      <c r="A410" s="585" t="s">
        <v>373</v>
      </c>
      <c r="B410" s="585"/>
      <c r="C410" s="571"/>
      <c r="E410" s="666"/>
      <c r="F410" s="644"/>
      <c r="G410" s="589"/>
      <c r="I410" s="605"/>
      <c r="J410" s="644"/>
      <c r="K410" s="589"/>
      <c r="M410" s="605"/>
      <c r="N410" s="644"/>
      <c r="O410" s="589"/>
      <c r="Q410" s="605"/>
      <c r="R410" s="644"/>
      <c r="S410" s="589"/>
    </row>
    <row r="411" spans="1:27">
      <c r="A411" s="585" t="s">
        <v>375</v>
      </c>
      <c r="B411" s="585"/>
      <c r="C411" s="571">
        <v>0</v>
      </c>
      <c r="E411" s="698">
        <v>0.52439999999999998</v>
      </c>
      <c r="F411" s="699"/>
      <c r="G411" s="589">
        <v>0</v>
      </c>
      <c r="I411" s="616"/>
      <c r="J411" s="699"/>
      <c r="K411" s="589"/>
      <c r="M411" s="616"/>
      <c r="N411" s="699"/>
      <c r="O411" s="589"/>
      <c r="Q411" s="616"/>
      <c r="R411" s="699"/>
      <c r="S411" s="589"/>
    </row>
    <row r="412" spans="1:27">
      <c r="A412" s="585" t="s">
        <v>377</v>
      </c>
      <c r="B412" s="585"/>
      <c r="C412" s="571">
        <v>0</v>
      </c>
      <c r="E412" s="700">
        <v>0.26219999999999999</v>
      </c>
      <c r="F412" s="701"/>
      <c r="G412" s="589">
        <v>0</v>
      </c>
      <c r="I412" s="605"/>
      <c r="J412" s="701"/>
      <c r="K412" s="589"/>
      <c r="M412" s="605"/>
      <c r="N412" s="701"/>
      <c r="O412" s="589"/>
      <c r="Q412" s="605"/>
      <c r="R412" s="701"/>
      <c r="S412" s="589"/>
    </row>
    <row r="413" spans="1:27">
      <c r="A413" s="585" t="s">
        <v>378</v>
      </c>
      <c r="B413" s="585"/>
      <c r="C413" s="571">
        <v>0</v>
      </c>
      <c r="E413" s="587">
        <v>49.4</v>
      </c>
      <c r="F413" s="588"/>
      <c r="G413" s="589">
        <v>0</v>
      </c>
      <c r="I413" s="616"/>
      <c r="J413" s="588"/>
      <c r="K413" s="589"/>
      <c r="M413" s="616"/>
      <c r="N413" s="588"/>
      <c r="O413" s="589"/>
      <c r="Q413" s="616"/>
      <c r="R413" s="588"/>
      <c r="S413" s="589"/>
    </row>
    <row r="414" spans="1:27">
      <c r="A414" s="696" t="s">
        <v>379</v>
      </c>
      <c r="C414" s="571"/>
      <c r="I414" s="640"/>
      <c r="M414" s="640"/>
      <c r="Q414" s="640"/>
    </row>
    <row r="415" spans="1:27">
      <c r="A415" s="585" t="s">
        <v>370</v>
      </c>
      <c r="C415" s="571">
        <v>24</v>
      </c>
      <c r="E415" s="587">
        <v>471</v>
      </c>
      <c r="F415" s="588"/>
      <c r="G415" s="589">
        <v>11304</v>
      </c>
      <c r="I415" s="616"/>
      <c r="J415" s="588"/>
      <c r="K415" s="589"/>
      <c r="M415" s="616"/>
      <c r="N415" s="588"/>
      <c r="O415" s="589"/>
      <c r="Q415" s="616"/>
      <c r="R415" s="588"/>
      <c r="S415" s="589"/>
    </row>
    <row r="416" spans="1:27">
      <c r="A416" s="585" t="s">
        <v>371</v>
      </c>
      <c r="C416" s="571">
        <v>36878</v>
      </c>
      <c r="E416" s="587">
        <v>2.99</v>
      </c>
      <c r="F416" s="588"/>
      <c r="G416" s="589">
        <v>110265</v>
      </c>
      <c r="I416" s="616"/>
      <c r="J416" s="588"/>
      <c r="K416" s="589"/>
      <c r="M416" s="616"/>
      <c r="N416" s="588"/>
      <c r="O416" s="589"/>
      <c r="Q416" s="616"/>
      <c r="R416" s="588"/>
      <c r="S416" s="589"/>
    </row>
    <row r="417" spans="1:27">
      <c r="A417" s="585" t="s">
        <v>373</v>
      </c>
      <c r="C417" s="571"/>
      <c r="E417" s="587"/>
      <c r="F417" s="588"/>
      <c r="G417" s="589"/>
      <c r="I417" s="616"/>
      <c r="J417" s="588"/>
      <c r="K417" s="589"/>
      <c r="M417" s="616"/>
      <c r="N417" s="588"/>
      <c r="O417" s="589"/>
      <c r="Q417" s="616"/>
      <c r="R417" s="588"/>
      <c r="S417" s="589"/>
    </row>
    <row r="418" spans="1:27">
      <c r="A418" s="585" t="s">
        <v>375</v>
      </c>
      <c r="C418" s="571">
        <v>237020</v>
      </c>
      <c r="E418" s="698">
        <v>0.51019999999999999</v>
      </c>
      <c r="F418" s="699"/>
      <c r="G418" s="589">
        <v>120928</v>
      </c>
      <c r="I418" s="616"/>
      <c r="J418" s="699"/>
      <c r="K418" s="589"/>
      <c r="M418" s="616"/>
      <c r="N418" s="699"/>
      <c r="O418" s="589"/>
      <c r="Q418" s="616"/>
      <c r="R418" s="699"/>
      <c r="S418" s="589"/>
    </row>
    <row r="419" spans="1:27">
      <c r="A419" s="585" t="s">
        <v>377</v>
      </c>
      <c r="C419" s="571">
        <v>38775</v>
      </c>
      <c r="E419" s="700">
        <v>0.25509999999999999</v>
      </c>
      <c r="F419" s="701"/>
      <c r="G419" s="589">
        <v>9892</v>
      </c>
      <c r="I419" s="605"/>
      <c r="J419" s="701"/>
      <c r="K419" s="589"/>
      <c r="M419" s="605"/>
      <c r="N419" s="701"/>
      <c r="O419" s="589"/>
      <c r="Q419" s="605"/>
      <c r="R419" s="701"/>
      <c r="S419" s="589"/>
    </row>
    <row r="420" spans="1:27">
      <c r="A420" s="585" t="s">
        <v>378</v>
      </c>
      <c r="C420" s="571">
        <v>141</v>
      </c>
      <c r="E420" s="587">
        <v>35.6</v>
      </c>
      <c r="F420" s="588"/>
      <c r="G420" s="589">
        <v>5020</v>
      </c>
      <c r="I420" s="616"/>
      <c r="J420" s="588"/>
      <c r="K420" s="589"/>
      <c r="M420" s="616"/>
      <c r="N420" s="588"/>
      <c r="O420" s="589"/>
      <c r="Q420" s="616"/>
      <c r="R420" s="588"/>
      <c r="S420" s="589"/>
    </row>
    <row r="421" spans="1:27">
      <c r="A421" s="696" t="s">
        <v>380</v>
      </c>
      <c r="C421" s="571"/>
      <c r="I421" s="640"/>
      <c r="M421" s="640"/>
      <c r="Q421" s="640"/>
    </row>
    <row r="422" spans="1:27">
      <c r="A422" s="585" t="s">
        <v>370</v>
      </c>
      <c r="C422" s="571">
        <v>0</v>
      </c>
      <c r="E422" s="587">
        <v>527</v>
      </c>
      <c r="F422" s="588"/>
      <c r="G422" s="589">
        <v>0</v>
      </c>
      <c r="I422" s="616"/>
      <c r="J422" s="588"/>
      <c r="K422" s="589"/>
      <c r="M422" s="616"/>
      <c r="N422" s="588"/>
      <c r="O422" s="589"/>
      <c r="Q422" s="616"/>
      <c r="R422" s="588"/>
      <c r="S422" s="589"/>
    </row>
    <row r="423" spans="1:27">
      <c r="A423" s="585" t="s">
        <v>371</v>
      </c>
      <c r="C423" s="571">
        <v>0</v>
      </c>
      <c r="E423" s="587">
        <v>1.7</v>
      </c>
      <c r="F423" s="625"/>
      <c r="G423" s="589">
        <v>0</v>
      </c>
      <c r="I423" s="616"/>
      <c r="J423" s="625"/>
      <c r="K423" s="589"/>
      <c r="M423" s="616"/>
      <c r="N423" s="625"/>
      <c r="O423" s="589"/>
      <c r="Q423" s="616"/>
      <c r="R423" s="625"/>
      <c r="S423" s="589"/>
    </row>
    <row r="424" spans="1:27">
      <c r="A424" s="585" t="s">
        <v>373</v>
      </c>
      <c r="C424" s="571"/>
      <c r="E424" s="666"/>
      <c r="F424" s="644"/>
      <c r="G424" s="589"/>
      <c r="I424" s="605"/>
      <c r="J424" s="644"/>
      <c r="K424" s="589"/>
      <c r="M424" s="605"/>
      <c r="N424" s="644"/>
      <c r="O424" s="589"/>
      <c r="Q424" s="605"/>
      <c r="R424" s="644"/>
      <c r="S424" s="589"/>
    </row>
    <row r="425" spans="1:27">
      <c r="A425" s="585" t="s">
        <v>375</v>
      </c>
      <c r="C425" s="571">
        <v>0</v>
      </c>
      <c r="E425" s="698">
        <v>0.40079999999999999</v>
      </c>
      <c r="F425" s="699"/>
      <c r="G425" s="589">
        <v>0</v>
      </c>
      <c r="I425" s="616"/>
      <c r="J425" s="699"/>
      <c r="K425" s="589"/>
      <c r="M425" s="616"/>
      <c r="N425" s="699"/>
      <c r="O425" s="589"/>
      <c r="Q425" s="616"/>
      <c r="R425" s="699"/>
      <c r="S425" s="589"/>
    </row>
    <row r="426" spans="1:27">
      <c r="A426" s="585" t="s">
        <v>377</v>
      </c>
      <c r="C426" s="571">
        <v>0</v>
      </c>
      <c r="E426" s="700">
        <v>0.20039999999999999</v>
      </c>
      <c r="F426" s="701"/>
      <c r="G426" s="589">
        <v>0</v>
      </c>
      <c r="I426" s="605"/>
      <c r="J426" s="701"/>
      <c r="K426" s="589"/>
      <c r="M426" s="605"/>
      <c r="N426" s="701"/>
      <c r="O426" s="589"/>
      <c r="Q426" s="605"/>
      <c r="R426" s="701"/>
      <c r="S426" s="589"/>
    </row>
    <row r="427" spans="1:27">
      <c r="A427" s="585" t="s">
        <v>378</v>
      </c>
      <c r="C427" s="571">
        <v>0</v>
      </c>
      <c r="E427" s="587">
        <v>34.28</v>
      </c>
      <c r="F427" s="588"/>
      <c r="G427" s="589">
        <v>0</v>
      </c>
      <c r="I427" s="616"/>
      <c r="J427" s="588"/>
      <c r="K427" s="589"/>
      <c r="M427" s="616"/>
      <c r="N427" s="588"/>
      <c r="O427" s="589"/>
      <c r="Q427" s="616"/>
      <c r="R427" s="588"/>
      <c r="S427" s="589"/>
    </row>
    <row r="428" spans="1:27">
      <c r="A428" s="570" t="s">
        <v>216</v>
      </c>
      <c r="C428" s="685">
        <v>0</v>
      </c>
      <c r="E428" s="638"/>
      <c r="F428" s="636"/>
      <c r="G428" s="645"/>
      <c r="I428" s="605"/>
      <c r="J428" s="636"/>
      <c r="K428" s="645"/>
      <c r="M428" s="605"/>
      <c r="N428" s="636"/>
      <c r="O428" s="645"/>
      <c r="Q428" s="605"/>
      <c r="R428" s="636"/>
      <c r="S428" s="645"/>
    </row>
    <row r="429" spans="1:27" ht="16.5" thickBot="1">
      <c r="A429" s="585" t="s">
        <v>134</v>
      </c>
      <c r="C429" s="683">
        <v>0</v>
      </c>
      <c r="E429" s="631"/>
      <c r="G429" s="632">
        <v>257409</v>
      </c>
      <c r="I429" s="642"/>
      <c r="K429" s="632">
        <v>0</v>
      </c>
      <c r="M429" s="642"/>
      <c r="O429" s="632">
        <v>0</v>
      </c>
      <c r="Q429" s="642"/>
      <c r="S429" s="632">
        <v>0</v>
      </c>
      <c r="Y429" s="593">
        <v>0</v>
      </c>
      <c r="Z429" s="593">
        <v>0</v>
      </c>
      <c r="AA429" s="593">
        <v>0</v>
      </c>
    </row>
    <row r="430" spans="1:27" ht="16.5" thickTop="1">
      <c r="A430" s="696" t="s">
        <v>381</v>
      </c>
    </row>
    <row r="431" spans="1:27">
      <c r="A431" s="562" t="s">
        <v>382</v>
      </c>
      <c r="C431" s="571"/>
      <c r="E431" s="666"/>
      <c r="F431" s="644"/>
      <c r="G431" s="589"/>
      <c r="I431" s="639"/>
      <c r="J431" s="644"/>
      <c r="K431" s="589"/>
      <c r="M431" s="639"/>
      <c r="N431" s="644"/>
      <c r="O431" s="589"/>
      <c r="Q431" s="639"/>
      <c r="R431" s="644"/>
      <c r="S431" s="589"/>
    </row>
    <row r="432" spans="1:27">
      <c r="A432" s="585" t="s">
        <v>161</v>
      </c>
      <c r="C432" s="571">
        <v>0</v>
      </c>
      <c r="E432" s="666">
        <v>15.16</v>
      </c>
      <c r="F432" s="644"/>
      <c r="G432" s="589">
        <v>0</v>
      </c>
      <c r="I432" s="639"/>
      <c r="J432" s="644"/>
      <c r="K432" s="589"/>
      <c r="M432" s="639"/>
      <c r="N432" s="644"/>
      <c r="O432" s="589"/>
      <c r="Q432" s="616"/>
      <c r="R432" s="644"/>
      <c r="S432" s="589"/>
      <c r="V432" s="593"/>
      <c r="W432" s="593"/>
      <c r="X432" s="593"/>
    </row>
    <row r="433" spans="1:27">
      <c r="A433" s="585" t="s">
        <v>162</v>
      </c>
      <c r="C433" s="571">
        <v>0</v>
      </c>
      <c r="E433" s="666">
        <v>12.17</v>
      </c>
      <c r="F433" s="644"/>
      <c r="G433" s="589">
        <v>0</v>
      </c>
      <c r="I433" s="639"/>
      <c r="J433" s="644"/>
      <c r="K433" s="589"/>
      <c r="M433" s="639"/>
      <c r="N433" s="644"/>
      <c r="O433" s="589"/>
      <c r="Q433" s="616"/>
      <c r="R433" s="644"/>
      <c r="S433" s="589"/>
      <c r="V433" s="593"/>
      <c r="W433" s="593"/>
      <c r="X433" s="593"/>
    </row>
    <row r="434" spans="1:27">
      <c r="A434" s="585" t="s">
        <v>154</v>
      </c>
      <c r="C434" s="571">
        <v>0</v>
      </c>
      <c r="E434" s="666">
        <v>-0.78</v>
      </c>
      <c r="F434" s="644"/>
      <c r="G434" s="589">
        <v>0</v>
      </c>
      <c r="I434" s="639"/>
      <c r="J434" s="644"/>
      <c r="K434" s="589"/>
      <c r="M434" s="639"/>
      <c r="N434" s="644"/>
      <c r="O434" s="589"/>
      <c r="Q434" s="639"/>
      <c r="R434" s="644"/>
      <c r="S434" s="589"/>
    </row>
    <row r="435" spans="1:27">
      <c r="A435" s="585" t="s">
        <v>149</v>
      </c>
      <c r="C435" s="571">
        <v>0</v>
      </c>
      <c r="E435" s="638"/>
      <c r="F435" s="592"/>
      <c r="G435" s="589"/>
      <c r="I435" s="639"/>
      <c r="J435" s="592"/>
      <c r="K435" s="589"/>
      <c r="M435" s="639"/>
      <c r="N435" s="592"/>
      <c r="O435" s="589"/>
      <c r="Q435" s="639"/>
      <c r="R435" s="592"/>
      <c r="S435" s="589"/>
    </row>
    <row r="436" spans="1:27">
      <c r="A436" s="585" t="s">
        <v>163</v>
      </c>
      <c r="C436" s="571">
        <v>0</v>
      </c>
      <c r="E436" s="638">
        <v>3.1907000000000001</v>
      </c>
      <c r="F436" s="592" t="s">
        <v>108</v>
      </c>
      <c r="G436" s="589">
        <v>0</v>
      </c>
      <c r="I436" s="639"/>
      <c r="J436" s="592"/>
      <c r="K436" s="589"/>
      <c r="M436" s="639"/>
      <c r="N436" s="592"/>
      <c r="O436" s="589"/>
      <c r="Q436" s="639"/>
      <c r="R436" s="592"/>
      <c r="S436" s="589"/>
      <c r="V436" s="593"/>
      <c r="W436" s="593"/>
      <c r="X436" s="593"/>
    </row>
    <row r="437" spans="1:27">
      <c r="A437" s="585" t="s">
        <v>164</v>
      </c>
      <c r="C437" s="571">
        <v>0</v>
      </c>
      <c r="E437" s="638">
        <v>2.9416000000000002</v>
      </c>
      <c r="F437" s="592" t="s">
        <v>108</v>
      </c>
      <c r="G437" s="589">
        <v>0</v>
      </c>
      <c r="I437" s="639"/>
      <c r="J437" s="592"/>
      <c r="K437" s="589"/>
      <c r="M437" s="639"/>
      <c r="N437" s="592"/>
      <c r="O437" s="589"/>
      <c r="Q437" s="639"/>
      <c r="R437" s="592"/>
      <c r="S437" s="589"/>
      <c r="V437" s="593"/>
      <c r="W437" s="593"/>
      <c r="X437" s="593"/>
    </row>
    <row r="438" spans="1:27">
      <c r="A438" s="562" t="s">
        <v>383</v>
      </c>
      <c r="C438" s="571"/>
      <c r="E438" s="666"/>
      <c r="F438" s="644"/>
      <c r="G438" s="589"/>
      <c r="I438" s="639"/>
      <c r="J438" s="644"/>
      <c r="K438" s="589"/>
      <c r="M438" s="639"/>
      <c r="N438" s="644"/>
      <c r="O438" s="589"/>
      <c r="Q438" s="639"/>
      <c r="R438" s="644"/>
      <c r="S438" s="589"/>
    </row>
    <row r="439" spans="1:27">
      <c r="A439" s="585" t="s">
        <v>220</v>
      </c>
      <c r="C439" s="571">
        <v>5401</v>
      </c>
      <c r="E439" s="666">
        <v>3.77</v>
      </c>
      <c r="F439" s="644"/>
      <c r="G439" s="589">
        <v>20362</v>
      </c>
      <c r="I439" s="639"/>
      <c r="J439" s="644"/>
      <c r="K439" s="589"/>
      <c r="M439" s="639"/>
      <c r="N439" s="644"/>
      <c r="O439" s="589"/>
      <c r="Q439" s="639"/>
      <c r="R439" s="644"/>
      <c r="S439" s="589"/>
    </row>
    <row r="440" spans="1:27">
      <c r="A440" s="585" t="s">
        <v>221</v>
      </c>
      <c r="C440" s="571">
        <v>957</v>
      </c>
      <c r="E440" s="666">
        <v>12.33</v>
      </c>
      <c r="F440" s="644"/>
      <c r="G440" s="589">
        <v>11800</v>
      </c>
      <c r="I440" s="616">
        <v>5.5599999999999997E-2</v>
      </c>
      <c r="J440" s="592"/>
      <c r="K440" s="589">
        <v>656.07999999999993</v>
      </c>
      <c r="M440" s="616">
        <v>2.0500000000000001E-2</v>
      </c>
      <c r="N440" s="592"/>
      <c r="O440" s="589">
        <v>161.26666666666668</v>
      </c>
      <c r="Q440" s="616">
        <v>-3.1199999999999999E-2</v>
      </c>
      <c r="R440" s="592"/>
      <c r="S440" s="589">
        <v>-368.15999999999997</v>
      </c>
      <c r="V440" s="593">
        <v>4.5093268450932681E-3</v>
      </c>
      <c r="W440" s="593">
        <v>1.6626115166261152E-3</v>
      </c>
      <c r="X440" s="593">
        <v>-2.5304136253041362E-3</v>
      </c>
      <c r="Y440" s="593">
        <v>5.5599999999999997E-2</v>
      </c>
      <c r="Z440" s="593">
        <v>2.0500000000000001E-2</v>
      </c>
      <c r="AA440" s="593">
        <v>-3.1199999999999999E-2</v>
      </c>
    </row>
    <row r="441" spans="1:27">
      <c r="A441" s="585" t="s">
        <v>222</v>
      </c>
      <c r="C441" s="571">
        <v>19937</v>
      </c>
      <c r="E441" s="666">
        <v>8.8800000000000008</v>
      </c>
      <c r="F441" s="644"/>
      <c r="G441" s="589">
        <v>177041</v>
      </c>
      <c r="I441" s="616">
        <v>5.5599999999999997E-2</v>
      </c>
      <c r="J441" s="592"/>
      <c r="K441" s="589">
        <v>9843.4795999999988</v>
      </c>
      <c r="M441" s="616">
        <v>2.0500000000000001E-2</v>
      </c>
      <c r="N441" s="592"/>
      <c r="O441" s="589">
        <v>2419.5603333333333</v>
      </c>
      <c r="Q441" s="616">
        <v>-3.1199999999999999E-2</v>
      </c>
      <c r="R441" s="592"/>
      <c r="S441" s="589">
        <v>-5523.6791999999996</v>
      </c>
      <c r="V441" s="593">
        <v>6.2612612612612606E-3</v>
      </c>
      <c r="W441" s="593">
        <v>2.3085585585585584E-3</v>
      </c>
      <c r="X441" s="593">
        <v>-3.5135135135135132E-3</v>
      </c>
      <c r="Y441" s="593">
        <v>5.559999999999999E-2</v>
      </c>
      <c r="Z441" s="593">
        <v>2.0500000000000001E-2</v>
      </c>
      <c r="AA441" s="593">
        <v>-3.1199999999999999E-2</v>
      </c>
    </row>
    <row r="442" spans="1:27">
      <c r="A442" s="585" t="s">
        <v>154</v>
      </c>
      <c r="C442" s="571">
        <v>20894</v>
      </c>
      <c r="E442" s="666">
        <v>-0.9</v>
      </c>
      <c r="F442" s="644"/>
      <c r="G442" s="589">
        <v>-18805</v>
      </c>
      <c r="I442" s="639"/>
      <c r="J442" s="644"/>
      <c r="K442" s="589"/>
      <c r="M442" s="639"/>
      <c r="N442" s="644"/>
      <c r="O442" s="589"/>
      <c r="Q442" s="639"/>
      <c r="R442" s="644"/>
      <c r="S442" s="589"/>
    </row>
    <row r="443" spans="1:27">
      <c r="A443" s="585" t="s">
        <v>143</v>
      </c>
      <c r="C443" s="571">
        <v>1267360</v>
      </c>
      <c r="E443" s="638">
        <v>4.0021000000000004</v>
      </c>
      <c r="F443" s="592" t="s">
        <v>108</v>
      </c>
      <c r="G443" s="589">
        <v>50721</v>
      </c>
      <c r="I443" s="616">
        <v>5.5599999999999997E-2</v>
      </c>
      <c r="J443" s="592"/>
      <c r="K443" s="589">
        <v>2820.0875999999998</v>
      </c>
      <c r="M443" s="616">
        <v>2.0500000000000001E-2</v>
      </c>
      <c r="N443" s="592"/>
      <c r="O443" s="589">
        <v>693.18700000000001</v>
      </c>
      <c r="Q443" s="616">
        <v>-3.1199999999999999E-2</v>
      </c>
      <c r="R443" s="592"/>
      <c r="S443" s="589">
        <v>-1582.4951999999998</v>
      </c>
      <c r="V443" s="593">
        <v>1.389270632917718E-2</v>
      </c>
      <c r="W443" s="593">
        <v>5.1223107868369104E-3</v>
      </c>
      <c r="X443" s="593">
        <v>-7.7959071487469066E-3</v>
      </c>
      <c r="Y443" s="593">
        <v>5.5599999999999997E-2</v>
      </c>
      <c r="Z443" s="593">
        <v>2.0500000000000001E-2</v>
      </c>
      <c r="AA443" s="593">
        <v>-3.1199999999999999E-2</v>
      </c>
    </row>
    <row r="444" spans="1:27">
      <c r="A444" s="585" t="s">
        <v>179</v>
      </c>
      <c r="C444" s="571">
        <v>5078886</v>
      </c>
      <c r="E444" s="638">
        <v>3.1328</v>
      </c>
      <c r="F444" s="592" t="s">
        <v>108</v>
      </c>
      <c r="G444" s="589">
        <v>159111</v>
      </c>
      <c r="I444" s="616">
        <v>5.5599999999999997E-2</v>
      </c>
      <c r="J444" s="592"/>
      <c r="K444" s="589">
        <v>8846.5715999999993</v>
      </c>
      <c r="M444" s="616">
        <v>2.0500000000000001E-2</v>
      </c>
      <c r="N444" s="592"/>
      <c r="O444" s="589">
        <v>2174.5170000000003</v>
      </c>
      <c r="Q444" s="616">
        <v>-3.1199999999999999E-2</v>
      </c>
      <c r="R444" s="592"/>
      <c r="S444" s="589">
        <v>-4964.2631999999994</v>
      </c>
      <c r="V444" s="593">
        <v>1.7747701736465782E-2</v>
      </c>
      <c r="W444" s="593">
        <v>6.5436670071501533E-3</v>
      </c>
      <c r="X444" s="593">
        <v>-9.9591419816138903E-3</v>
      </c>
      <c r="Y444" s="593">
        <v>5.5599999999999997E-2</v>
      </c>
      <c r="Z444" s="593">
        <v>2.0500000000000004E-2</v>
      </c>
      <c r="AA444" s="593">
        <v>-3.1199999999999995E-2</v>
      </c>
    </row>
    <row r="445" spans="1:27">
      <c r="A445" s="585" t="s">
        <v>223</v>
      </c>
      <c r="C445" s="571">
        <v>7276064.7529059332</v>
      </c>
      <c r="E445" s="638">
        <v>2.6987000000000001</v>
      </c>
      <c r="F445" s="592" t="s">
        <v>108</v>
      </c>
      <c r="G445" s="589">
        <v>196359</v>
      </c>
      <c r="I445" s="616">
        <v>5.5599999999999997E-2</v>
      </c>
      <c r="J445" s="592"/>
      <c r="K445" s="589">
        <v>10917.560399999998</v>
      </c>
      <c r="M445" s="616">
        <v>2.0500000000000001E-2</v>
      </c>
      <c r="N445" s="592"/>
      <c r="O445" s="589">
        <v>2683.5729999999999</v>
      </c>
      <c r="Q445" s="616">
        <v>-3.1199999999999999E-2</v>
      </c>
      <c r="R445" s="592"/>
      <c r="S445" s="589">
        <v>-6126.4007999999994</v>
      </c>
      <c r="V445" s="593">
        <v>2.0602512320747026E-2</v>
      </c>
      <c r="W445" s="593">
        <v>7.596250046318598E-3</v>
      </c>
      <c r="X445" s="593">
        <v>-1.1561122021714158E-2</v>
      </c>
      <c r="Y445" s="593">
        <v>5.559999999999999E-2</v>
      </c>
      <c r="Z445" s="593">
        <v>2.0499999999999997E-2</v>
      </c>
      <c r="AA445" s="593">
        <v>-3.1199999999999999E-2</v>
      </c>
    </row>
    <row r="446" spans="1:27">
      <c r="A446" s="562" t="s">
        <v>384</v>
      </c>
      <c r="C446" s="571"/>
      <c r="E446" s="666"/>
      <c r="F446" s="644"/>
      <c r="G446" s="589"/>
      <c r="I446" s="639"/>
      <c r="J446" s="644"/>
      <c r="K446" s="589"/>
      <c r="M446" s="639"/>
      <c r="N446" s="644"/>
      <c r="O446" s="589"/>
      <c r="Q446" s="639"/>
      <c r="R446" s="644"/>
      <c r="S446" s="589"/>
    </row>
    <row r="447" spans="1:27">
      <c r="A447" s="585" t="s">
        <v>220</v>
      </c>
      <c r="C447" s="571">
        <v>0</v>
      </c>
      <c r="E447" s="666">
        <v>1.71</v>
      </c>
      <c r="F447" s="644"/>
      <c r="G447" s="589">
        <v>0</v>
      </c>
      <c r="I447" s="639"/>
      <c r="J447" s="644"/>
      <c r="K447" s="589"/>
      <c r="M447" s="639"/>
      <c r="N447" s="644"/>
      <c r="O447" s="589"/>
      <c r="Q447" s="639"/>
      <c r="R447" s="644"/>
      <c r="S447" s="589"/>
    </row>
    <row r="448" spans="1:27">
      <c r="A448" s="585" t="s">
        <v>221</v>
      </c>
      <c r="C448" s="571">
        <v>0</v>
      </c>
      <c r="E448" s="666">
        <v>10.76</v>
      </c>
      <c r="F448" s="644"/>
      <c r="G448" s="589">
        <v>0</v>
      </c>
      <c r="I448" s="639"/>
      <c r="J448" s="644"/>
      <c r="K448" s="589"/>
      <c r="M448" s="639"/>
      <c r="N448" s="644"/>
      <c r="O448" s="589"/>
      <c r="Q448" s="616"/>
      <c r="R448" s="644"/>
      <c r="S448" s="589"/>
      <c r="V448" s="593"/>
      <c r="W448" s="593"/>
      <c r="X448" s="593"/>
    </row>
    <row r="449" spans="1:27">
      <c r="A449" s="585" t="s">
        <v>222</v>
      </c>
      <c r="C449" s="571">
        <v>0</v>
      </c>
      <c r="E449" s="666">
        <v>7.3</v>
      </c>
      <c r="F449" s="644"/>
      <c r="G449" s="589">
        <v>0</v>
      </c>
      <c r="I449" s="639"/>
      <c r="J449" s="644"/>
      <c r="K449" s="589"/>
      <c r="M449" s="639"/>
      <c r="N449" s="644"/>
      <c r="O449" s="589"/>
      <c r="Q449" s="616"/>
      <c r="R449" s="644"/>
      <c r="S449" s="589"/>
      <c r="V449" s="593"/>
      <c r="W449" s="593"/>
      <c r="X449" s="593"/>
    </row>
    <row r="450" spans="1:27">
      <c r="A450" s="585" t="s">
        <v>228</v>
      </c>
      <c r="C450" s="571">
        <v>0</v>
      </c>
      <c r="E450" s="702">
        <v>3.5857999999999999</v>
      </c>
      <c r="F450" s="592" t="s">
        <v>108</v>
      </c>
      <c r="G450" s="589">
        <v>0</v>
      </c>
      <c r="I450" s="639"/>
      <c r="J450" s="592"/>
      <c r="K450" s="589"/>
      <c r="M450" s="639"/>
      <c r="N450" s="592"/>
      <c r="O450" s="589"/>
      <c r="Q450" s="616"/>
      <c r="R450" s="592"/>
      <c r="S450" s="589"/>
      <c r="V450" s="593"/>
      <c r="W450" s="593"/>
      <c r="X450" s="593"/>
    </row>
    <row r="451" spans="1:27">
      <c r="A451" s="585" t="s">
        <v>229</v>
      </c>
      <c r="C451" s="571">
        <v>0</v>
      </c>
      <c r="E451" s="702">
        <v>2.6962999999999999</v>
      </c>
      <c r="F451" s="592" t="s">
        <v>108</v>
      </c>
      <c r="G451" s="589">
        <v>0</v>
      </c>
      <c r="I451" s="639"/>
      <c r="J451" s="592"/>
      <c r="K451" s="589"/>
      <c r="M451" s="639"/>
      <c r="N451" s="592"/>
      <c r="O451" s="589"/>
      <c r="Q451" s="616"/>
      <c r="R451" s="592"/>
      <c r="S451" s="589"/>
      <c r="V451" s="593"/>
      <c r="W451" s="593"/>
      <c r="X451" s="593"/>
    </row>
    <row r="452" spans="1:27">
      <c r="A452" s="585" t="s">
        <v>223</v>
      </c>
      <c r="C452" s="703">
        <v>0</v>
      </c>
      <c r="E452" s="704">
        <v>2.2517999999999998</v>
      </c>
      <c r="F452" s="592" t="s">
        <v>108</v>
      </c>
      <c r="G452" s="669">
        <v>0</v>
      </c>
      <c r="I452" s="705"/>
      <c r="J452" s="592"/>
      <c r="K452" s="669"/>
      <c r="M452" s="705"/>
      <c r="N452" s="592"/>
      <c r="O452" s="669"/>
      <c r="Q452" s="616"/>
      <c r="R452" s="592"/>
      <c r="S452" s="669"/>
      <c r="V452" s="593"/>
      <c r="W452" s="593"/>
      <c r="X452" s="593"/>
    </row>
    <row r="453" spans="1:27" ht="16.5" thickBot="1">
      <c r="A453" s="585" t="s">
        <v>385</v>
      </c>
      <c r="C453" s="641">
        <v>13622310.752905933</v>
      </c>
      <c r="E453" s="631"/>
      <c r="G453" s="632">
        <v>853998</v>
      </c>
      <c r="I453" s="633"/>
      <c r="K453" s="632">
        <v>33083.779199999997</v>
      </c>
      <c r="M453" s="633"/>
      <c r="O453" s="632">
        <v>8132.1040000000012</v>
      </c>
      <c r="Q453" s="633"/>
      <c r="S453" s="632">
        <v>-18564.998399999997</v>
      </c>
      <c r="V453" s="593">
        <v>3.8739879016110104E-2</v>
      </c>
      <c r="W453" s="593">
        <v>9.5223923241038056E-3</v>
      </c>
      <c r="X453" s="593">
        <v>-2.1738924915515021E-2</v>
      </c>
      <c r="Y453" s="593">
        <v>3.8739879016110104E-2</v>
      </c>
      <c r="Z453" s="593">
        <v>1.4283588486155708E-2</v>
      </c>
      <c r="AA453" s="593">
        <v>-2.1738924915515021E-2</v>
      </c>
    </row>
    <row r="454" spans="1:27" ht="16.5" thickTop="1"/>
    <row r="455" spans="1:27">
      <c r="A455" s="562" t="s">
        <v>389</v>
      </c>
      <c r="C455" s="571"/>
    </row>
    <row r="456" spans="1:27">
      <c r="A456" s="585" t="s">
        <v>104</v>
      </c>
      <c r="C456" s="571">
        <v>12</v>
      </c>
      <c r="E456" s="638"/>
      <c r="F456" s="636"/>
      <c r="G456" s="706">
        <v>2123.9399999999996</v>
      </c>
      <c r="I456" s="626"/>
      <c r="J456" s="636"/>
      <c r="K456" s="706"/>
      <c r="M456" s="626"/>
      <c r="N456" s="636"/>
      <c r="O456" s="706"/>
      <c r="Q456" s="626"/>
      <c r="R456" s="636"/>
      <c r="S456" s="706"/>
    </row>
    <row r="457" spans="1:27">
      <c r="A457" s="585" t="s">
        <v>390</v>
      </c>
      <c r="C457" s="571">
        <v>1142724</v>
      </c>
      <c r="E457" s="638"/>
      <c r="F457" s="636"/>
      <c r="G457" s="706">
        <v>10892880.449144455</v>
      </c>
      <c r="I457" s="626"/>
      <c r="J457" s="636"/>
      <c r="K457" s="706"/>
      <c r="M457" s="626"/>
      <c r="N457" s="636"/>
      <c r="O457" s="706"/>
      <c r="Q457" s="626"/>
      <c r="R457" s="636"/>
      <c r="S457" s="706"/>
    </row>
    <row r="458" spans="1:27">
      <c r="A458" s="585" t="s">
        <v>391</v>
      </c>
      <c r="C458" s="571">
        <v>1198977</v>
      </c>
      <c r="E458" s="638"/>
      <c r="F458" s="636"/>
      <c r="G458" s="706">
        <v>0</v>
      </c>
      <c r="I458" s="626"/>
      <c r="J458" s="636"/>
      <c r="K458" s="706"/>
      <c r="M458" s="626"/>
      <c r="N458" s="636"/>
      <c r="O458" s="706"/>
      <c r="Q458" s="626"/>
      <c r="R458" s="636"/>
      <c r="S458" s="706"/>
    </row>
    <row r="459" spans="1:27">
      <c r="A459" s="585" t="s">
        <v>392</v>
      </c>
      <c r="C459" s="571">
        <v>267114323</v>
      </c>
      <c r="E459" s="707"/>
      <c r="F459" s="708"/>
      <c r="G459" s="706">
        <v>7780277.6056262106</v>
      </c>
      <c r="I459" s="626"/>
      <c r="J459" s="708"/>
      <c r="K459" s="706"/>
      <c r="M459" s="626"/>
      <c r="N459" s="708"/>
      <c r="O459" s="706"/>
      <c r="Q459" s="626"/>
      <c r="R459" s="708"/>
      <c r="S459" s="706"/>
    </row>
    <row r="460" spans="1:27">
      <c r="A460" s="585" t="s">
        <v>393</v>
      </c>
      <c r="C460" s="571">
        <v>342038300.09099996</v>
      </c>
      <c r="E460" s="707"/>
      <c r="F460" s="709"/>
      <c r="G460" s="706">
        <v>7218482.9019324686</v>
      </c>
      <c r="I460" s="626"/>
      <c r="J460" s="709"/>
      <c r="K460" s="706"/>
      <c r="M460" s="626"/>
      <c r="N460" s="709"/>
      <c r="O460" s="706"/>
      <c r="Q460" s="626"/>
      <c r="R460" s="709"/>
      <c r="S460" s="706"/>
    </row>
    <row r="461" spans="1:27">
      <c r="A461" s="585" t="s">
        <v>525</v>
      </c>
      <c r="C461" s="571"/>
      <c r="G461" s="589">
        <v>18673158.054770663</v>
      </c>
      <c r="K461" s="652"/>
      <c r="O461" s="652"/>
      <c r="S461" s="652"/>
    </row>
    <row r="462" spans="1:27">
      <c r="A462" s="585" t="s">
        <v>526</v>
      </c>
      <c r="C462" s="617"/>
      <c r="G462" s="645">
        <v>7218482.9019324686</v>
      </c>
      <c r="K462" s="710"/>
      <c r="O462" s="710"/>
      <c r="S462" s="710"/>
    </row>
    <row r="463" spans="1:27" ht="16.5" thickBot="1">
      <c r="A463" s="585" t="s">
        <v>134</v>
      </c>
      <c r="C463" s="641">
        <v>609152623.09099996</v>
      </c>
      <c r="E463" s="635"/>
      <c r="F463" s="636"/>
      <c r="G463" s="711">
        <v>25893764.896703135</v>
      </c>
      <c r="I463" s="637"/>
      <c r="J463" s="636"/>
      <c r="K463" s="711"/>
      <c r="M463" s="637"/>
      <c r="N463" s="636"/>
      <c r="O463" s="711"/>
      <c r="Q463" s="637"/>
      <c r="R463" s="636"/>
      <c r="S463" s="711"/>
    </row>
    <row r="464" spans="1:27" ht="16.5" thickTop="1">
      <c r="C464" s="571"/>
      <c r="G464" s="712"/>
      <c r="K464" s="712"/>
      <c r="O464" s="712"/>
      <c r="S464" s="712"/>
    </row>
    <row r="465" spans="1:27">
      <c r="A465" s="713" t="s">
        <v>394</v>
      </c>
      <c r="B465" s="572"/>
      <c r="C465" s="571"/>
      <c r="E465" s="638"/>
      <c r="F465" s="636"/>
      <c r="G465" s="650"/>
      <c r="I465" s="639"/>
      <c r="J465" s="636"/>
      <c r="K465" s="650"/>
      <c r="M465" s="639"/>
      <c r="N465" s="636"/>
      <c r="O465" s="650"/>
      <c r="Q465" s="639"/>
      <c r="R465" s="636"/>
      <c r="S465" s="650"/>
    </row>
    <row r="466" spans="1:27">
      <c r="A466" s="614" t="s">
        <v>104</v>
      </c>
      <c r="B466" s="572"/>
      <c r="C466" s="571">
        <v>12</v>
      </c>
      <c r="G466" s="650"/>
      <c r="K466" s="650"/>
      <c r="O466" s="650"/>
      <c r="S466" s="650"/>
    </row>
    <row r="467" spans="1:27">
      <c r="A467" s="614" t="s">
        <v>527</v>
      </c>
      <c r="B467" s="572"/>
      <c r="C467" s="571">
        <v>0</v>
      </c>
      <c r="G467" s="652">
        <v>0</v>
      </c>
      <c r="K467" s="652"/>
      <c r="O467" s="652"/>
      <c r="S467" s="652"/>
    </row>
    <row r="468" spans="1:27">
      <c r="A468" s="614" t="s">
        <v>395</v>
      </c>
      <c r="B468" s="572"/>
      <c r="C468" s="571">
        <v>915454902.75</v>
      </c>
      <c r="E468" s="393"/>
      <c r="F468" s="394"/>
      <c r="G468" s="589">
        <v>25732719.70820833</v>
      </c>
      <c r="I468" s="714"/>
      <c r="J468" s="394"/>
      <c r="K468" s="589"/>
      <c r="M468" s="714"/>
      <c r="N468" s="394"/>
      <c r="O468" s="589"/>
      <c r="Q468" s="714"/>
      <c r="R468" s="394"/>
      <c r="S468" s="589"/>
    </row>
    <row r="469" spans="1:27">
      <c r="A469" s="614" t="s">
        <v>528</v>
      </c>
      <c r="B469" s="572"/>
      <c r="C469" s="617">
        <v>35372388.25</v>
      </c>
      <c r="E469" s="638"/>
      <c r="F469" s="636"/>
      <c r="G469" s="710">
        <v>3437499.2613903093</v>
      </c>
      <c r="I469" s="639"/>
      <c r="J469" s="636"/>
      <c r="K469" s="710"/>
      <c r="M469" s="639"/>
      <c r="N469" s="636"/>
      <c r="O469" s="710"/>
      <c r="Q469" s="639"/>
      <c r="R469" s="636"/>
      <c r="S469" s="710"/>
    </row>
    <row r="470" spans="1:27" ht="16.5" thickBot="1">
      <c r="A470" s="585" t="s">
        <v>134</v>
      </c>
      <c r="B470" s="572"/>
      <c r="C470" s="715">
        <v>950827291</v>
      </c>
      <c r="E470" s="716"/>
      <c r="F470" s="636"/>
      <c r="G470" s="717">
        <v>29170218.96959864</v>
      </c>
      <c r="I470" s="718"/>
      <c r="J470" s="636"/>
      <c r="K470" s="621"/>
      <c r="M470" s="718"/>
      <c r="N470" s="636"/>
      <c r="O470" s="621"/>
      <c r="Q470" s="718"/>
      <c r="R470" s="636"/>
      <c r="S470" s="621"/>
    </row>
    <row r="471" spans="1:27" ht="16.5" thickTop="1">
      <c r="A471" s="614"/>
      <c r="B471" s="572"/>
      <c r="C471" s="615"/>
      <c r="E471" s="342"/>
      <c r="F471" s="239"/>
      <c r="G471" s="613"/>
      <c r="I471" s="239"/>
      <c r="J471" s="239"/>
      <c r="K471" s="613"/>
      <c r="M471" s="239"/>
      <c r="N471" s="239"/>
      <c r="O471" s="613"/>
      <c r="Q471" s="239"/>
      <c r="R471" s="239"/>
      <c r="S471" s="613"/>
    </row>
    <row r="472" spans="1:27">
      <c r="A472" s="562" t="s">
        <v>529</v>
      </c>
      <c r="C472" s="571"/>
      <c r="E472" s="638"/>
      <c r="F472" s="636"/>
      <c r="G472" s="650"/>
      <c r="I472" s="639"/>
      <c r="J472" s="636"/>
      <c r="K472" s="650"/>
      <c r="M472" s="639"/>
      <c r="N472" s="636"/>
      <c r="O472" s="650"/>
      <c r="Q472" s="639"/>
      <c r="R472" s="636"/>
      <c r="S472" s="650"/>
      <c r="U472" s="561" t="s">
        <v>530</v>
      </c>
    </row>
    <row r="473" spans="1:27">
      <c r="A473" s="585" t="s">
        <v>104</v>
      </c>
      <c r="C473" s="571">
        <v>12</v>
      </c>
      <c r="E473" s="638"/>
      <c r="F473" s="636"/>
      <c r="G473" s="706">
        <v>3302.64</v>
      </c>
      <c r="I473" s="639"/>
      <c r="J473" s="636"/>
      <c r="K473" s="706"/>
      <c r="M473" s="639"/>
      <c r="N473" s="636"/>
      <c r="O473" s="706"/>
      <c r="Q473" s="639"/>
      <c r="R473" s="636"/>
      <c r="S473" s="706"/>
      <c r="U473" s="706">
        <v>6324</v>
      </c>
    </row>
    <row r="474" spans="1:27">
      <c r="A474" s="585" t="s">
        <v>235</v>
      </c>
      <c r="C474" s="571">
        <v>1073572</v>
      </c>
      <c r="E474" s="638"/>
      <c r="F474" s="636"/>
      <c r="G474" s="706">
        <v>1689917.5991077269</v>
      </c>
      <c r="I474" s="639"/>
      <c r="J474" s="636"/>
      <c r="K474" s="706"/>
      <c r="M474" s="639"/>
      <c r="N474" s="636"/>
      <c r="O474" s="706"/>
      <c r="Q474" s="639"/>
      <c r="R474" s="636"/>
      <c r="S474" s="706"/>
      <c r="U474" s="706">
        <v>1825072.4</v>
      </c>
    </row>
    <row r="475" spans="1:27">
      <c r="A475" s="585" t="s">
        <v>399</v>
      </c>
      <c r="C475" s="571">
        <v>4772674</v>
      </c>
      <c r="E475" s="663"/>
      <c r="F475" s="719"/>
      <c r="G475" s="706">
        <v>1884479.4377295086</v>
      </c>
      <c r="I475" s="590"/>
      <c r="J475" s="719"/>
      <c r="K475" s="706"/>
      <c r="M475" s="590"/>
      <c r="N475" s="719"/>
      <c r="O475" s="706"/>
      <c r="Q475" s="590"/>
      <c r="R475" s="719"/>
      <c r="S475" s="706"/>
      <c r="U475" s="706">
        <v>1912887.7392</v>
      </c>
    </row>
    <row r="476" spans="1:27">
      <c r="A476" s="585" t="s">
        <v>403</v>
      </c>
      <c r="C476" s="571">
        <v>835200</v>
      </c>
      <c r="E476" s="663"/>
      <c r="F476" s="719"/>
      <c r="G476" s="706">
        <v>5796862.8278227476</v>
      </c>
      <c r="I476" s="590"/>
      <c r="J476" s="719"/>
      <c r="K476" s="706"/>
      <c r="M476" s="590"/>
      <c r="N476" s="719"/>
      <c r="O476" s="706"/>
      <c r="Q476" s="590"/>
      <c r="R476" s="719"/>
      <c r="S476" s="706"/>
      <c r="U476" s="706"/>
    </row>
    <row r="477" spans="1:27" s="649" customFormat="1">
      <c r="A477" s="585" t="s">
        <v>221</v>
      </c>
      <c r="B477" s="650"/>
      <c r="C477" s="571">
        <v>0</v>
      </c>
      <c r="D477" s="651"/>
      <c r="E477" s="663"/>
      <c r="F477" s="719"/>
      <c r="G477" s="706"/>
      <c r="H477" s="651"/>
      <c r="I477" s="616">
        <v>5.9900000000000002E-2</v>
      </c>
      <c r="J477" s="592"/>
      <c r="K477" s="589">
        <v>0</v>
      </c>
      <c r="L477" s="572"/>
      <c r="M477" s="616">
        <v>2.23E-2</v>
      </c>
      <c r="N477" s="592"/>
      <c r="O477" s="589">
        <v>0</v>
      </c>
      <c r="P477" s="572"/>
      <c r="Q477" s="616">
        <v>-3.3599999999999998E-2</v>
      </c>
      <c r="R477" s="592"/>
      <c r="S477" s="589">
        <v>0</v>
      </c>
      <c r="U477" s="706">
        <v>0</v>
      </c>
      <c r="Y477" s="593" t="e">
        <v>#DIV/0!</v>
      </c>
      <c r="Z477" s="720" t="e">
        <v>#DIV/0!</v>
      </c>
      <c r="AA477" s="593" t="e">
        <v>#DIV/0!</v>
      </c>
    </row>
    <row r="478" spans="1:27" s="649" customFormat="1">
      <c r="A478" s="585" t="s">
        <v>222</v>
      </c>
      <c r="B478" s="650"/>
      <c r="C478" s="571">
        <v>835200</v>
      </c>
      <c r="D478" s="651"/>
      <c r="E478" s="663"/>
      <c r="F478" s="719"/>
      <c r="G478" s="706"/>
      <c r="H478" s="651"/>
      <c r="I478" s="616">
        <v>5.9900000000000002E-2</v>
      </c>
      <c r="J478" s="592"/>
      <c r="K478" s="589">
        <v>365207.90400000004</v>
      </c>
      <c r="L478" s="572"/>
      <c r="M478" s="616">
        <v>2.23E-2</v>
      </c>
      <c r="N478" s="592"/>
      <c r="O478" s="589">
        <v>90641.472000000009</v>
      </c>
      <c r="P478" s="572"/>
      <c r="Q478" s="616">
        <v>-3.3599999999999998E-2</v>
      </c>
      <c r="R478" s="592"/>
      <c r="S478" s="589">
        <v>-204857.856</v>
      </c>
      <c r="U478" s="706">
        <v>6096960</v>
      </c>
      <c r="Y478" s="593">
        <v>5.9900000000000009E-2</v>
      </c>
      <c r="Z478" s="720">
        <v>2.2300000000000004E-2</v>
      </c>
      <c r="AA478" s="593">
        <v>-3.3599999999999998E-2</v>
      </c>
    </row>
    <row r="479" spans="1:27" s="649" customFormat="1">
      <c r="A479" s="585" t="s">
        <v>531</v>
      </c>
      <c r="B479" s="650"/>
      <c r="C479" s="571">
        <v>0</v>
      </c>
      <c r="D479" s="651"/>
      <c r="E479" s="663"/>
      <c r="F479" s="719"/>
      <c r="G479" s="706">
        <v>0</v>
      </c>
      <c r="H479" s="651"/>
      <c r="I479" s="590"/>
      <c r="J479" s="719"/>
      <c r="K479" s="706"/>
      <c r="L479" s="651"/>
      <c r="M479" s="590"/>
      <c r="N479" s="719"/>
      <c r="O479" s="706"/>
      <c r="P479" s="651"/>
      <c r="Q479" s="590"/>
      <c r="R479" s="719"/>
      <c r="S479" s="706"/>
      <c r="U479" s="706"/>
    </row>
    <row r="480" spans="1:27" s="649" customFormat="1">
      <c r="A480" s="585" t="s">
        <v>406</v>
      </c>
      <c r="B480" s="650"/>
      <c r="C480" s="615">
        <v>641456680</v>
      </c>
      <c r="D480" s="651"/>
      <c r="E480" s="721"/>
      <c r="F480" s="719"/>
      <c r="G480" s="722">
        <v>14453331.28568917</v>
      </c>
      <c r="H480" s="651"/>
      <c r="I480" s="723"/>
      <c r="J480" s="719"/>
      <c r="K480" s="722"/>
      <c r="L480" s="651"/>
      <c r="M480" s="723"/>
      <c r="N480" s="719"/>
      <c r="O480" s="722"/>
      <c r="P480" s="651"/>
      <c r="Q480" s="723"/>
      <c r="R480" s="719"/>
      <c r="S480" s="722"/>
      <c r="U480" s="706"/>
      <c r="V480" s="724"/>
      <c r="W480" s="724"/>
      <c r="X480" s="724"/>
    </row>
    <row r="481" spans="1:27" s="649" customFormat="1">
      <c r="A481" s="585" t="s">
        <v>228</v>
      </c>
      <c r="B481" s="650"/>
      <c r="C481" s="615">
        <v>23603223</v>
      </c>
      <c r="D481" s="651"/>
      <c r="E481" s="721"/>
      <c r="F481" s="719"/>
      <c r="G481" s="722"/>
      <c r="H481" s="651"/>
      <c r="I481" s="616">
        <v>5.9900000000000002E-2</v>
      </c>
      <c r="J481" s="592"/>
      <c r="K481" s="589">
        <v>50697.225783006601</v>
      </c>
      <c r="L481" s="572"/>
      <c r="M481" s="616">
        <v>2.23E-2</v>
      </c>
      <c r="N481" s="592"/>
      <c r="O481" s="589">
        <v>12582.6169722988</v>
      </c>
      <c r="P481" s="572"/>
      <c r="Q481" s="616">
        <v>-3.3599999999999998E-2</v>
      </c>
      <c r="R481" s="592"/>
      <c r="S481" s="589">
        <v>-28437.842843222399</v>
      </c>
      <c r="U481" s="706">
        <v>846364.37033399998</v>
      </c>
      <c r="V481" s="725"/>
      <c r="W481" s="725"/>
      <c r="X481" s="725"/>
      <c r="Y481" s="593">
        <v>5.9900000000000002E-2</v>
      </c>
      <c r="Z481" s="720">
        <v>2.23E-2</v>
      </c>
      <c r="AA481" s="593">
        <v>-3.3599999999999998E-2</v>
      </c>
    </row>
    <row r="482" spans="1:27" s="649" customFormat="1">
      <c r="A482" s="585" t="s">
        <v>229</v>
      </c>
      <c r="B482" s="650"/>
      <c r="C482" s="615">
        <v>239320200</v>
      </c>
      <c r="D482" s="651"/>
      <c r="E482" s="721"/>
      <c r="F482" s="719"/>
      <c r="G482" s="722"/>
      <c r="H482" s="651"/>
      <c r="I482" s="616">
        <v>5.9900000000000002E-2</v>
      </c>
      <c r="J482" s="592"/>
      <c r="K482" s="589">
        <v>386522.15410074004</v>
      </c>
      <c r="L482" s="572"/>
      <c r="M482" s="616">
        <v>2.23E-2</v>
      </c>
      <c r="N482" s="592"/>
      <c r="O482" s="589">
        <v>95931.486215320008</v>
      </c>
      <c r="P482" s="572"/>
      <c r="Q482" s="616">
        <v>-3.3599999999999998E-2</v>
      </c>
      <c r="R482" s="592"/>
      <c r="S482" s="589">
        <v>-216813.76256735998</v>
      </c>
      <c r="U482" s="706">
        <v>6452790.5526000001</v>
      </c>
      <c r="V482" s="724"/>
      <c r="W482" s="724"/>
      <c r="X482" s="724"/>
      <c r="Y482" s="593">
        <v>5.9900000000000002E-2</v>
      </c>
      <c r="Z482" s="720">
        <v>2.23E-2</v>
      </c>
      <c r="AA482" s="593">
        <v>-3.3599999999999998E-2</v>
      </c>
    </row>
    <row r="483" spans="1:27" s="649" customFormat="1">
      <c r="A483" s="585" t="s">
        <v>223</v>
      </c>
      <c r="B483" s="650"/>
      <c r="C483" s="617">
        <v>378533257</v>
      </c>
      <c r="D483" s="651"/>
      <c r="E483" s="570"/>
      <c r="F483" s="651"/>
      <c r="G483" s="710"/>
      <c r="H483" s="651"/>
      <c r="I483" s="616">
        <v>5.9900000000000002E-2</v>
      </c>
      <c r="J483" s="592"/>
      <c r="K483" s="669">
        <v>510576.33167944738</v>
      </c>
      <c r="L483" s="572"/>
      <c r="M483" s="616">
        <v>2.23E-2</v>
      </c>
      <c r="N483" s="592"/>
      <c r="O483" s="669">
        <v>126720.6699660732</v>
      </c>
      <c r="P483" s="572"/>
      <c r="Q483" s="616">
        <v>-3.3599999999999998E-2</v>
      </c>
      <c r="R483" s="592"/>
      <c r="S483" s="669">
        <v>-286400.07920583355</v>
      </c>
      <c r="U483" s="706">
        <v>8523811.8811259996</v>
      </c>
      <c r="V483" s="725"/>
      <c r="W483" s="725"/>
      <c r="X483" s="725"/>
      <c r="Y483" s="593">
        <v>5.9900000000000002E-2</v>
      </c>
      <c r="Z483" s="720">
        <v>2.23E-2</v>
      </c>
      <c r="AA483" s="593">
        <v>-3.3599999999999998E-2</v>
      </c>
    </row>
    <row r="484" spans="1:27" s="649" customFormat="1" ht="16.5" thickBot="1">
      <c r="A484" s="585" t="s">
        <v>410</v>
      </c>
      <c r="B484" s="650"/>
      <c r="C484" s="641">
        <v>641456680</v>
      </c>
      <c r="D484" s="651"/>
      <c r="E484" s="635"/>
      <c r="F484" s="726"/>
      <c r="G484" s="711">
        <v>23827893.790349156</v>
      </c>
      <c r="H484" s="651"/>
      <c r="I484" s="727"/>
      <c r="J484" s="726"/>
      <c r="K484" s="711">
        <v>1313003.615563194</v>
      </c>
      <c r="L484" s="651"/>
      <c r="M484" s="727"/>
      <c r="N484" s="726"/>
      <c r="O484" s="711">
        <v>325876.24515369203</v>
      </c>
      <c r="P484" s="651"/>
      <c r="Q484" s="727"/>
      <c r="R484" s="726"/>
      <c r="S484" s="711">
        <v>-736509.54061641591</v>
      </c>
      <c r="U484" s="706">
        <v>25664210.943259999</v>
      </c>
      <c r="V484" s="593">
        <v>5.5103637237756645E-2</v>
      </c>
      <c r="W484" s="593">
        <v>1.3676250533132702E-2</v>
      </c>
      <c r="X484" s="593">
        <v>-3.090955277443444E-2</v>
      </c>
      <c r="Y484" s="593">
        <v>5.1160879968843088E-2</v>
      </c>
      <c r="Z484" s="720">
        <v>1.9046537951672805E-2</v>
      </c>
      <c r="AA484" s="593">
        <v>-2.8697922653641527E-2</v>
      </c>
    </row>
    <row r="485" spans="1:27" s="649" customFormat="1" ht="16.5" thickTop="1">
      <c r="A485" s="570"/>
      <c r="B485" s="650"/>
      <c r="C485" s="571"/>
      <c r="D485" s="651"/>
      <c r="E485" s="638"/>
      <c r="F485" s="726"/>
      <c r="G485" s="650"/>
      <c r="H485" s="651"/>
      <c r="I485" s="728"/>
      <c r="J485" s="726"/>
      <c r="K485" s="650"/>
      <c r="L485" s="651"/>
      <c r="M485" s="728"/>
      <c r="N485" s="726"/>
      <c r="O485" s="650"/>
      <c r="P485" s="651"/>
      <c r="Q485" s="728"/>
      <c r="R485" s="726"/>
      <c r="S485" s="650"/>
      <c r="U485" s="729">
        <v>7.7065861089854026E-2</v>
      </c>
    </row>
    <row r="486" spans="1:27" s="649" customFormat="1">
      <c r="A486" s="562" t="s">
        <v>532</v>
      </c>
      <c r="B486" s="650"/>
      <c r="C486" s="571"/>
      <c r="D486" s="651"/>
      <c r="E486" s="638"/>
      <c r="F486" s="726"/>
      <c r="G486" s="650"/>
      <c r="H486" s="651"/>
      <c r="I486" s="728"/>
      <c r="J486" s="726"/>
      <c r="K486" s="650"/>
      <c r="L486" s="651"/>
      <c r="M486" s="728"/>
      <c r="N486" s="726"/>
      <c r="O486" s="650"/>
      <c r="P486" s="651"/>
      <c r="Q486" s="728"/>
      <c r="R486" s="726"/>
      <c r="S486" s="650"/>
      <c r="V486" s="730"/>
      <c r="W486" s="730"/>
      <c r="X486" s="730"/>
    </row>
    <row r="487" spans="1:27" s="649" customFormat="1">
      <c r="A487" s="585" t="s">
        <v>104</v>
      </c>
      <c r="B487" s="650"/>
      <c r="C487" s="643">
        <v>12</v>
      </c>
      <c r="D487" s="651"/>
      <c r="E487" s="570"/>
      <c r="F487" s="651"/>
      <c r="G487" s="706">
        <v>2083</v>
      </c>
      <c r="H487" s="651"/>
      <c r="I487" s="731"/>
      <c r="J487" s="651"/>
      <c r="K487" s="706"/>
      <c r="L487" s="651"/>
      <c r="M487" s="731"/>
      <c r="N487" s="651"/>
      <c r="O487" s="706"/>
      <c r="P487" s="651"/>
      <c r="Q487" s="731"/>
      <c r="R487" s="651"/>
      <c r="S487" s="706"/>
      <c r="U487" s="706">
        <v>2400</v>
      </c>
    </row>
    <row r="488" spans="1:27" s="649" customFormat="1">
      <c r="A488" s="585" t="s">
        <v>533</v>
      </c>
      <c r="B488" s="650"/>
      <c r="C488" s="571">
        <v>375553</v>
      </c>
      <c r="D488" s="651"/>
      <c r="E488" s="663"/>
      <c r="F488" s="719"/>
      <c r="G488" s="706">
        <v>602767.68104518997</v>
      </c>
      <c r="H488" s="651"/>
      <c r="I488" s="590"/>
      <c r="J488" s="719"/>
      <c r="K488" s="706"/>
      <c r="L488" s="651"/>
      <c r="M488" s="590"/>
      <c r="N488" s="719"/>
      <c r="O488" s="706"/>
      <c r="P488" s="651"/>
      <c r="Q488" s="590"/>
      <c r="R488" s="719"/>
      <c r="S488" s="706"/>
      <c r="U488" s="706">
        <v>642195.63</v>
      </c>
    </row>
    <row r="489" spans="1:27" s="649" customFormat="1">
      <c r="A489" s="585" t="s">
        <v>534</v>
      </c>
      <c r="B489" s="650"/>
      <c r="C489" s="571">
        <v>371615</v>
      </c>
      <c r="D489" s="651"/>
      <c r="E489" s="663"/>
      <c r="F489" s="719"/>
      <c r="G489" s="706">
        <v>2993977.0823709141</v>
      </c>
      <c r="H489" s="651"/>
      <c r="I489" s="590"/>
      <c r="J489" s="719"/>
      <c r="K489" s="706"/>
      <c r="L489" s="651"/>
      <c r="M489" s="590"/>
      <c r="N489" s="719"/>
      <c r="O489" s="706"/>
      <c r="P489" s="651"/>
      <c r="Q489" s="590"/>
      <c r="R489" s="719"/>
      <c r="S489" s="706"/>
      <c r="U489" s="706"/>
    </row>
    <row r="490" spans="1:27" s="649" customFormat="1">
      <c r="A490" s="585" t="s">
        <v>221</v>
      </c>
      <c r="B490" s="650"/>
      <c r="C490" s="571">
        <v>153334</v>
      </c>
      <c r="D490" s="651"/>
      <c r="E490" s="663"/>
      <c r="F490" s="719"/>
      <c r="G490" s="706"/>
      <c r="H490" s="651"/>
      <c r="I490" s="616">
        <v>5.9900000000000002E-2</v>
      </c>
      <c r="J490" s="592"/>
      <c r="K490" s="589">
        <v>98827.44301599999</v>
      </c>
      <c r="L490" s="572"/>
      <c r="M490" s="616">
        <v>2.23E-2</v>
      </c>
      <c r="N490" s="592"/>
      <c r="O490" s="589">
        <v>24528.12442133333</v>
      </c>
      <c r="P490" s="572"/>
      <c r="Q490" s="616">
        <v>-3.3599999999999998E-2</v>
      </c>
      <c r="R490" s="592"/>
      <c r="S490" s="589">
        <v>-55435.761023999992</v>
      </c>
      <c r="U490" s="706">
        <v>1649873.8399999999</v>
      </c>
      <c r="Y490" s="593">
        <v>5.9900000000000002E-2</v>
      </c>
      <c r="Z490" s="720">
        <v>2.2299999999999997E-2</v>
      </c>
      <c r="AA490" s="593">
        <v>-3.3599999999999998E-2</v>
      </c>
    </row>
    <row r="491" spans="1:27" s="649" customFormat="1">
      <c r="A491" s="585" t="s">
        <v>222</v>
      </c>
      <c r="B491" s="650"/>
      <c r="C491" s="571">
        <v>218281</v>
      </c>
      <c r="D491" s="651"/>
      <c r="E491" s="663"/>
      <c r="F491" s="719"/>
      <c r="G491" s="706"/>
      <c r="H491" s="651"/>
      <c r="I491" s="616">
        <v>5.9900000000000002E-2</v>
      </c>
      <c r="J491" s="592"/>
      <c r="K491" s="589">
        <v>95447.732870000007</v>
      </c>
      <c r="L491" s="572"/>
      <c r="M491" s="616">
        <v>2.23E-2</v>
      </c>
      <c r="N491" s="592"/>
      <c r="O491" s="589">
        <v>23689.309326666669</v>
      </c>
      <c r="P491" s="572"/>
      <c r="Q491" s="616">
        <v>-3.3599999999999998E-2</v>
      </c>
      <c r="R491" s="592"/>
      <c r="S491" s="589">
        <v>-53539.963680000001</v>
      </c>
      <c r="U491" s="706">
        <v>1593451.3</v>
      </c>
      <c r="Y491" s="593">
        <v>5.9900000000000002E-2</v>
      </c>
      <c r="Z491" s="720">
        <v>2.23E-2</v>
      </c>
      <c r="AA491" s="593">
        <v>-3.3599999999999998E-2</v>
      </c>
    </row>
    <row r="492" spans="1:27" s="649" customFormat="1">
      <c r="A492" s="585" t="s">
        <v>535</v>
      </c>
      <c r="B492" s="650"/>
      <c r="C492" s="615">
        <v>253208400</v>
      </c>
      <c r="D492" s="651"/>
      <c r="E492" s="732"/>
      <c r="F492" s="726"/>
      <c r="G492" s="733">
        <v>5945911.5338086737</v>
      </c>
      <c r="H492" s="651"/>
      <c r="I492" s="590"/>
      <c r="J492" s="719"/>
      <c r="K492" s="706"/>
      <c r="L492" s="651"/>
      <c r="M492" s="590"/>
      <c r="N492" s="719"/>
      <c r="O492" s="706"/>
      <c r="P492" s="651"/>
      <c r="Q492" s="590"/>
      <c r="R492" s="719"/>
      <c r="S492" s="706"/>
      <c r="U492" s="706"/>
      <c r="V492" s="724"/>
      <c r="W492" s="724"/>
      <c r="X492" s="724"/>
    </row>
    <row r="493" spans="1:27" s="649" customFormat="1">
      <c r="A493" s="585" t="s">
        <v>228</v>
      </c>
      <c r="B493" s="650"/>
      <c r="C493" s="615">
        <v>23818054</v>
      </c>
      <c r="D493" s="651"/>
      <c r="E493" s="721"/>
      <c r="F493" s="719"/>
      <c r="G493" s="722"/>
      <c r="H493" s="651"/>
      <c r="I493" s="616">
        <v>5.9900000000000002E-2</v>
      </c>
      <c r="J493" s="592"/>
      <c r="K493" s="589">
        <v>51158.660041886804</v>
      </c>
      <c r="L493" s="572"/>
      <c r="M493" s="616">
        <v>2.23E-2</v>
      </c>
      <c r="N493" s="592"/>
      <c r="O493" s="589">
        <v>12697.141000935733</v>
      </c>
      <c r="P493" s="572"/>
      <c r="Q493" s="616">
        <v>-3.3599999999999998E-2</v>
      </c>
      <c r="R493" s="592"/>
      <c r="S493" s="589">
        <v>-28696.677419155199</v>
      </c>
      <c r="U493" s="706">
        <v>854067.78033199999</v>
      </c>
      <c r="V493" s="725"/>
      <c r="W493" s="725"/>
      <c r="X493" s="725"/>
    </row>
    <row r="494" spans="1:27" s="649" customFormat="1">
      <c r="A494" s="585" t="s">
        <v>229</v>
      </c>
      <c r="B494" s="650"/>
      <c r="C494" s="615">
        <v>68063457</v>
      </c>
      <c r="D494" s="651"/>
      <c r="E494" s="721"/>
      <c r="F494" s="719"/>
      <c r="G494" s="722"/>
      <c r="H494" s="651"/>
      <c r="I494" s="616">
        <v>5.9900000000000002E-2</v>
      </c>
      <c r="J494" s="592"/>
      <c r="K494" s="589">
        <v>109928.1799663509</v>
      </c>
      <c r="L494" s="572"/>
      <c r="M494" s="616">
        <v>2.23E-2</v>
      </c>
      <c r="N494" s="592"/>
      <c r="O494" s="589">
        <v>27283.232200886199</v>
      </c>
      <c r="P494" s="572"/>
      <c r="Q494" s="616">
        <v>-3.3599999999999998E-2</v>
      </c>
      <c r="R494" s="592"/>
      <c r="S494" s="589">
        <v>-61662.55170065759</v>
      </c>
      <c r="U494" s="706">
        <v>1835194.9910909999</v>
      </c>
      <c r="V494" s="724"/>
      <c r="W494" s="724"/>
      <c r="X494" s="724"/>
      <c r="Y494" s="593">
        <v>5.9900000000000002E-2</v>
      </c>
      <c r="Z494" s="720">
        <v>2.23E-2</v>
      </c>
      <c r="AA494" s="593">
        <v>-3.3599999999999998E-2</v>
      </c>
    </row>
    <row r="495" spans="1:27" s="649" customFormat="1">
      <c r="A495" s="585" t="s">
        <v>223</v>
      </c>
      <c r="B495" s="650"/>
      <c r="C495" s="617">
        <v>161326889</v>
      </c>
      <c r="D495" s="651"/>
      <c r="E495" s="570"/>
      <c r="F495" s="651"/>
      <c r="G495" s="710"/>
      <c r="H495" s="651"/>
      <c r="I495" s="616">
        <v>5.9900000000000002E-2</v>
      </c>
      <c r="J495" s="592"/>
      <c r="K495" s="669">
        <v>217602.25730146977</v>
      </c>
      <c r="L495" s="572"/>
      <c r="M495" s="616">
        <v>2.23E-2</v>
      </c>
      <c r="N495" s="592"/>
      <c r="O495" s="669">
        <v>54007.015445996396</v>
      </c>
      <c r="P495" s="572"/>
      <c r="Q495" s="616">
        <v>-3.3599999999999998E-2</v>
      </c>
      <c r="R495" s="592"/>
      <c r="S495" s="669">
        <v>-122060.69858646717</v>
      </c>
      <c r="U495" s="706">
        <v>3632758.8865019996</v>
      </c>
      <c r="V495" s="725"/>
      <c r="W495" s="725"/>
      <c r="X495" s="725"/>
      <c r="Y495" s="593">
        <v>5.9900000000000002E-2</v>
      </c>
      <c r="Z495" s="720">
        <v>2.23E-2</v>
      </c>
      <c r="AA495" s="593">
        <v>-3.3599999999999998E-2</v>
      </c>
    </row>
    <row r="496" spans="1:27" ht="16.5" thickBot="1">
      <c r="A496" s="585" t="s">
        <v>536</v>
      </c>
      <c r="C496" s="641">
        <v>253208400</v>
      </c>
      <c r="E496" s="631"/>
      <c r="G496" s="711">
        <v>9544739.2972247787</v>
      </c>
      <c r="I496" s="616"/>
      <c r="J496" s="592"/>
      <c r="K496" s="669">
        <v>572964.27319570747</v>
      </c>
      <c r="M496" s="616"/>
      <c r="N496" s="592"/>
      <c r="O496" s="669">
        <v>142204.82239581831</v>
      </c>
      <c r="Q496" s="616">
        <v>-3.3599999999999998E-2</v>
      </c>
      <c r="R496" s="592"/>
      <c r="S496" s="669">
        <v>-321395.65241027996</v>
      </c>
      <c r="U496" s="706">
        <v>10209942.427924998</v>
      </c>
      <c r="V496" s="593">
        <v>6.0029326663987789E-2</v>
      </c>
      <c r="W496" s="593">
        <v>1.4898764436359794E-2</v>
      </c>
      <c r="X496" s="593">
        <v>-3.3672543838230207E-2</v>
      </c>
      <c r="Y496" s="593">
        <v>5.6118266801251003E-2</v>
      </c>
      <c r="Z496" s="720">
        <v>2.0892109343370571E-2</v>
      </c>
      <c r="AA496" s="593">
        <v>-3.1478693898531446E-2</v>
      </c>
    </row>
    <row r="497" spans="1:27" ht="16.5" thickTop="1">
      <c r="C497" s="571"/>
      <c r="G497" s="650"/>
      <c r="K497" s="650"/>
      <c r="O497" s="650"/>
      <c r="S497" s="650"/>
      <c r="U497" s="593">
        <v>5.6118266801251003E-2</v>
      </c>
      <c r="Y497" s="593"/>
      <c r="Z497" s="720"/>
      <c r="AA497" s="593"/>
    </row>
    <row r="498" spans="1:27">
      <c r="A498" s="562" t="s">
        <v>537</v>
      </c>
      <c r="C498" s="571"/>
      <c r="E498" s="638"/>
      <c r="F498" s="636"/>
      <c r="I498" s="639"/>
      <c r="J498" s="636"/>
      <c r="M498" s="639"/>
      <c r="N498" s="636"/>
      <c r="Q498" s="639"/>
      <c r="R498" s="636"/>
    </row>
    <row r="499" spans="1:27">
      <c r="A499" s="570" t="s">
        <v>538</v>
      </c>
      <c r="C499" s="571">
        <v>12</v>
      </c>
      <c r="E499" s="638"/>
      <c r="F499" s="636"/>
      <c r="I499" s="639"/>
      <c r="J499" s="636"/>
      <c r="M499" s="639"/>
      <c r="N499" s="636"/>
      <c r="Q499" s="639"/>
      <c r="R499" s="636"/>
    </row>
    <row r="500" spans="1:27">
      <c r="A500" s="585" t="s">
        <v>539</v>
      </c>
      <c r="C500" s="571">
        <v>12</v>
      </c>
      <c r="E500" s="587">
        <v>7.75</v>
      </c>
      <c r="F500" s="588"/>
      <c r="G500" s="589">
        <v>93</v>
      </c>
      <c r="I500" s="590"/>
      <c r="J500" s="588"/>
      <c r="K500" s="589"/>
      <c r="M500" s="590"/>
      <c r="N500" s="588"/>
      <c r="O500" s="589"/>
      <c r="Q500" s="590"/>
      <c r="R500" s="588"/>
      <c r="S500" s="589"/>
    </row>
    <row r="501" spans="1:27">
      <c r="A501" s="585" t="s">
        <v>149</v>
      </c>
      <c r="C501" s="571">
        <v>140.60312554725522</v>
      </c>
      <c r="E501" s="603">
        <v>0</v>
      </c>
      <c r="F501" s="592" t="s">
        <v>108</v>
      </c>
      <c r="G501" s="589">
        <v>0</v>
      </c>
      <c r="I501" s="590"/>
      <c r="J501" s="592"/>
      <c r="K501" s="589"/>
      <c r="M501" s="590"/>
      <c r="N501" s="592"/>
      <c r="O501" s="589"/>
      <c r="Q501" s="590"/>
      <c r="R501" s="592"/>
      <c r="S501" s="589"/>
      <c r="U501" s="593"/>
      <c r="V501" s="593"/>
      <c r="W501" s="627"/>
      <c r="X501" s="593"/>
    </row>
    <row r="502" spans="1:27">
      <c r="A502" s="570" t="s">
        <v>216</v>
      </c>
      <c r="C502" s="685">
        <v>0</v>
      </c>
      <c r="E502" s="638"/>
      <c r="F502" s="636"/>
      <c r="G502" s="645">
        <v>0</v>
      </c>
      <c r="I502" s="639"/>
      <c r="J502" s="636"/>
      <c r="K502" s="645"/>
      <c r="M502" s="639"/>
      <c r="N502" s="636"/>
      <c r="O502" s="645"/>
      <c r="Q502" s="639"/>
      <c r="R502" s="636"/>
      <c r="S502" s="645"/>
    </row>
    <row r="503" spans="1:27" ht="16.5" thickBot="1">
      <c r="A503" s="585" t="s">
        <v>134</v>
      </c>
      <c r="C503" s="641">
        <v>140.60312554725522</v>
      </c>
      <c r="E503" s="635"/>
      <c r="F503" s="636"/>
      <c r="G503" s="632">
        <v>93</v>
      </c>
      <c r="I503" s="637"/>
      <c r="J503" s="636"/>
      <c r="K503" s="632"/>
      <c r="M503" s="637"/>
      <c r="N503" s="636"/>
      <c r="O503" s="632"/>
      <c r="Q503" s="637"/>
      <c r="R503" s="636"/>
      <c r="S503" s="632"/>
    </row>
    <row r="504" spans="1:27" ht="16.5" thickTop="1">
      <c r="C504" s="571"/>
    </row>
    <row r="505" spans="1:27">
      <c r="A505" s="562" t="s">
        <v>412</v>
      </c>
      <c r="C505" s="571"/>
      <c r="E505" s="638"/>
      <c r="F505" s="636"/>
      <c r="I505" s="639"/>
      <c r="J505" s="636"/>
      <c r="M505" s="639"/>
      <c r="N505" s="636"/>
      <c r="Q505" s="639"/>
      <c r="R505" s="636"/>
    </row>
    <row r="506" spans="1:27">
      <c r="A506" s="614" t="s">
        <v>413</v>
      </c>
      <c r="B506" s="572"/>
      <c r="C506" s="571">
        <v>1</v>
      </c>
      <c r="E506" s="587">
        <v>0</v>
      </c>
      <c r="F506" s="588"/>
      <c r="G506" s="589">
        <v>0</v>
      </c>
      <c r="I506" s="590"/>
      <c r="J506" s="588"/>
      <c r="K506" s="589"/>
      <c r="M506" s="590"/>
      <c r="N506" s="588"/>
      <c r="O506" s="589"/>
      <c r="Q506" s="590"/>
      <c r="R506" s="588"/>
      <c r="S506" s="589"/>
    </row>
    <row r="507" spans="1:27">
      <c r="A507" s="614" t="s">
        <v>414</v>
      </c>
      <c r="B507" s="572"/>
      <c r="C507" s="571">
        <v>972</v>
      </c>
      <c r="E507" s="698">
        <v>17.775099999999998</v>
      </c>
      <c r="F507" s="699"/>
      <c r="G507" s="589">
        <v>17277</v>
      </c>
      <c r="I507" s="590"/>
      <c r="J507" s="699"/>
      <c r="K507" s="589"/>
      <c r="M507" s="590"/>
      <c r="N507" s="699"/>
      <c r="O507" s="589"/>
      <c r="Q507" s="590"/>
      <c r="R507" s="699"/>
      <c r="S507" s="589"/>
    </row>
    <row r="508" spans="1:27">
      <c r="A508" s="614" t="s">
        <v>415</v>
      </c>
      <c r="B508" s="572"/>
      <c r="C508" s="571">
        <v>0</v>
      </c>
      <c r="E508" s="646">
        <v>0</v>
      </c>
      <c r="F508" s="588"/>
      <c r="G508" s="589">
        <v>0</v>
      </c>
      <c r="I508" s="723"/>
      <c r="J508" s="588"/>
      <c r="K508" s="589"/>
      <c r="M508" s="723"/>
      <c r="N508" s="588"/>
      <c r="O508" s="589"/>
      <c r="Q508" s="723"/>
      <c r="R508" s="588"/>
      <c r="S508" s="589"/>
    </row>
    <row r="509" spans="1:27">
      <c r="A509" s="614" t="s">
        <v>149</v>
      </c>
      <c r="B509" s="572"/>
      <c r="C509" s="571">
        <v>127029.51611942388</v>
      </c>
      <c r="E509" s="628">
        <v>0</v>
      </c>
      <c r="F509" s="592" t="s">
        <v>108</v>
      </c>
      <c r="G509" s="589">
        <v>0</v>
      </c>
      <c r="I509" s="723"/>
      <c r="J509" s="592"/>
      <c r="K509" s="589"/>
      <c r="M509" s="723"/>
      <c r="N509" s="592"/>
      <c r="O509" s="589"/>
      <c r="Q509" s="723"/>
      <c r="R509" s="592"/>
      <c r="S509" s="589"/>
      <c r="U509" s="593"/>
      <c r="V509" s="593"/>
      <c r="W509" s="627"/>
      <c r="X509" s="593"/>
    </row>
    <row r="510" spans="1:27">
      <c r="A510" s="570" t="s">
        <v>216</v>
      </c>
      <c r="C510" s="685">
        <v>0</v>
      </c>
      <c r="E510" s="638"/>
      <c r="F510" s="636"/>
      <c r="G510" s="645">
        <v>0</v>
      </c>
      <c r="I510" s="639"/>
      <c r="J510" s="636"/>
      <c r="K510" s="645"/>
      <c r="M510" s="639"/>
      <c r="N510" s="636"/>
      <c r="O510" s="645"/>
      <c r="Q510" s="639"/>
      <c r="R510" s="636"/>
      <c r="S510" s="645"/>
    </row>
    <row r="511" spans="1:27" ht="16.5" thickBot="1">
      <c r="A511" s="614" t="s">
        <v>134</v>
      </c>
      <c r="B511" s="572"/>
      <c r="C511" s="641">
        <v>127029.51611942388</v>
      </c>
      <c r="E511" s="635"/>
      <c r="F511" s="636"/>
      <c r="G511" s="632">
        <v>17277</v>
      </c>
      <c r="I511" s="637"/>
      <c r="J511" s="636"/>
      <c r="K511" s="632"/>
      <c r="M511" s="637"/>
      <c r="N511" s="636"/>
      <c r="O511" s="632"/>
      <c r="Q511" s="637"/>
      <c r="R511" s="636"/>
      <c r="S511" s="632"/>
    </row>
    <row r="512" spans="1:27" ht="16.5" thickTop="1">
      <c r="A512" s="614"/>
      <c r="B512" s="572"/>
      <c r="C512" s="615"/>
      <c r="E512" s="732"/>
      <c r="F512" s="636"/>
      <c r="G512" s="613"/>
      <c r="I512" s="676"/>
      <c r="J512" s="636"/>
      <c r="K512" s="613"/>
      <c r="M512" s="676"/>
      <c r="N512" s="636"/>
      <c r="O512" s="613"/>
      <c r="Q512" s="676"/>
      <c r="R512" s="636"/>
      <c r="S512" s="613"/>
    </row>
    <row r="513" spans="1:24">
      <c r="A513" s="562" t="s">
        <v>416</v>
      </c>
      <c r="C513" s="571"/>
    </row>
    <row r="514" spans="1:24">
      <c r="A514" s="585" t="s">
        <v>417</v>
      </c>
      <c r="C514" s="571">
        <v>7500</v>
      </c>
      <c r="E514" s="587">
        <v>2.1800000000000002</v>
      </c>
      <c r="F514" s="588"/>
      <c r="G514" s="589">
        <v>16350</v>
      </c>
      <c r="I514" s="616"/>
      <c r="J514" s="588"/>
      <c r="K514" s="589"/>
      <c r="M514" s="616"/>
      <c r="N514" s="588"/>
      <c r="O514" s="589"/>
      <c r="Q514" s="616"/>
      <c r="R514" s="588"/>
      <c r="S514" s="589"/>
    </row>
    <row r="515" spans="1:24">
      <c r="A515" s="585" t="s">
        <v>418</v>
      </c>
      <c r="C515" s="571">
        <v>1956</v>
      </c>
      <c r="E515" s="698">
        <v>2.1858</v>
      </c>
      <c r="F515" s="588"/>
      <c r="G515" s="589">
        <v>4275</v>
      </c>
      <c r="I515" s="616"/>
      <c r="J515" s="588"/>
      <c r="K515" s="589"/>
      <c r="M515" s="616"/>
      <c r="N515" s="588"/>
      <c r="O515" s="589"/>
      <c r="Q515" s="616"/>
      <c r="R515" s="588"/>
      <c r="S515" s="589"/>
    </row>
    <row r="516" spans="1:24">
      <c r="A516" s="585" t="s">
        <v>189</v>
      </c>
      <c r="C516" s="617">
        <v>46</v>
      </c>
      <c r="E516" s="734">
        <v>4.8</v>
      </c>
      <c r="F516" s="588"/>
      <c r="G516" s="645">
        <v>221</v>
      </c>
      <c r="I516" s="735"/>
      <c r="J516" s="588"/>
      <c r="K516" s="645"/>
      <c r="M516" s="735"/>
      <c r="N516" s="588"/>
      <c r="O516" s="645"/>
      <c r="Q516" s="735"/>
      <c r="R516" s="588"/>
      <c r="S516" s="645"/>
    </row>
    <row r="517" spans="1:24">
      <c r="A517" s="585" t="s">
        <v>299</v>
      </c>
      <c r="C517" s="617">
        <v>9502</v>
      </c>
      <c r="E517" s="671"/>
      <c r="G517" s="645">
        <v>20846</v>
      </c>
      <c r="I517" s="675"/>
      <c r="K517" s="645"/>
      <c r="M517" s="675"/>
      <c r="O517" s="645"/>
      <c r="Q517" s="675"/>
      <c r="S517" s="645"/>
    </row>
    <row r="518" spans="1:24" ht="16.5" thickBot="1">
      <c r="A518" s="585" t="s">
        <v>419</v>
      </c>
      <c r="C518" s="683">
        <v>277409.09572515549</v>
      </c>
      <c r="E518" s="631"/>
      <c r="G518" s="736"/>
      <c r="I518" s="633"/>
      <c r="K518" s="632"/>
      <c r="M518" s="633"/>
      <c r="O518" s="632"/>
      <c r="Q518" s="633"/>
      <c r="S518" s="632"/>
      <c r="U518" s="593"/>
      <c r="V518" s="593"/>
      <c r="W518" s="627"/>
      <c r="X518" s="593"/>
    </row>
    <row r="519" spans="1:24" ht="16.5" thickTop="1">
      <c r="A519" s="585" t="s">
        <v>11</v>
      </c>
      <c r="C519" s="586">
        <v>78</v>
      </c>
    </row>
    <row r="520" spans="1:24">
      <c r="A520" s="585" t="s">
        <v>216</v>
      </c>
      <c r="C520" s="685">
        <v>0</v>
      </c>
      <c r="E520" s="671"/>
      <c r="G520" s="645"/>
      <c r="I520" s="675"/>
      <c r="K520" s="645"/>
      <c r="M520" s="675"/>
      <c r="O520" s="645"/>
      <c r="Q520" s="675"/>
      <c r="S520" s="645"/>
    </row>
    <row r="521" spans="1:24" ht="16.5" thickBot="1">
      <c r="A521" s="585" t="s">
        <v>300</v>
      </c>
      <c r="C521" s="683">
        <v>277409.09572515549</v>
      </c>
      <c r="E521" s="339"/>
      <c r="F521" s="410"/>
      <c r="G521" s="413">
        <v>20846</v>
      </c>
      <c r="I521" s="737"/>
      <c r="J521" s="410"/>
      <c r="K521" s="413"/>
      <c r="M521" s="737"/>
      <c r="N521" s="410"/>
      <c r="O521" s="413"/>
      <c r="Q521" s="737"/>
      <c r="R521" s="410"/>
      <c r="S521" s="413"/>
    </row>
    <row r="522" spans="1:24" ht="16.5" thickTop="1">
      <c r="C522" s="571"/>
    </row>
    <row r="523" spans="1:24">
      <c r="A523" s="713" t="s">
        <v>420</v>
      </c>
      <c r="B523" s="572"/>
      <c r="E523" s="638"/>
      <c r="F523" s="636"/>
      <c r="I523" s="639"/>
      <c r="J523" s="636"/>
      <c r="M523" s="639"/>
      <c r="N523" s="636"/>
      <c r="Q523" s="639"/>
      <c r="R523" s="636"/>
    </row>
    <row r="524" spans="1:24">
      <c r="A524" s="614" t="s">
        <v>421</v>
      </c>
      <c r="B524" s="572"/>
      <c r="C524" s="738"/>
      <c r="E524" s="638"/>
      <c r="F524" s="636"/>
      <c r="G524" s="589">
        <v>28535.699999999997</v>
      </c>
      <c r="I524" s="639"/>
      <c r="J524" s="636"/>
      <c r="K524" s="589"/>
      <c r="M524" s="639"/>
      <c r="N524" s="636"/>
      <c r="O524" s="589"/>
      <c r="Q524" s="639"/>
      <c r="R524" s="636"/>
      <c r="S524" s="589"/>
    </row>
    <row r="525" spans="1:24">
      <c r="A525" s="614" t="s">
        <v>422</v>
      </c>
      <c r="B525" s="572"/>
      <c r="C525" s="738"/>
      <c r="E525" s="638"/>
      <c r="F525" s="636"/>
      <c r="G525" s="589">
        <v>3284109.5700000008</v>
      </c>
      <c r="I525" s="639"/>
      <c r="J525" s="636"/>
      <c r="K525" s="589"/>
      <c r="M525" s="639"/>
      <c r="N525" s="636"/>
      <c r="O525" s="589"/>
      <c r="Q525" s="639"/>
      <c r="R525" s="636"/>
      <c r="S525" s="589"/>
    </row>
    <row r="526" spans="1:24">
      <c r="A526" s="614" t="s">
        <v>423</v>
      </c>
      <c r="B526" s="572"/>
      <c r="C526" s="738"/>
      <c r="E526" s="638"/>
      <c r="F526" s="636"/>
      <c r="G526" s="589">
        <v>-6142.9500000000116</v>
      </c>
      <c r="I526" s="639"/>
      <c r="J526" s="636"/>
      <c r="K526" s="589"/>
      <c r="M526" s="639"/>
      <c r="N526" s="636"/>
      <c r="O526" s="589"/>
      <c r="Q526" s="639"/>
      <c r="R526" s="636"/>
      <c r="S526" s="589"/>
    </row>
    <row r="527" spans="1:24">
      <c r="A527" s="614" t="s">
        <v>424</v>
      </c>
      <c r="B527" s="572"/>
      <c r="C527" s="738"/>
      <c r="E527" s="638"/>
      <c r="F527" s="636"/>
      <c r="G527" s="589">
        <v>167216.21999999997</v>
      </c>
      <c r="I527" s="639"/>
      <c r="J527" s="636"/>
      <c r="K527" s="589"/>
      <c r="M527" s="639"/>
      <c r="N527" s="636"/>
      <c r="O527" s="589"/>
      <c r="Q527" s="639"/>
      <c r="R527" s="636"/>
      <c r="S527" s="589"/>
    </row>
    <row r="528" spans="1:24">
      <c r="A528" s="614" t="s">
        <v>425</v>
      </c>
      <c r="B528" s="572"/>
      <c r="C528" s="738"/>
      <c r="E528" s="638"/>
      <c r="F528" s="636"/>
      <c r="G528" s="589">
        <v>4788.84</v>
      </c>
      <c r="I528" s="639"/>
      <c r="J528" s="636"/>
      <c r="K528" s="589"/>
      <c r="M528" s="639"/>
      <c r="N528" s="636"/>
      <c r="O528" s="589"/>
      <c r="Q528" s="639"/>
      <c r="R528" s="636"/>
      <c r="S528" s="589"/>
    </row>
    <row r="529" spans="1:27">
      <c r="A529" s="614" t="s">
        <v>426</v>
      </c>
      <c r="B529" s="572"/>
      <c r="C529" s="738"/>
      <c r="E529" s="638"/>
      <c r="F529" s="636"/>
      <c r="G529" s="589">
        <v>0</v>
      </c>
      <c r="I529" s="639"/>
      <c r="J529" s="636"/>
      <c r="K529" s="589"/>
      <c r="M529" s="639"/>
      <c r="N529" s="636"/>
      <c r="O529" s="589"/>
      <c r="Q529" s="639"/>
      <c r="R529" s="636"/>
      <c r="S529" s="589"/>
    </row>
    <row r="530" spans="1:27">
      <c r="A530" s="614" t="s">
        <v>427</v>
      </c>
      <c r="B530" s="572"/>
      <c r="C530" s="739"/>
      <c r="E530" s="740"/>
      <c r="F530" s="636"/>
      <c r="G530" s="669">
        <v>0</v>
      </c>
      <c r="I530" s="705"/>
      <c r="J530" s="636"/>
      <c r="K530" s="669"/>
      <c r="M530" s="705"/>
      <c r="N530" s="636"/>
      <c r="O530" s="669"/>
      <c r="Q530" s="705"/>
      <c r="R530" s="636"/>
      <c r="S530" s="669"/>
    </row>
    <row r="531" spans="1:27" ht="16.5" thickBot="1">
      <c r="A531" s="614" t="s">
        <v>428</v>
      </c>
      <c r="B531" s="572"/>
      <c r="C531" s="741"/>
      <c r="E531" s="716"/>
      <c r="F531" s="636"/>
      <c r="G531" s="621">
        <v>3478507.3800000008</v>
      </c>
      <c r="I531" s="718"/>
      <c r="J531" s="636"/>
      <c r="K531" s="621"/>
      <c r="M531" s="718"/>
      <c r="N531" s="636"/>
      <c r="O531" s="621"/>
      <c r="Q531" s="718"/>
      <c r="R531" s="636"/>
      <c r="S531" s="621"/>
    </row>
    <row r="532" spans="1:27" ht="16.5" thickTop="1">
      <c r="A532" s="678"/>
      <c r="B532" s="572"/>
      <c r="E532" s="638"/>
      <c r="F532" s="636"/>
      <c r="G532" s="589"/>
      <c r="I532" s="639"/>
      <c r="J532" s="636"/>
      <c r="K532" s="589"/>
      <c r="M532" s="639"/>
      <c r="N532" s="636"/>
      <c r="O532" s="589"/>
      <c r="Q532" s="639"/>
      <c r="R532" s="636"/>
      <c r="S532" s="589"/>
    </row>
    <row r="533" spans="1:27" ht="16.5" thickBot="1">
      <c r="A533" s="620" t="s">
        <v>429</v>
      </c>
      <c r="B533" s="742"/>
      <c r="C533" s="741">
        <v>22088937611.75</v>
      </c>
      <c r="E533" s="620"/>
      <c r="G533" s="621">
        <v>1506669965.0724857</v>
      </c>
      <c r="I533" s="622"/>
      <c r="K533" s="621">
        <v>64096637.268458903</v>
      </c>
      <c r="M533" s="622"/>
      <c r="O533" s="621">
        <v>15711586.50088284</v>
      </c>
      <c r="Q533" s="622"/>
      <c r="S533" s="621">
        <v>-35981009.061326697</v>
      </c>
      <c r="V533" s="593">
        <v>4.2541922753053102E-2</v>
      </c>
      <c r="W533" s="593">
        <v>1.042802130865266E-2</v>
      </c>
      <c r="X533" s="593">
        <v>-2.3881148423633477E-2</v>
      </c>
      <c r="Y533" s="593">
        <v>4.2541922753053102E-2</v>
      </c>
      <c r="Z533" s="593">
        <v>1.5642031962978989E-2</v>
      </c>
      <c r="AA533" s="593">
        <v>-2.3881148423633477E-2</v>
      </c>
    </row>
    <row r="534" spans="1:27" ht="16.5" thickTop="1"/>
  </sheetData>
  <phoneticPr fontId="67" type="noConversion"/>
  <printOptions horizontalCentered="1"/>
  <pageMargins left="1" right="0.5" top="1" bottom="0.55000000000000004" header="0.25" footer="0.25"/>
  <pageSetup scale="51" fitToHeight="88" orientation="portrait" r:id="rId1"/>
  <headerFooter alignWithMargins="0"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opLeftCell="A7" workbookViewId="0">
      <selection activeCell="U14" sqref="U14"/>
    </sheetView>
  </sheetViews>
  <sheetFormatPr defaultColWidth="8" defaultRowHeight="12.75"/>
  <cols>
    <col min="1" max="1" width="7" style="435" customWidth="1"/>
    <col min="2" max="2" width="1.75" style="425" customWidth="1"/>
    <col min="3" max="3" width="7.875" style="453" bestFit="1" customWidth="1"/>
    <col min="4" max="4" width="1.5" style="425" customWidth="1"/>
    <col min="5" max="5" width="9" style="453" bestFit="1" customWidth="1"/>
    <col min="6" max="6" width="1.375" style="425" customWidth="1"/>
    <col min="7" max="7" width="8" style="447" bestFit="1" customWidth="1"/>
    <col min="8" max="8" width="1.375" style="425" customWidth="1"/>
    <col min="9" max="9" width="6.25" style="425" bestFit="1" customWidth="1"/>
    <col min="10" max="10" width="2.125" style="425" customWidth="1"/>
    <col min="11" max="11" width="7.875" style="453" bestFit="1" customWidth="1"/>
    <col min="12" max="12" width="0.875" style="425" customWidth="1"/>
    <col min="13" max="13" width="9" style="453" bestFit="1" customWidth="1"/>
    <col min="14" max="14" width="1.875" style="425" customWidth="1"/>
    <col min="15" max="15" width="7.375" style="447" bestFit="1" customWidth="1"/>
    <col min="16" max="16" width="0.75" style="425" customWidth="1"/>
    <col min="17" max="17" width="6.25" style="425" bestFit="1" customWidth="1"/>
    <col min="18" max="18" width="3.125" style="425" customWidth="1"/>
    <col min="19" max="19" width="10" style="425" bestFit="1" customWidth="1"/>
    <col min="20" max="20" width="7.625" style="425" bestFit="1" customWidth="1"/>
    <col min="21" max="21" width="9.75" style="425" customWidth="1"/>
    <col min="22" max="22" width="3" style="425" customWidth="1"/>
    <col min="23" max="23" width="6.875" style="425" bestFit="1" customWidth="1"/>
    <col min="24" max="24" width="8.375" style="425" bestFit="1" customWidth="1"/>
    <col min="25" max="25" width="6.75" style="425" bestFit="1" customWidth="1"/>
    <col min="26" max="26" width="10" style="425" bestFit="1" customWidth="1"/>
    <col min="27" max="29" width="8.125" style="425" bestFit="1" customWidth="1"/>
    <col min="30" max="16384" width="8" style="425"/>
  </cols>
  <sheetData>
    <row r="1" spans="1:26" ht="16.5">
      <c r="A1" s="418"/>
      <c r="B1" s="419"/>
      <c r="C1" s="420"/>
      <c r="D1" s="419"/>
      <c r="E1" s="420"/>
      <c r="F1" s="419"/>
      <c r="G1" s="421"/>
      <c r="H1" s="419"/>
      <c r="I1" s="419"/>
      <c r="J1" s="419"/>
      <c r="K1" s="420"/>
      <c r="L1" s="419"/>
      <c r="M1" s="420"/>
      <c r="N1" s="419"/>
      <c r="O1" s="421"/>
      <c r="P1" s="419"/>
      <c r="Q1" s="422"/>
      <c r="R1" s="423"/>
      <c r="S1" s="423"/>
      <c r="T1" s="424"/>
      <c r="U1" s="155"/>
    </row>
    <row r="2" spans="1:26" ht="18.75">
      <c r="A2" s="418"/>
      <c r="B2" s="419"/>
      <c r="C2" s="420"/>
      <c r="D2" s="419"/>
      <c r="E2" s="420"/>
      <c r="F2" s="419"/>
      <c r="G2" s="421"/>
      <c r="H2" s="419"/>
      <c r="I2" s="419"/>
      <c r="J2" s="419"/>
      <c r="K2" s="869"/>
      <c r="L2"/>
      <c r="M2"/>
      <c r="N2" s="419"/>
      <c r="O2" s="421"/>
      <c r="P2" s="419"/>
      <c r="Q2" s="422"/>
      <c r="R2" s="423"/>
      <c r="S2" s="423"/>
      <c r="T2" s="424"/>
      <c r="U2" s="426"/>
    </row>
    <row r="3" spans="1:26" ht="16.5">
      <c r="A3" s="418"/>
      <c r="B3" s="419"/>
      <c r="C3" s="420"/>
      <c r="D3" s="419"/>
      <c r="E3" s="420"/>
      <c r="F3" s="419"/>
      <c r="G3" s="421"/>
      <c r="H3" s="419"/>
      <c r="I3" s="419"/>
      <c r="J3" s="419"/>
      <c r="K3" s="420"/>
      <c r="L3" s="419"/>
      <c r="M3" s="420"/>
      <c r="N3" s="419"/>
      <c r="O3" s="421"/>
      <c r="P3" s="419"/>
      <c r="Q3" s="422"/>
      <c r="R3" s="423"/>
      <c r="S3" s="423"/>
      <c r="T3" s="424"/>
      <c r="U3" s="155"/>
    </row>
    <row r="4" spans="1:26" ht="16.5">
      <c r="A4" s="418"/>
      <c r="B4" s="419"/>
      <c r="C4" s="420"/>
      <c r="D4" s="419"/>
      <c r="E4" s="420"/>
      <c r="F4" s="419"/>
      <c r="G4" s="421"/>
      <c r="H4" s="419"/>
      <c r="I4" s="419"/>
      <c r="J4" s="419"/>
      <c r="K4" s="420"/>
      <c r="L4" s="419"/>
      <c r="M4" s="420"/>
      <c r="N4" s="419"/>
      <c r="O4" s="421"/>
      <c r="P4" s="419"/>
      <c r="Q4" s="422"/>
      <c r="R4" s="423"/>
      <c r="S4" s="423"/>
      <c r="T4" s="427"/>
      <c r="U4" s="166"/>
    </row>
    <row r="5" spans="1:26">
      <c r="A5" s="428"/>
      <c r="B5" s="419"/>
      <c r="C5" s="420"/>
      <c r="D5" s="419"/>
      <c r="E5" s="420"/>
      <c r="F5" s="419"/>
      <c r="G5" s="425"/>
      <c r="J5" s="419"/>
      <c r="K5" s="420"/>
      <c r="L5" s="419"/>
      <c r="M5" s="420"/>
      <c r="N5" s="419"/>
      <c r="O5" s="425"/>
      <c r="Q5" s="423"/>
      <c r="R5" s="423"/>
      <c r="S5" s="423"/>
      <c r="T5" s="423"/>
      <c r="U5" s="423"/>
    </row>
    <row r="6" spans="1:26" ht="17.25">
      <c r="A6" s="429"/>
      <c r="B6" s="422"/>
      <c r="C6" s="430"/>
      <c r="D6" s="431"/>
      <c r="E6" s="432"/>
      <c r="F6" s="431"/>
      <c r="G6" s="431"/>
      <c r="H6" s="433"/>
      <c r="I6" s="433"/>
      <c r="K6" s="434"/>
      <c r="L6" s="433"/>
      <c r="M6" s="434"/>
      <c r="N6" s="433"/>
      <c r="O6" s="433"/>
      <c r="P6" s="433"/>
      <c r="Q6" s="433"/>
    </row>
    <row r="8" spans="1:26">
      <c r="C8" s="436" t="s">
        <v>607</v>
      </c>
      <c r="D8" s="437"/>
      <c r="E8" s="438"/>
      <c r="F8" s="437"/>
      <c r="G8" s="439"/>
      <c r="H8" s="439"/>
      <c r="I8" s="439"/>
      <c r="J8" s="437"/>
      <c r="K8" s="438"/>
      <c r="L8" s="437"/>
      <c r="M8" s="438"/>
      <c r="N8" s="437"/>
      <c r="O8" s="439"/>
      <c r="P8" s="439"/>
      <c r="Q8" s="439"/>
      <c r="W8" s="419" t="s">
        <v>436</v>
      </c>
      <c r="X8" s="419"/>
      <c r="Y8" s="419"/>
      <c r="Z8" s="419"/>
    </row>
    <row r="9" spans="1:26">
      <c r="C9" s="440" t="s">
        <v>438</v>
      </c>
      <c r="D9" s="441"/>
      <c r="E9" s="442"/>
      <c r="F9" s="443"/>
      <c r="G9" s="444"/>
      <c r="H9" s="443"/>
      <c r="I9" s="443"/>
      <c r="K9" s="436" t="s">
        <v>439</v>
      </c>
      <c r="L9" s="445"/>
      <c r="M9" s="438"/>
      <c r="N9" s="437"/>
      <c r="O9" s="446"/>
      <c r="P9" s="437"/>
      <c r="Q9" s="437"/>
      <c r="T9" s="447"/>
      <c r="U9" s="447"/>
      <c r="W9" s="419" t="s">
        <v>438</v>
      </c>
      <c r="X9" s="419"/>
      <c r="Y9" s="419" t="s">
        <v>439</v>
      </c>
      <c r="Z9" s="419"/>
    </row>
    <row r="10" spans="1:26">
      <c r="A10" s="448" t="s">
        <v>85</v>
      </c>
      <c r="C10" s="438" t="s">
        <v>81</v>
      </c>
      <c r="E10" s="449" t="s">
        <v>8</v>
      </c>
      <c r="G10" s="451" t="s">
        <v>440</v>
      </c>
      <c r="I10" s="451" t="s">
        <v>441</v>
      </c>
      <c r="K10" s="438" t="s">
        <v>81</v>
      </c>
      <c r="M10" s="449" t="s">
        <v>8</v>
      </c>
      <c r="O10" s="451" t="s">
        <v>440</v>
      </c>
      <c r="Q10" s="451" t="s">
        <v>441</v>
      </c>
      <c r="W10" s="452" t="s">
        <v>81</v>
      </c>
      <c r="X10" s="452" t="s">
        <v>8</v>
      </c>
      <c r="Y10" s="452" t="s">
        <v>81</v>
      </c>
      <c r="Z10" s="452" t="s">
        <v>8</v>
      </c>
    </row>
    <row r="11" spans="1:26">
      <c r="A11" s="435">
        <v>100</v>
      </c>
      <c r="C11" s="453">
        <f>'OCS Sch 1 CC &amp; Energy Charge'!C11+'OCS Sch 1 CC &amp; Energy Charge'!I11</f>
        <v>14.95</v>
      </c>
      <c r="E11" s="453">
        <f>'OCS Sch 1 CC &amp; Energy Charge'!E11+'OCS Sch 1 CC &amp; Energy Charge'!K11</f>
        <v>16.07</v>
      </c>
      <c r="F11" s="453"/>
      <c r="G11" s="454">
        <f>E11-C11</f>
        <v>1.120000000000001</v>
      </c>
      <c r="I11" s="455">
        <f>ROUND(IF(C11=0,0,E11/C11-1),3)</f>
        <v>7.4999999999999997E-2</v>
      </c>
      <c r="K11" s="453">
        <f>'OCS Sch 1 CC &amp; Energy Charge'!C11+'OCS Sch 1 CC &amp; Energy Charge'!Q11</f>
        <v>14.95</v>
      </c>
      <c r="M11" s="453">
        <f>'OCS Sch 1 CC &amp; Energy Charge'!E11+'OCS Sch 1 CC &amp; Energy Charge'!S11</f>
        <v>16.07</v>
      </c>
      <c r="N11" s="453"/>
      <c r="O11" s="454">
        <f t="shared" ref="O11:O19" si="0">M11-K11</f>
        <v>1.120000000000001</v>
      </c>
      <c r="Q11" s="455">
        <f t="shared" ref="Q11:Q19" si="1">ROUND(IF(K11=0,0,M11/K11-1),3)</f>
        <v>7.4999999999999997E-2</v>
      </c>
      <c r="S11" s="456" t="s">
        <v>125</v>
      </c>
      <c r="T11" s="457" t="s">
        <v>614</v>
      </c>
      <c r="U11" s="458" t="s">
        <v>8</v>
      </c>
      <c r="W11" s="459">
        <f t="shared" ref="W11:W23" si="2">C11/$A11*100</f>
        <v>14.95</v>
      </c>
      <c r="X11" s="459">
        <f t="shared" ref="X11:X23" si="3">E11/A11*100</f>
        <v>16.07</v>
      </c>
      <c r="Y11" s="459">
        <f t="shared" ref="Y11:Y23" si="4">K11/$A11*100</f>
        <v>14.95</v>
      </c>
      <c r="Z11" s="459">
        <f t="shared" ref="Z11:Z23" si="5">M11/$A11*100</f>
        <v>16.07</v>
      </c>
    </row>
    <row r="12" spans="1:26" ht="13.5">
      <c r="A12" s="435">
        <v>200</v>
      </c>
      <c r="C12" s="453">
        <f>'OCS Sch 1 CC &amp; Energy Charge'!C12+'OCS Sch 1 CC &amp; Energy Charge'!I12</f>
        <v>24.65</v>
      </c>
      <c r="E12" s="453">
        <f>'OCS Sch 1 CC &amp; Energy Charge'!E12+'OCS Sch 1 CC &amp; Energy Charge'!K12</f>
        <v>25.88</v>
      </c>
      <c r="F12" s="453"/>
      <c r="G12" s="454">
        <f t="shared" ref="G12:G16" si="6">E12-C12</f>
        <v>1.2300000000000004</v>
      </c>
      <c r="I12" s="455">
        <f t="shared" ref="I12:I16" si="7">ROUND(IF(C12=0,0,E12/C12-1),3)</f>
        <v>0.05</v>
      </c>
      <c r="K12" s="453">
        <f>'OCS Sch 1 CC &amp; Energy Charge'!C12+'OCS Sch 1 CC &amp; Energy Charge'!Q12</f>
        <v>24.65</v>
      </c>
      <c r="M12" s="453">
        <f>'OCS Sch 1 CC &amp; Energy Charge'!E12+'OCS Sch 1 CC &amp; Energy Charge'!S12</f>
        <v>25.88</v>
      </c>
      <c r="N12" s="453"/>
      <c r="O12" s="454">
        <f t="shared" si="0"/>
        <v>1.2300000000000004</v>
      </c>
      <c r="Q12" s="455">
        <f t="shared" si="1"/>
        <v>0.05</v>
      </c>
      <c r="S12" s="460" t="s">
        <v>438</v>
      </c>
      <c r="T12" s="423"/>
      <c r="U12" s="461"/>
      <c r="W12" s="459">
        <f t="shared" si="2"/>
        <v>12.324999999999999</v>
      </c>
      <c r="X12" s="459">
        <f t="shared" si="3"/>
        <v>12.94</v>
      </c>
      <c r="Y12" s="459">
        <f t="shared" si="4"/>
        <v>12.324999999999999</v>
      </c>
      <c r="Z12" s="459">
        <f t="shared" si="5"/>
        <v>12.94</v>
      </c>
    </row>
    <row r="13" spans="1:26">
      <c r="A13" s="435">
        <v>300</v>
      </c>
      <c r="C13" s="453">
        <f>'OCS Sch 1 CC &amp; Energy Charge'!C13+'OCS Sch 1 CC &amp; Energy Charge'!I13</f>
        <v>34.340000000000003</v>
      </c>
      <c r="E13" s="453">
        <f>'OCS Sch 1 CC &amp; Energy Charge'!E13+'OCS Sch 1 CC &amp; Energy Charge'!K13</f>
        <v>35.69</v>
      </c>
      <c r="F13" s="453"/>
      <c r="G13" s="454">
        <f t="shared" si="6"/>
        <v>1.3499999999999943</v>
      </c>
      <c r="I13" s="455">
        <f t="shared" si="7"/>
        <v>3.9E-2</v>
      </c>
      <c r="K13" s="453">
        <f>'OCS Sch 1 CC &amp; Energy Charge'!C13+'OCS Sch 1 CC &amp; Energy Charge'!Q13</f>
        <v>34.340000000000003</v>
      </c>
      <c r="M13" s="453">
        <f>'OCS Sch 1 CC &amp; Energy Charge'!E13+'OCS Sch 1 CC &amp; Energy Charge'!S13</f>
        <v>35.69</v>
      </c>
      <c r="N13" s="453"/>
      <c r="O13" s="454">
        <f t="shared" si="0"/>
        <v>1.3499999999999943</v>
      </c>
      <c r="Q13" s="455">
        <f t="shared" si="1"/>
        <v>3.9E-2</v>
      </c>
      <c r="S13" s="462" t="s">
        <v>443</v>
      </c>
      <c r="T13" s="901">
        <f>'OCS Sch 1 CC &amp; Energy Charge'!Z13</f>
        <v>5</v>
      </c>
      <c r="U13" s="902">
        <f>'OCS Sch 1 CC &amp; Energy Charge'!AA13</f>
        <v>6</v>
      </c>
      <c r="W13" s="459">
        <f t="shared" si="2"/>
        <v>11.446666666666667</v>
      </c>
      <c r="X13" s="459">
        <f t="shared" si="3"/>
        <v>11.896666666666667</v>
      </c>
      <c r="Y13" s="459">
        <f t="shared" si="4"/>
        <v>11.446666666666667</v>
      </c>
      <c r="Z13" s="459">
        <f t="shared" si="5"/>
        <v>11.896666666666667</v>
      </c>
    </row>
    <row r="14" spans="1:26">
      <c r="A14" s="435">
        <v>400</v>
      </c>
      <c r="C14" s="453">
        <f>'OCS Sch 1 CC &amp; Energy Charge'!C14+'OCS Sch 1 CC &amp; Energy Charge'!I14</f>
        <v>44.03</v>
      </c>
      <c r="E14" s="453">
        <f>'OCS Sch 1 CC &amp; Energy Charge'!E14+'OCS Sch 1 CC &amp; Energy Charge'!K14</f>
        <v>45.5</v>
      </c>
      <c r="F14" s="453"/>
      <c r="G14" s="454">
        <f t="shared" si="6"/>
        <v>1.4699999999999989</v>
      </c>
      <c r="I14" s="455">
        <f t="shared" si="7"/>
        <v>3.3000000000000002E-2</v>
      </c>
      <c r="K14" s="453">
        <f>'OCS Sch 1 CC &amp; Energy Charge'!C14+'OCS Sch 1 CC &amp; Energy Charge'!Q14</f>
        <v>44.03</v>
      </c>
      <c r="M14" s="453">
        <f>'OCS Sch 1 CC &amp; Energy Charge'!E14+'OCS Sch 1 CC &amp; Energy Charge'!S14</f>
        <v>45.5</v>
      </c>
      <c r="N14" s="453"/>
      <c r="O14" s="454">
        <f t="shared" si="0"/>
        <v>1.4699999999999989</v>
      </c>
      <c r="Q14" s="455">
        <f t="shared" si="1"/>
        <v>3.3000000000000002E-2</v>
      </c>
      <c r="S14" s="462" t="s">
        <v>444</v>
      </c>
      <c r="T14" s="903">
        <f>'OCS Sch 1 CC &amp; Energy Charge'!Z14</f>
        <v>8.9210000000000012</v>
      </c>
      <c r="U14" s="904">
        <f>'OCS Sch 1 CC &amp; Energy Charge'!AA14</f>
        <v>9.0285000000000011</v>
      </c>
      <c r="W14" s="459">
        <f t="shared" si="2"/>
        <v>11.0075</v>
      </c>
      <c r="X14" s="459">
        <f t="shared" si="3"/>
        <v>11.375</v>
      </c>
      <c r="Y14" s="459">
        <f t="shared" si="4"/>
        <v>11.0075</v>
      </c>
      <c r="Z14" s="459">
        <f t="shared" si="5"/>
        <v>11.375</v>
      </c>
    </row>
    <row r="15" spans="1:26">
      <c r="A15" s="435">
        <v>500</v>
      </c>
      <c r="C15" s="453">
        <f>'OCS Sch 1 CC &amp; Energy Charge'!C15+'OCS Sch 1 CC &amp; Energy Charge'!I15</f>
        <v>56.65</v>
      </c>
      <c r="E15" s="453">
        <f>'OCS Sch 1 CC &amp; Energy Charge'!E15+'OCS Sch 1 CC &amp; Energy Charge'!K15</f>
        <v>58.27</v>
      </c>
      <c r="F15" s="453"/>
      <c r="G15" s="454">
        <f t="shared" si="6"/>
        <v>1.6200000000000045</v>
      </c>
      <c r="I15" s="455">
        <f t="shared" si="7"/>
        <v>2.9000000000000001E-2</v>
      </c>
      <c r="K15" s="453">
        <f>'OCS Sch 1 CC &amp; Energy Charge'!C15+'OCS Sch 1 CC &amp; Energy Charge'!Q15</f>
        <v>54.86</v>
      </c>
      <c r="M15" s="453">
        <f>'OCS Sch 1 CC &amp; Energy Charge'!E15+'OCS Sch 1 CC &amp; Energy Charge'!S15</f>
        <v>56.86</v>
      </c>
      <c r="N15" s="453"/>
      <c r="O15" s="454">
        <f t="shared" si="0"/>
        <v>2</v>
      </c>
      <c r="Q15" s="455">
        <f t="shared" si="1"/>
        <v>3.5999999999999997E-2</v>
      </c>
      <c r="S15" s="462" t="s">
        <v>445</v>
      </c>
      <c r="T15" s="903">
        <f>'OCS Sch 1 CC &amp; Energy Charge'!Z15</f>
        <v>11.614100000000001</v>
      </c>
      <c r="U15" s="904">
        <f>'OCS Sch 1 CC &amp; Energy Charge'!AA15</f>
        <v>11.754200000000001</v>
      </c>
      <c r="W15" s="459">
        <f t="shared" si="2"/>
        <v>11.33</v>
      </c>
      <c r="X15" s="459">
        <f t="shared" si="3"/>
        <v>11.654</v>
      </c>
      <c r="Y15" s="459">
        <f t="shared" si="4"/>
        <v>10.972</v>
      </c>
      <c r="Z15" s="459">
        <f t="shared" si="5"/>
        <v>11.372</v>
      </c>
    </row>
    <row r="16" spans="1:26">
      <c r="A16" s="435">
        <v>600</v>
      </c>
      <c r="C16" s="453">
        <f>'OCS Sch 1 CC &amp; Energy Charge'!C16+'OCS Sch 1 CC &amp; Energy Charge'!I16</f>
        <v>69.27</v>
      </c>
      <c r="E16" s="453">
        <f>'OCS Sch 1 CC &amp; Energy Charge'!E16+'OCS Sch 1 CC &amp; Energy Charge'!K16</f>
        <v>71.040000000000006</v>
      </c>
      <c r="F16" s="453"/>
      <c r="G16" s="454">
        <f t="shared" si="6"/>
        <v>1.7700000000000102</v>
      </c>
      <c r="I16" s="455">
        <f t="shared" si="7"/>
        <v>2.5999999999999999E-2</v>
      </c>
      <c r="K16" s="453">
        <f>'OCS Sch 1 CC &amp; Energy Charge'!C16+'OCS Sch 1 CC &amp; Energy Charge'!Q16</f>
        <v>65.680000000000007</v>
      </c>
      <c r="M16" s="453">
        <f>'OCS Sch 1 CC &amp; Energy Charge'!E16+'OCS Sch 1 CC &amp; Energy Charge'!S16</f>
        <v>68.22999999999999</v>
      </c>
      <c r="N16" s="453"/>
      <c r="O16" s="454">
        <f t="shared" si="0"/>
        <v>2.5499999999999829</v>
      </c>
      <c r="Q16" s="455">
        <f t="shared" si="1"/>
        <v>3.9E-2</v>
      </c>
      <c r="S16" s="462" t="s">
        <v>446</v>
      </c>
      <c r="T16" s="903">
        <f>'OCS Sch 1 CC &amp; Energy Charge'!Z16</f>
        <v>14.522</v>
      </c>
      <c r="U16" s="904">
        <f>'OCS Sch 1 CC &amp; Energy Charge'!AA16</f>
        <v>14.695600000000001</v>
      </c>
      <c r="W16" s="459">
        <f t="shared" si="2"/>
        <v>11.545</v>
      </c>
      <c r="X16" s="459">
        <f t="shared" si="3"/>
        <v>11.84</v>
      </c>
      <c r="Y16" s="459">
        <f t="shared" si="4"/>
        <v>10.946666666666669</v>
      </c>
      <c r="Z16" s="459">
        <f t="shared" si="5"/>
        <v>11.371666666666664</v>
      </c>
    </row>
    <row r="17" spans="1:26">
      <c r="A17" s="435">
        <v>663</v>
      </c>
      <c r="B17" s="425" t="s">
        <v>448</v>
      </c>
      <c r="F17" s="453"/>
      <c r="G17" s="454"/>
      <c r="I17" s="455"/>
      <c r="K17" s="453">
        <f>'OCS Sch 1 CC &amp; Energy Charge'!C17+'OCS Sch 1 CC &amp; Energy Charge'!Q17</f>
        <v>72.5</v>
      </c>
      <c r="M17" s="453">
        <f>'OCS Sch 1 CC &amp; Energy Charge'!E17+'OCS Sch 1 CC &amp; Energy Charge'!S17</f>
        <v>75.39</v>
      </c>
      <c r="N17" s="453"/>
      <c r="O17" s="454">
        <f t="shared" si="0"/>
        <v>2.8900000000000006</v>
      </c>
      <c r="Q17" s="455">
        <f t="shared" si="1"/>
        <v>0.04</v>
      </c>
      <c r="S17" s="462" t="s">
        <v>447</v>
      </c>
      <c r="T17" s="901">
        <f>'OCS Sch 1 CC &amp; Energy Charge'!Z17</f>
        <v>7</v>
      </c>
      <c r="U17" s="902">
        <f>'OCS Sch 1 CC &amp; Energy Charge'!AA17</f>
        <v>10</v>
      </c>
      <c r="W17" s="459"/>
      <c r="X17" s="459"/>
      <c r="Y17" s="459">
        <f t="shared" si="4"/>
        <v>10.935143288084465</v>
      </c>
      <c r="Z17" s="459">
        <v>7</v>
      </c>
    </row>
    <row r="18" spans="1:26">
      <c r="A18" s="435">
        <v>698</v>
      </c>
      <c r="B18" s="425" t="s">
        <v>450</v>
      </c>
      <c r="C18" s="453">
        <f>'OCS Sch 1 CC &amp; Energy Charge'!C18+'OCS Sch 1 CC &amp; Energy Charge'!I18</f>
        <v>81.64</v>
      </c>
      <c r="E18" s="453">
        <f>'OCS Sch 1 CC &amp; Energy Charge'!E18+'OCS Sch 1 CC &amp; Energy Charge'!K18</f>
        <v>83.56</v>
      </c>
      <c r="F18" s="453"/>
      <c r="G18" s="454">
        <f t="shared" ref="G18" si="8">E18-C18</f>
        <v>1.9200000000000017</v>
      </c>
      <c r="I18" s="455">
        <f t="shared" ref="I18" si="9">ROUND(IF(C18=0,0,E18/C18-1),3)</f>
        <v>2.4E-2</v>
      </c>
      <c r="K18" s="453">
        <f>'OCS Sch 1 CC &amp; Energy Charge'!C18+'OCS Sch 1 CC &amp; Energy Charge'!Q18</f>
        <v>76.290000000000006</v>
      </c>
      <c r="M18" s="453">
        <f>'OCS Sch 1 CC &amp; Energy Charge'!E18+'OCS Sch 1 CC &amp; Energy Charge'!S18</f>
        <v>79.36</v>
      </c>
      <c r="N18" s="453"/>
      <c r="O18" s="454">
        <f t="shared" si="0"/>
        <v>3.0699999999999932</v>
      </c>
      <c r="Q18" s="455">
        <f t="shared" si="1"/>
        <v>0.04</v>
      </c>
      <c r="S18" s="462" t="s">
        <v>449</v>
      </c>
      <c r="T18" s="901">
        <f>'OCS Sch 1 CC &amp; Energy Charge'!Z18</f>
        <v>0.26</v>
      </c>
      <c r="U18" s="902">
        <f>'OCS Sch 1 CC &amp; Energy Charge'!AA18</f>
        <v>0.26</v>
      </c>
      <c r="W18" s="459">
        <f t="shared" si="2"/>
        <v>11.696275071633238</v>
      </c>
      <c r="X18" s="459">
        <f t="shared" si="3"/>
        <v>11.971346704871062</v>
      </c>
      <c r="Y18" s="459">
        <f t="shared" si="4"/>
        <v>10.9297994269341</v>
      </c>
      <c r="Z18" s="459">
        <f t="shared" si="5"/>
        <v>11.369627507163324</v>
      </c>
    </row>
    <row r="19" spans="1:26">
      <c r="A19" s="435">
        <v>700</v>
      </c>
      <c r="C19" s="453">
        <f>'OCS Sch 1 CC &amp; Energy Charge'!C19+'OCS Sch 1 CC &amp; Energy Charge'!I19</f>
        <v>81.89</v>
      </c>
      <c r="E19" s="453">
        <f>'OCS Sch 1 CC &amp; Energy Charge'!E19+'OCS Sch 1 CC &amp; Energy Charge'!K19</f>
        <v>83.81</v>
      </c>
      <c r="F19" s="453"/>
      <c r="G19" s="454">
        <f t="shared" ref="G19:G32" si="10">E19-C19</f>
        <v>1.9200000000000017</v>
      </c>
      <c r="I19" s="455">
        <f t="shared" ref="I19:I32" si="11">ROUND(IF(C19=0,0,E19/C19-1),3)</f>
        <v>2.3E-2</v>
      </c>
      <c r="K19" s="453">
        <f>'OCS Sch 1 CC &amp; Energy Charge'!C19+'OCS Sch 1 CC &amp; Energy Charge'!Q19</f>
        <v>76.5</v>
      </c>
      <c r="M19" s="453">
        <f>'OCS Sch 1 CC &amp; Energy Charge'!E19+'OCS Sch 1 CC &amp; Energy Charge'!S19</f>
        <v>79.59</v>
      </c>
      <c r="N19" s="453"/>
      <c r="O19" s="454">
        <f t="shared" si="0"/>
        <v>3.0900000000000034</v>
      </c>
      <c r="Q19" s="455">
        <f t="shared" si="1"/>
        <v>0.04</v>
      </c>
      <c r="S19" s="462" t="s">
        <v>82</v>
      </c>
      <c r="T19" s="905">
        <f>'OCS Sch 1 CC &amp; Energy Charge'!Z19</f>
        <v>3.3799999999999997E-2</v>
      </c>
      <c r="U19" s="906">
        <f>'OCS Sch 1 CC &amp; Energy Charge'!AA19</f>
        <v>3.3799999999999997E-2</v>
      </c>
      <c r="W19" s="459">
        <f t="shared" si="2"/>
        <v>11.698571428571428</v>
      </c>
      <c r="X19" s="459">
        <f t="shared" si="3"/>
        <v>11.972857142857144</v>
      </c>
      <c r="Y19" s="459">
        <f t="shared" si="4"/>
        <v>10.928571428571429</v>
      </c>
      <c r="Z19" s="459">
        <f t="shared" si="5"/>
        <v>11.370000000000001</v>
      </c>
    </row>
    <row r="20" spans="1:26" ht="13.5">
      <c r="A20" s="435">
        <v>747</v>
      </c>
      <c r="B20" s="425" t="s">
        <v>451</v>
      </c>
      <c r="C20" s="453">
        <f>'OCS Sch 1 CC &amp; Energy Charge'!C20+'OCS Sch 1 CC &amp; Energy Charge'!I20</f>
        <v>87.82</v>
      </c>
      <c r="E20" s="453">
        <f>'OCS Sch 1 CC &amp; Energy Charge'!E20+'OCS Sch 1 CC &amp; Energy Charge'!K20</f>
        <v>89.81</v>
      </c>
      <c r="F20" s="453"/>
      <c r="G20" s="454">
        <f t="shared" si="10"/>
        <v>1.9900000000000091</v>
      </c>
      <c r="I20" s="455">
        <f t="shared" si="11"/>
        <v>2.3E-2</v>
      </c>
      <c r="N20" s="453"/>
      <c r="O20" s="454"/>
      <c r="Q20" s="455"/>
      <c r="S20" s="460" t="s">
        <v>439</v>
      </c>
      <c r="T20" s="907"/>
      <c r="U20" s="908"/>
      <c r="W20" s="459">
        <f t="shared" si="2"/>
        <v>11.75635876840696</v>
      </c>
      <c r="X20" s="459">
        <f t="shared" si="3"/>
        <v>12.022757697456493</v>
      </c>
      <c r="Y20" s="459"/>
      <c r="Z20" s="459"/>
    </row>
    <row r="21" spans="1:26">
      <c r="A21" s="435">
        <v>800</v>
      </c>
      <c r="C21" s="453">
        <f>'OCS Sch 1 CC &amp; Energy Charge'!C21+'OCS Sch 1 CC &amp; Energy Charge'!I21</f>
        <v>94.51</v>
      </c>
      <c r="E21" s="453">
        <f>'OCS Sch 1 CC &amp; Energy Charge'!E21+'OCS Sch 1 CC &amp; Energy Charge'!K21</f>
        <v>96.58</v>
      </c>
      <c r="F21" s="453"/>
      <c r="G21" s="454">
        <f t="shared" si="10"/>
        <v>2.0699999999999932</v>
      </c>
      <c r="I21" s="455">
        <f t="shared" si="11"/>
        <v>2.1999999999999999E-2</v>
      </c>
      <c r="K21" s="453">
        <f>'OCS Sch 1 CC &amp; Energy Charge'!C21+'OCS Sch 1 CC &amp; Energy Charge'!Q21</f>
        <v>87.33</v>
      </c>
      <c r="M21" s="453">
        <f>'OCS Sch 1 CC &amp; Energy Charge'!E21+'OCS Sch 1 CC &amp; Energy Charge'!S21</f>
        <v>90.95</v>
      </c>
      <c r="N21" s="453"/>
      <c r="O21" s="454">
        <f t="shared" ref="O21" si="12">M21-K21</f>
        <v>3.6200000000000045</v>
      </c>
      <c r="Q21" s="455">
        <f t="shared" ref="Q21" si="13">ROUND(IF(K21=0,0,M21/K21-1),3)</f>
        <v>4.1000000000000002E-2</v>
      </c>
      <c r="S21" s="462" t="s">
        <v>443</v>
      </c>
      <c r="T21" s="909">
        <f>'OCS Sch 1 CC &amp; Energy Charge'!Z21</f>
        <v>5</v>
      </c>
      <c r="U21" s="908">
        <f>'OCS Sch 1 CC &amp; Energy Charge'!AA21</f>
        <v>6</v>
      </c>
      <c r="W21" s="459">
        <f t="shared" si="2"/>
        <v>11.813750000000001</v>
      </c>
      <c r="X21" s="459">
        <f t="shared" si="3"/>
        <v>12.0725</v>
      </c>
      <c r="Y21" s="459">
        <f t="shared" si="4"/>
        <v>10.91625</v>
      </c>
      <c r="Z21" s="459">
        <f t="shared" si="5"/>
        <v>11.36875</v>
      </c>
    </row>
    <row r="22" spans="1:26">
      <c r="A22" s="435">
        <v>900</v>
      </c>
      <c r="C22" s="453">
        <f>'OCS Sch 1 CC &amp; Energy Charge'!C22+'OCS Sch 1 CC &amp; Energy Charge'!I22</f>
        <v>107.13</v>
      </c>
      <c r="E22" s="453">
        <f>'OCS Sch 1 CC &amp; Energy Charge'!E22+'OCS Sch 1 CC &amp; Energy Charge'!K22</f>
        <v>109.35</v>
      </c>
      <c r="F22" s="453"/>
      <c r="G22" s="454">
        <f t="shared" si="10"/>
        <v>2.2199999999999989</v>
      </c>
      <c r="I22" s="455">
        <f t="shared" si="11"/>
        <v>2.1000000000000001E-2</v>
      </c>
      <c r="K22" s="453">
        <f>'OCS Sch 1 CC &amp; Energy Charge'!C22+'OCS Sch 1 CC &amp; Energy Charge'!Q22</f>
        <v>98.15</v>
      </c>
      <c r="M22" s="453">
        <f>'OCS Sch 1 CC &amp; Energy Charge'!E22+'OCS Sch 1 CC &amp; Energy Charge'!S22</f>
        <v>102.32</v>
      </c>
      <c r="N22" s="453"/>
      <c r="O22" s="454">
        <f t="shared" ref="O22:O32" si="14">M22-K22</f>
        <v>4.1699999999999875</v>
      </c>
      <c r="Q22" s="455">
        <f t="shared" ref="Q22:Q32" si="15">ROUND(IF(K22=0,0,M22/K22-1),3)</f>
        <v>4.2000000000000003E-2</v>
      </c>
      <c r="S22" s="462" t="s">
        <v>444</v>
      </c>
      <c r="T22" s="910">
        <f>'OCS Sch 1 CC &amp; Energy Charge'!Z22</f>
        <v>8.9210000000000012</v>
      </c>
      <c r="U22" s="911">
        <f>'OCS Sch 1 CC &amp; Energy Charge'!AA22</f>
        <v>9.0285000000000011</v>
      </c>
      <c r="W22" s="459">
        <f t="shared" si="2"/>
        <v>11.903333333333332</v>
      </c>
      <c r="X22" s="459">
        <f t="shared" si="3"/>
        <v>12.15</v>
      </c>
      <c r="Y22" s="459">
        <f t="shared" si="4"/>
        <v>10.905555555555555</v>
      </c>
      <c r="Z22" s="459">
        <f t="shared" si="5"/>
        <v>11.368888888888888</v>
      </c>
    </row>
    <row r="23" spans="1:26">
      <c r="A23" s="435">
        <v>1000</v>
      </c>
      <c r="C23" s="453">
        <f>'OCS Sch 1 CC &amp; Energy Charge'!C23+'OCS Sch 1 CC &amp; Energy Charge'!I23</f>
        <v>119.75</v>
      </c>
      <c r="E23" s="453">
        <f>'OCS Sch 1 CC &amp; Energy Charge'!E23+'OCS Sch 1 CC &amp; Energy Charge'!K23</f>
        <v>122.13</v>
      </c>
      <c r="F23" s="453"/>
      <c r="G23" s="454">
        <f t="shared" si="10"/>
        <v>2.3799999999999955</v>
      </c>
      <c r="I23" s="455">
        <f t="shared" si="11"/>
        <v>0.02</v>
      </c>
      <c r="K23" s="453">
        <f>'OCS Sch 1 CC &amp; Energy Charge'!C23+'OCS Sch 1 CC &amp; Energy Charge'!Q23</f>
        <v>108.98</v>
      </c>
      <c r="M23" s="453">
        <f>'OCS Sch 1 CC &amp; Energy Charge'!E23+'OCS Sch 1 CC &amp; Energy Charge'!S23</f>
        <v>113.68</v>
      </c>
      <c r="N23" s="453"/>
      <c r="O23" s="454">
        <f t="shared" si="14"/>
        <v>4.7000000000000028</v>
      </c>
      <c r="Q23" s="455">
        <f t="shared" si="15"/>
        <v>4.2999999999999997E-2</v>
      </c>
      <c r="S23" s="462" t="s">
        <v>445</v>
      </c>
      <c r="T23" s="912">
        <f>'OCS Sch 1 CC &amp; Energy Charge'!Z23</f>
        <v>9.9625000000000004</v>
      </c>
      <c r="U23" s="913">
        <f>'OCS Sch 1 CC &amp; Energy Charge'!AA23</f>
        <v>10.4588</v>
      </c>
      <c r="W23" s="459">
        <f t="shared" si="2"/>
        <v>11.975</v>
      </c>
      <c r="X23" s="459">
        <f t="shared" si="3"/>
        <v>12.212999999999999</v>
      </c>
      <c r="Y23" s="459">
        <f t="shared" si="4"/>
        <v>10.898000000000001</v>
      </c>
      <c r="Z23" s="459">
        <f t="shared" si="5"/>
        <v>11.368</v>
      </c>
    </row>
    <row r="24" spans="1:26">
      <c r="A24" s="435">
        <v>1100</v>
      </c>
      <c r="C24" s="453">
        <f>'OCS Sch 1 CC &amp; Energy Charge'!C24+'OCS Sch 1 CC &amp; Energy Charge'!I24</f>
        <v>135.52000000000001</v>
      </c>
      <c r="E24" s="453">
        <f>'OCS Sch 1 CC &amp; Energy Charge'!E24+'OCS Sch 1 CC &amp; Energy Charge'!K24</f>
        <v>138.09</v>
      </c>
      <c r="F24" s="453"/>
      <c r="G24" s="454">
        <f t="shared" si="10"/>
        <v>2.5699999999999932</v>
      </c>
      <c r="I24" s="455">
        <f t="shared" si="11"/>
        <v>1.9E-2</v>
      </c>
      <c r="K24" s="453">
        <f>'OCS Sch 1 CC &amp; Energy Charge'!C24+'OCS Sch 1 CC &amp; Energy Charge'!Q24</f>
        <v>119.8</v>
      </c>
      <c r="M24" s="453">
        <f>'OCS Sch 1 CC &amp; Energy Charge'!E24+'OCS Sch 1 CC &amp; Energy Charge'!S24</f>
        <v>125.04</v>
      </c>
      <c r="N24" s="453"/>
      <c r="O24" s="454">
        <f t="shared" si="14"/>
        <v>5.2400000000000091</v>
      </c>
      <c r="Q24" s="455">
        <f t="shared" si="15"/>
        <v>4.3999999999999997E-2</v>
      </c>
      <c r="S24" s="462" t="s">
        <v>447</v>
      </c>
      <c r="T24" s="909">
        <f>'OCS Sch 1 CC &amp; Energy Charge'!Z24</f>
        <v>7</v>
      </c>
      <c r="U24" s="908">
        <f>'OCS Sch 1 CC &amp; Energy Charge'!AA24</f>
        <v>10</v>
      </c>
      <c r="W24" s="459">
        <f t="shared" ref="W24" si="16">C24/$A24*100</f>
        <v>12.32</v>
      </c>
      <c r="X24" s="459">
        <f t="shared" ref="X24" si="17">E24/A24*100</f>
        <v>12.553636363636365</v>
      </c>
      <c r="Y24" s="459">
        <f t="shared" ref="Y24" si="18">K24/$A24*100</f>
        <v>10.890909090909091</v>
      </c>
      <c r="Z24" s="459">
        <f t="shared" ref="Z24" si="19">M24/$A24*100</f>
        <v>11.367272727272727</v>
      </c>
    </row>
    <row r="25" spans="1:26">
      <c r="A25" s="435">
        <v>1200</v>
      </c>
      <c r="C25" s="453">
        <f>'OCS Sch 1 CC &amp; Energy Charge'!C25+'OCS Sch 1 CC &amp; Energy Charge'!I25</f>
        <v>151.30000000000001</v>
      </c>
      <c r="E25" s="453">
        <f>'OCS Sch 1 CC &amp; Energy Charge'!E25+'OCS Sch 1 CC &amp; Energy Charge'!K25</f>
        <v>154.06</v>
      </c>
      <c r="F25" s="453"/>
      <c r="G25" s="454">
        <f t="shared" si="10"/>
        <v>2.7599999999999909</v>
      </c>
      <c r="I25" s="455">
        <f t="shared" si="11"/>
        <v>1.7999999999999999E-2</v>
      </c>
      <c r="K25" s="453">
        <f>'OCS Sch 1 CC &amp; Energy Charge'!C25+'OCS Sch 1 CC &amp; Energy Charge'!Q25</f>
        <v>130.63</v>
      </c>
      <c r="M25" s="453">
        <f>'OCS Sch 1 CC &amp; Energy Charge'!E25+'OCS Sch 1 CC &amp; Energy Charge'!S25</f>
        <v>136.41</v>
      </c>
      <c r="N25" s="453"/>
      <c r="O25" s="454">
        <f t="shared" si="14"/>
        <v>5.7800000000000011</v>
      </c>
      <c r="Q25" s="455">
        <f t="shared" si="15"/>
        <v>4.3999999999999997E-2</v>
      </c>
      <c r="S25" s="462" t="s">
        <v>449</v>
      </c>
      <c r="T25" s="909">
        <f>'OCS Sch 1 CC &amp; Energy Charge'!Z25</f>
        <v>0.26</v>
      </c>
      <c r="U25" s="908">
        <f>'OCS Sch 1 CC &amp; Energy Charge'!AA25</f>
        <v>0.26</v>
      </c>
      <c r="W25" s="459">
        <f t="shared" ref="W25:W30" si="20">C24/$A24*100</f>
        <v>12.32</v>
      </c>
      <c r="X25" s="459">
        <f t="shared" ref="X25:X30" si="21">E24/A24*100</f>
        <v>12.553636363636365</v>
      </c>
      <c r="Y25" s="459">
        <f t="shared" ref="Y25:Y30" si="22">K24/$A24*100</f>
        <v>10.890909090909091</v>
      </c>
      <c r="Z25" s="459">
        <f t="shared" ref="Z25:Z30" si="23">M24/$A24*100</f>
        <v>11.367272727272727</v>
      </c>
    </row>
    <row r="26" spans="1:26">
      <c r="A26" s="435">
        <v>1300</v>
      </c>
      <c r="C26" s="453">
        <f>'OCS Sch 1 CC &amp; Energy Charge'!C26+'OCS Sch 1 CC &amp; Energy Charge'!I26</f>
        <v>167.08</v>
      </c>
      <c r="E26" s="453">
        <f>'OCS Sch 1 CC &amp; Energy Charge'!E26+'OCS Sch 1 CC &amp; Energy Charge'!K26</f>
        <v>170.03</v>
      </c>
      <c r="F26" s="453"/>
      <c r="G26" s="454">
        <f t="shared" si="10"/>
        <v>2.9499999999999886</v>
      </c>
      <c r="I26" s="455">
        <f t="shared" si="11"/>
        <v>1.7999999999999999E-2</v>
      </c>
      <c r="K26" s="453">
        <f>'OCS Sch 1 CC &amp; Energy Charge'!C26+'OCS Sch 1 CC &amp; Energy Charge'!Q26</f>
        <v>141.44999999999999</v>
      </c>
      <c r="M26" s="453">
        <f>'OCS Sch 1 CC &amp; Energy Charge'!E26+'OCS Sch 1 CC &amp; Energy Charge'!S26</f>
        <v>147.77000000000001</v>
      </c>
      <c r="N26" s="453"/>
      <c r="O26" s="454">
        <f t="shared" si="14"/>
        <v>6.3200000000000216</v>
      </c>
      <c r="Q26" s="455">
        <f t="shared" si="15"/>
        <v>4.4999999999999998E-2</v>
      </c>
      <c r="S26" s="473" t="s">
        <v>82</v>
      </c>
      <c r="T26" s="914">
        <f>'OCS Sch 1 CC &amp; Energy Charge'!Z26</f>
        <v>3.3799999999999997E-2</v>
      </c>
      <c r="U26" s="915">
        <f>'OCS Sch 1 CC &amp; Energy Charge'!AA26</f>
        <v>3.3799999999999997E-2</v>
      </c>
      <c r="W26" s="459">
        <f t="shared" si="20"/>
        <v>12.608333333333336</v>
      </c>
      <c r="X26" s="459">
        <f t="shared" si="21"/>
        <v>12.838333333333333</v>
      </c>
      <c r="Y26" s="459">
        <f t="shared" si="22"/>
        <v>10.885833333333334</v>
      </c>
      <c r="Z26" s="459">
        <f t="shared" si="23"/>
        <v>11.3675</v>
      </c>
    </row>
    <row r="27" spans="1:26">
      <c r="A27" s="435">
        <v>1400</v>
      </c>
      <c r="C27" s="453">
        <f>'OCS Sch 1 CC &amp; Energy Charge'!C27+'OCS Sch 1 CC &amp; Energy Charge'!I27</f>
        <v>182.86</v>
      </c>
      <c r="E27" s="453">
        <f>'OCS Sch 1 CC &amp; Energy Charge'!E27+'OCS Sch 1 CC &amp; Energy Charge'!K27</f>
        <v>185.99</v>
      </c>
      <c r="F27" s="453"/>
      <c r="G27" s="454">
        <f t="shared" si="10"/>
        <v>3.1299999999999955</v>
      </c>
      <c r="I27" s="455">
        <f t="shared" si="11"/>
        <v>1.7000000000000001E-2</v>
      </c>
      <c r="K27" s="453">
        <f>'OCS Sch 1 CC &amp; Energy Charge'!C27+'OCS Sch 1 CC &amp; Energy Charge'!Q27</f>
        <v>152.28</v>
      </c>
      <c r="M27" s="453">
        <f>'OCS Sch 1 CC &amp; Energy Charge'!E27+'OCS Sch 1 CC &amp; Energy Charge'!S27</f>
        <v>159.13999999999999</v>
      </c>
      <c r="N27" s="453"/>
      <c r="O27" s="454">
        <f t="shared" si="14"/>
        <v>6.8599999999999852</v>
      </c>
      <c r="Q27" s="455">
        <f t="shared" si="15"/>
        <v>4.4999999999999998E-2</v>
      </c>
      <c r="S27" s="425" t="s">
        <v>617</v>
      </c>
      <c r="T27" s="423"/>
      <c r="U27" s="476"/>
      <c r="W27" s="459">
        <f t="shared" si="20"/>
        <v>12.852307692307694</v>
      </c>
      <c r="X27" s="459">
        <f t="shared" si="21"/>
        <v>13.079230769230769</v>
      </c>
      <c r="Y27" s="459">
        <f t="shared" si="22"/>
        <v>10.88076923076923</v>
      </c>
      <c r="Z27" s="459">
        <f t="shared" si="23"/>
        <v>11.366923076923078</v>
      </c>
    </row>
    <row r="28" spans="1:26">
      <c r="A28" s="435">
        <v>1500</v>
      </c>
      <c r="C28" s="453">
        <f>'OCS Sch 1 CC &amp; Energy Charge'!C28+'OCS Sch 1 CC &amp; Energy Charge'!I28</f>
        <v>198.64</v>
      </c>
      <c r="E28" s="453">
        <f>'OCS Sch 1 CC &amp; Energy Charge'!E28+'OCS Sch 1 CC &amp; Energy Charge'!K28</f>
        <v>201.96</v>
      </c>
      <c r="F28" s="453"/>
      <c r="G28" s="454">
        <f t="shared" si="10"/>
        <v>3.3200000000000216</v>
      </c>
      <c r="I28" s="455">
        <f t="shared" si="11"/>
        <v>1.7000000000000001E-2</v>
      </c>
      <c r="K28" s="453">
        <f>'OCS Sch 1 CC &amp; Energy Charge'!C28+'OCS Sch 1 CC &amp; Energy Charge'!Q28</f>
        <v>163.1</v>
      </c>
      <c r="M28" s="453">
        <f>'OCS Sch 1 CC &amp; Energy Charge'!E28+'OCS Sch 1 CC &amp; Energy Charge'!S28</f>
        <v>170.5</v>
      </c>
      <c r="N28" s="453"/>
      <c r="O28" s="454">
        <f t="shared" si="14"/>
        <v>7.4000000000000057</v>
      </c>
      <c r="Q28" s="455">
        <f t="shared" si="15"/>
        <v>4.4999999999999998E-2</v>
      </c>
      <c r="S28" s="425" t="s">
        <v>374</v>
      </c>
      <c r="T28" s="476">
        <f>'OCS Sch 1 CC &amp; Energy Charge'!Z28</f>
        <v>3.56E-2</v>
      </c>
      <c r="U28" s="477">
        <f>'OCS Sch 1 CC &amp; Energy Charge'!AA28</f>
        <v>3.56E-2</v>
      </c>
      <c r="W28" s="459">
        <f t="shared" si="20"/>
        <v>13.061428571428571</v>
      </c>
      <c r="X28" s="459">
        <f t="shared" si="21"/>
        <v>13.285</v>
      </c>
      <c r="Y28" s="459">
        <f t="shared" si="22"/>
        <v>10.877142857142857</v>
      </c>
      <c r="Z28" s="459">
        <f t="shared" si="23"/>
        <v>11.367142857142856</v>
      </c>
    </row>
    <row r="29" spans="1:26">
      <c r="A29" s="435">
        <v>2000</v>
      </c>
      <c r="C29" s="453">
        <f>'OCS Sch 1 CC &amp; Energy Charge'!C29+'OCS Sch 1 CC &amp; Energy Charge'!I29</f>
        <v>277.52999999999997</v>
      </c>
      <c r="E29" s="453">
        <f>'OCS Sch 1 CC &amp; Energy Charge'!E29+'OCS Sch 1 CC &amp; Energy Charge'!K29</f>
        <v>281.8</v>
      </c>
      <c r="F29" s="453"/>
      <c r="G29" s="454">
        <f t="shared" si="10"/>
        <v>4.2700000000000387</v>
      </c>
      <c r="I29" s="455">
        <f t="shared" si="11"/>
        <v>1.4999999999999999E-2</v>
      </c>
      <c r="K29" s="453">
        <f>'OCS Sch 1 CC &amp; Energy Charge'!C29+'OCS Sch 1 CC &amp; Energy Charge'!Q29</f>
        <v>217.22</v>
      </c>
      <c r="M29" s="453">
        <f>'OCS Sch 1 CC &amp; Energy Charge'!E29+'OCS Sch 1 CC &amp; Energy Charge'!S29</f>
        <v>227.32</v>
      </c>
      <c r="N29" s="453"/>
      <c r="O29" s="454">
        <f t="shared" si="14"/>
        <v>10.099999999999994</v>
      </c>
      <c r="Q29" s="455">
        <f t="shared" si="15"/>
        <v>4.5999999999999999E-2</v>
      </c>
      <c r="S29" s="425" t="s">
        <v>453</v>
      </c>
      <c r="T29" s="476">
        <f>'OCS Sch 1 CC &amp; Energy Charge'!Z29</f>
        <v>1.7399999999999999E-2</v>
      </c>
      <c r="U29" s="477">
        <f>'OCS Sch 1 CC &amp; Energy Charge'!AA29</f>
        <v>1.7399999999999999E-2</v>
      </c>
      <c r="W29" s="459">
        <f t="shared" si="20"/>
        <v>13.242666666666667</v>
      </c>
      <c r="X29" s="459">
        <f t="shared" si="21"/>
        <v>13.464</v>
      </c>
      <c r="Y29" s="459">
        <f t="shared" si="22"/>
        <v>10.873333333333333</v>
      </c>
      <c r="Z29" s="459">
        <f t="shared" si="23"/>
        <v>11.366666666666667</v>
      </c>
    </row>
    <row r="30" spans="1:26">
      <c r="A30" s="435">
        <v>3000</v>
      </c>
      <c r="C30" s="453">
        <f>'OCS Sch 1 CC &amp; Energy Charge'!C30+'OCS Sch 1 CC &amp; Energy Charge'!I30</f>
        <v>435.32</v>
      </c>
      <c r="E30" s="453">
        <f>'OCS Sch 1 CC &amp; Energy Charge'!E30+'OCS Sch 1 CC &amp; Energy Charge'!K30</f>
        <v>441.47</v>
      </c>
      <c r="F30" s="453"/>
      <c r="G30" s="454">
        <f t="shared" si="10"/>
        <v>6.1500000000000341</v>
      </c>
      <c r="I30" s="455">
        <f t="shared" si="11"/>
        <v>1.4E-2</v>
      </c>
      <c r="K30" s="453">
        <f>'OCS Sch 1 CC &amp; Energy Charge'!C30+'OCS Sch 1 CC &amp; Energy Charge'!Q30</f>
        <v>325.47000000000003</v>
      </c>
      <c r="M30" s="453">
        <f>'OCS Sch 1 CC &amp; Energy Charge'!E30+'OCS Sch 1 CC &amp; Energy Charge'!S30</f>
        <v>340.96</v>
      </c>
      <c r="N30" s="453"/>
      <c r="O30" s="454">
        <f t="shared" si="14"/>
        <v>15.489999999999952</v>
      </c>
      <c r="Q30" s="455">
        <f t="shared" si="15"/>
        <v>4.8000000000000001E-2</v>
      </c>
      <c r="S30" s="425" t="s">
        <v>454</v>
      </c>
      <c r="T30" s="476">
        <f>'OCS Sch 1 CC &amp; Energy Charge'!Z30</f>
        <v>-2E-3</v>
      </c>
      <c r="U30" s="477">
        <f>'OCS Sch 1 CC &amp; Energy Charge'!AA30</f>
        <v>-2E-3</v>
      </c>
      <c r="W30" s="459">
        <f t="shared" si="20"/>
        <v>13.8765</v>
      </c>
      <c r="X30" s="459">
        <f t="shared" si="21"/>
        <v>14.09</v>
      </c>
      <c r="Y30" s="459">
        <f t="shared" si="22"/>
        <v>10.861000000000001</v>
      </c>
      <c r="Z30" s="459">
        <f t="shared" si="23"/>
        <v>11.366</v>
      </c>
    </row>
    <row r="31" spans="1:26">
      <c r="A31" s="435">
        <v>4000</v>
      </c>
      <c r="C31" s="453">
        <f>'OCS Sch 1 CC &amp; Energy Charge'!C31+'OCS Sch 1 CC &amp; Energy Charge'!I31</f>
        <v>593.1</v>
      </c>
      <c r="E31" s="453">
        <f>'OCS Sch 1 CC &amp; Energy Charge'!E31+'OCS Sch 1 CC &amp; Energy Charge'!K31</f>
        <v>601.14</v>
      </c>
      <c r="F31" s="453"/>
      <c r="G31" s="454">
        <f t="shared" si="10"/>
        <v>8.0399999999999636</v>
      </c>
      <c r="I31" s="455">
        <f t="shared" si="11"/>
        <v>1.4E-2</v>
      </c>
      <c r="K31" s="453">
        <f>'OCS Sch 1 CC &amp; Energy Charge'!C31+'OCS Sch 1 CC &amp; Energy Charge'!Q31</f>
        <v>433.71</v>
      </c>
      <c r="M31" s="453">
        <f>'OCS Sch 1 CC &amp; Energy Charge'!E31+'OCS Sch 1 CC &amp; Energy Charge'!S31</f>
        <v>454.59</v>
      </c>
      <c r="N31" s="453"/>
      <c r="O31" s="454">
        <f t="shared" si="14"/>
        <v>20.879999999999995</v>
      </c>
      <c r="Q31" s="455">
        <f t="shared" si="15"/>
        <v>4.8000000000000001E-2</v>
      </c>
      <c r="S31" s="423" t="s">
        <v>455</v>
      </c>
      <c r="T31" s="476">
        <f>SUM(T28:T30)</f>
        <v>5.0999999999999997E-2</v>
      </c>
      <c r="U31" s="477">
        <f>SUM(U28:U30)</f>
        <v>5.0999999999999997E-2</v>
      </c>
      <c r="W31" s="459">
        <f>C29/$A29*100</f>
        <v>13.8765</v>
      </c>
      <c r="X31" s="459">
        <f>E29/A29*100</f>
        <v>14.09</v>
      </c>
      <c r="Y31" s="459">
        <f>K29/$A29*100</f>
        <v>10.861000000000001</v>
      </c>
      <c r="Z31" s="459">
        <f>M29/$A29*100</f>
        <v>11.366</v>
      </c>
    </row>
    <row r="32" spans="1:26">
      <c r="A32" s="435">
        <v>5000</v>
      </c>
      <c r="C32" s="453">
        <f>'OCS Sch 1 CC &amp; Energy Charge'!C32+'OCS Sch 1 CC &amp; Energy Charge'!I32</f>
        <v>750.89</v>
      </c>
      <c r="E32" s="453">
        <f>'OCS Sch 1 CC &amp; Energy Charge'!E32+'OCS Sch 1 CC &amp; Energy Charge'!K32</f>
        <v>760.81</v>
      </c>
      <c r="F32" s="453"/>
      <c r="G32" s="454">
        <f t="shared" si="10"/>
        <v>9.9199999999999591</v>
      </c>
      <c r="I32" s="455">
        <f t="shared" si="11"/>
        <v>1.2999999999999999E-2</v>
      </c>
      <c r="K32" s="453">
        <f>'OCS Sch 1 CC &amp; Energy Charge'!C32+'OCS Sch 1 CC &amp; Energy Charge'!Q32</f>
        <v>541.96</v>
      </c>
      <c r="M32" s="453">
        <f>'OCS Sch 1 CC &amp; Energy Charge'!E32+'OCS Sch 1 CC &amp; Energy Charge'!S32</f>
        <v>568.23</v>
      </c>
      <c r="N32" s="453"/>
      <c r="O32" s="454">
        <f t="shared" si="14"/>
        <v>26.269999999999982</v>
      </c>
      <c r="Q32" s="455">
        <f t="shared" si="15"/>
        <v>4.8000000000000001E-2</v>
      </c>
      <c r="W32" s="459">
        <f>C30/$A30*100</f>
        <v>14.510666666666665</v>
      </c>
      <c r="X32" s="459">
        <f>E30/A30*100</f>
        <v>14.715666666666669</v>
      </c>
      <c r="Y32" s="459">
        <f>K30/$A30*100</f>
        <v>10.849</v>
      </c>
      <c r="Z32" s="459">
        <f>M30/$A30*100</f>
        <v>11.365333333333332</v>
      </c>
    </row>
    <row r="33" spans="1:30">
      <c r="R33" s="478"/>
      <c r="W33" s="459">
        <f>C31/$A31*100</f>
        <v>14.827500000000002</v>
      </c>
      <c r="X33" s="459">
        <f>E31/A31*100</f>
        <v>15.028500000000001</v>
      </c>
      <c r="Y33" s="459">
        <f>K31/$A31*100</f>
        <v>10.842749999999999</v>
      </c>
      <c r="Z33" s="459">
        <f>M31/$A31*100</f>
        <v>11.364749999999999</v>
      </c>
    </row>
    <row r="34" spans="1:30">
      <c r="S34" s="479"/>
      <c r="T34" s="423"/>
      <c r="U34" s="423"/>
      <c r="W34" s="459">
        <f>C32/$A32*100</f>
        <v>15.017800000000001</v>
      </c>
      <c r="X34" s="459">
        <f>E32/A32*100</f>
        <v>15.216199999999999</v>
      </c>
      <c r="Y34" s="459">
        <f>K32/$A32*100</f>
        <v>10.8392</v>
      </c>
      <c r="Z34" s="459">
        <f>M32/$A32*100</f>
        <v>11.364599999999999</v>
      </c>
    </row>
    <row r="35" spans="1:30" ht="15.75">
      <c r="C35" s="480" t="s">
        <v>456</v>
      </c>
      <c r="S35" s="423"/>
      <c r="T35" s="423"/>
      <c r="U35" s="423"/>
      <c r="W35" s="481"/>
      <c r="X35" s="430"/>
    </row>
    <row r="36" spans="1:30">
      <c r="C36" s="435" t="s">
        <v>457</v>
      </c>
      <c r="S36" s="423"/>
      <c r="T36" s="423"/>
      <c r="U36" s="423"/>
      <c r="W36" s="481"/>
      <c r="X36" s="430"/>
    </row>
    <row r="37" spans="1:30" ht="15.75">
      <c r="A37" s="480"/>
      <c r="X37" s="482" t="s">
        <v>83</v>
      </c>
      <c r="Y37" s="483"/>
      <c r="Z37" s="483"/>
      <c r="AA37" s="484" t="s">
        <v>19</v>
      </c>
      <c r="AB37" s="485"/>
      <c r="AC37" s="483" t="s">
        <v>81</v>
      </c>
      <c r="AD37" s="486" t="s">
        <v>458</v>
      </c>
    </row>
    <row r="38" spans="1:30">
      <c r="A38" s="746"/>
      <c r="B38" s="423"/>
      <c r="C38" s="430"/>
      <c r="D38" s="423"/>
      <c r="E38" s="430"/>
      <c r="F38" s="423"/>
      <c r="G38" s="469"/>
      <c r="H38" s="423"/>
      <c r="I38" s="423"/>
      <c r="T38" s="463"/>
      <c r="U38" s="463"/>
      <c r="W38" s="423"/>
      <c r="X38" s="487" t="s">
        <v>85</v>
      </c>
      <c r="Y38" s="487" t="s">
        <v>81</v>
      </c>
      <c r="Z38" s="487" t="s">
        <v>8</v>
      </c>
      <c r="AA38" s="488" t="s">
        <v>86</v>
      </c>
      <c r="AB38" s="489" t="s">
        <v>48</v>
      </c>
      <c r="AC38" s="490" t="s">
        <v>21</v>
      </c>
      <c r="AD38" s="490" t="s">
        <v>21</v>
      </c>
    </row>
    <row r="39" spans="1:30">
      <c r="A39" s="746"/>
      <c r="B39" s="423"/>
      <c r="C39" s="432"/>
      <c r="D39" s="747"/>
      <c r="E39" s="505"/>
      <c r="F39" s="422"/>
      <c r="G39" s="748"/>
      <c r="H39" s="422"/>
      <c r="I39" s="422"/>
      <c r="T39" s="491"/>
      <c r="W39" s="492" t="s">
        <v>438</v>
      </c>
      <c r="X39" s="493">
        <f>A20</f>
        <v>747</v>
      </c>
      <c r="Y39" s="494">
        <f>C20</f>
        <v>87.82</v>
      </c>
      <c r="Z39" s="494">
        <f>E20</f>
        <v>89.81</v>
      </c>
      <c r="AA39" s="494">
        <f>Z39-Y39</f>
        <v>1.9900000000000091</v>
      </c>
      <c r="AB39" s="495">
        <f>Z39/Y39-1</f>
        <v>2.2659986335686666E-2</v>
      </c>
      <c r="AC39" s="492">
        <f t="shared" ref="AC39:AD41" si="24">ROUND(Y39/$X39*100,2)</f>
        <v>11.76</v>
      </c>
      <c r="AD39" s="496">
        <f t="shared" si="24"/>
        <v>12.02</v>
      </c>
    </row>
    <row r="40" spans="1:30">
      <c r="A40" s="746"/>
      <c r="B40" s="423"/>
      <c r="C40" s="505"/>
      <c r="D40" s="422"/>
      <c r="E40" s="505"/>
      <c r="F40" s="423"/>
      <c r="G40" s="505"/>
      <c r="H40" s="422"/>
      <c r="I40" s="505"/>
      <c r="W40" s="496" t="s">
        <v>439</v>
      </c>
      <c r="X40" s="493">
        <f>A17</f>
        <v>663</v>
      </c>
      <c r="Y40" s="494">
        <f>K17</f>
        <v>72.5</v>
      </c>
      <c r="Z40" s="494">
        <f>M17</f>
        <v>75.39</v>
      </c>
      <c r="AA40" s="494">
        <f>Z40-Y40</f>
        <v>2.8900000000000006</v>
      </c>
      <c r="AB40" s="497">
        <f>Z40/Y40-1</f>
        <v>3.9862068965517139E-2</v>
      </c>
      <c r="AC40" s="498">
        <f t="shared" si="24"/>
        <v>10.94</v>
      </c>
      <c r="AD40" s="496">
        <f t="shared" si="24"/>
        <v>11.37</v>
      </c>
    </row>
    <row r="41" spans="1:30">
      <c r="A41" s="749"/>
      <c r="B41" s="423"/>
      <c r="C41" s="505"/>
      <c r="D41" s="423"/>
      <c r="E41" s="750"/>
      <c r="F41" s="423"/>
      <c r="G41" s="751"/>
      <c r="H41" s="423"/>
      <c r="I41" s="532"/>
      <c r="J41" s="455"/>
      <c r="K41" s="455"/>
      <c r="L41" s="455"/>
      <c r="M41" s="455"/>
      <c r="N41" s="455"/>
      <c r="O41" s="455"/>
      <c r="U41" s="453"/>
      <c r="W41" s="501" t="s">
        <v>459</v>
      </c>
      <c r="X41" s="502">
        <f>A18</f>
        <v>698</v>
      </c>
      <c r="Y41" s="503">
        <f>(C18*5+K17*7)/12</f>
        <v>76.308333333333337</v>
      </c>
      <c r="Z41" s="503">
        <f>(E20*5+M17*7)/12</f>
        <v>81.398333333333326</v>
      </c>
      <c r="AA41" s="503">
        <f>Z41-Y41</f>
        <v>5.0899999999999892</v>
      </c>
      <c r="AB41" s="504">
        <f>Z41/Y41-1</f>
        <v>6.6703068690619149E-2</v>
      </c>
      <c r="AC41" s="501">
        <f t="shared" si="24"/>
        <v>10.93</v>
      </c>
      <c r="AD41" s="501">
        <f t="shared" si="24"/>
        <v>11.66</v>
      </c>
    </row>
    <row r="42" spans="1:30">
      <c r="A42" s="746"/>
      <c r="B42" s="423"/>
      <c r="C42" s="430"/>
      <c r="D42" s="423"/>
      <c r="E42" s="430"/>
      <c r="F42" s="430"/>
      <c r="G42" s="752"/>
      <c r="H42" s="423"/>
      <c r="I42" s="753"/>
      <c r="J42" s="455"/>
      <c r="K42" s="455"/>
      <c r="L42" s="455"/>
      <c r="M42" s="455"/>
      <c r="N42" s="455"/>
      <c r="O42" s="455"/>
      <c r="U42" s="453"/>
      <c r="W42" s="423"/>
      <c r="X42" s="423"/>
      <c r="Y42" s="423"/>
      <c r="Z42" s="423"/>
      <c r="AA42" s="423"/>
      <c r="AB42" s="423"/>
      <c r="AC42" s="423"/>
      <c r="AD42" s="423"/>
    </row>
    <row r="43" spans="1:30">
      <c r="A43" s="746"/>
      <c r="B43" s="423"/>
      <c r="C43" s="430"/>
      <c r="D43" s="423"/>
      <c r="E43" s="430"/>
      <c r="F43" s="430"/>
      <c r="G43" s="752"/>
      <c r="H43" s="423"/>
      <c r="I43" s="753"/>
      <c r="J43" s="455"/>
      <c r="K43" s="455"/>
      <c r="L43" s="455"/>
      <c r="M43" s="455"/>
      <c r="N43" s="455"/>
      <c r="O43" s="455"/>
    </row>
    <row r="44" spans="1:30">
      <c r="A44" s="746"/>
      <c r="B44" s="423"/>
      <c r="C44" s="430"/>
      <c r="D44" s="423"/>
      <c r="E44" s="430"/>
      <c r="F44" s="430"/>
      <c r="G44" s="752"/>
      <c r="H44" s="423"/>
      <c r="I44" s="753"/>
      <c r="J44" s="455"/>
      <c r="K44" s="455"/>
      <c r="L44" s="455"/>
      <c r="M44" s="455"/>
      <c r="N44" s="455"/>
      <c r="O44" s="455"/>
    </row>
    <row r="45" spans="1:30">
      <c r="A45" s="746"/>
      <c r="B45" s="423"/>
      <c r="C45" s="430"/>
      <c r="D45" s="423"/>
      <c r="E45" s="430"/>
      <c r="F45" s="430"/>
      <c r="G45" s="752"/>
      <c r="H45" s="423"/>
      <c r="I45" s="753"/>
      <c r="J45" s="455"/>
      <c r="K45" s="455"/>
      <c r="L45" s="455"/>
      <c r="M45" s="455"/>
      <c r="N45" s="455"/>
      <c r="O45" s="455"/>
    </row>
    <row r="46" spans="1:30">
      <c r="A46" s="746"/>
      <c r="B46" s="423"/>
      <c r="C46" s="430"/>
      <c r="D46" s="423"/>
      <c r="E46" s="430"/>
      <c r="F46" s="430"/>
      <c r="G46" s="752"/>
      <c r="H46" s="423"/>
      <c r="I46" s="753"/>
      <c r="J46" s="455"/>
      <c r="K46" s="455"/>
      <c r="L46" s="455"/>
      <c r="M46" s="455"/>
      <c r="N46" s="455"/>
      <c r="O46" s="455"/>
    </row>
    <row r="47" spans="1:30">
      <c r="A47" s="746"/>
      <c r="B47" s="423"/>
      <c r="C47" s="430"/>
      <c r="D47" s="423"/>
      <c r="E47" s="430"/>
      <c r="F47" s="430"/>
      <c r="G47" s="752"/>
      <c r="H47" s="423"/>
      <c r="I47" s="753"/>
      <c r="J47" s="455"/>
      <c r="K47" s="455"/>
      <c r="L47" s="455"/>
      <c r="M47" s="455"/>
      <c r="N47" s="455"/>
      <c r="O47" s="455"/>
    </row>
    <row r="48" spans="1:30">
      <c r="A48" s="746"/>
      <c r="B48" s="423"/>
      <c r="C48" s="430"/>
      <c r="D48" s="423"/>
      <c r="E48" s="430"/>
      <c r="F48" s="430"/>
      <c r="G48" s="752"/>
      <c r="H48" s="423"/>
      <c r="I48" s="753"/>
      <c r="J48" s="455"/>
      <c r="K48" s="455"/>
      <c r="L48" s="455"/>
      <c r="M48" s="455"/>
      <c r="N48" s="455"/>
      <c r="O48" s="455"/>
    </row>
    <row r="49" spans="1:15">
      <c r="A49" s="746"/>
      <c r="B49" s="423"/>
      <c r="C49" s="430"/>
      <c r="D49" s="423"/>
      <c r="E49" s="430"/>
      <c r="F49" s="430"/>
      <c r="G49" s="752"/>
      <c r="H49" s="423"/>
      <c r="I49" s="753"/>
      <c r="J49" s="455"/>
      <c r="K49" s="455"/>
      <c r="L49" s="455"/>
      <c r="M49" s="455"/>
      <c r="N49" s="455"/>
      <c r="O49" s="455"/>
    </row>
    <row r="50" spans="1:15">
      <c r="A50" s="746"/>
      <c r="B50" s="423"/>
      <c r="C50" s="430"/>
      <c r="D50" s="423"/>
      <c r="E50" s="430"/>
      <c r="F50" s="430"/>
      <c r="G50" s="752"/>
      <c r="H50" s="423"/>
      <c r="I50" s="753"/>
      <c r="J50" s="455"/>
      <c r="K50" s="455"/>
      <c r="L50" s="455"/>
      <c r="M50" s="455"/>
      <c r="N50" s="455"/>
      <c r="O50" s="455"/>
    </row>
    <row r="51" spans="1:15">
      <c r="A51" s="746"/>
      <c r="B51" s="423"/>
      <c r="C51" s="430"/>
      <c r="D51" s="423"/>
      <c r="E51" s="430"/>
      <c r="F51" s="430"/>
      <c r="G51" s="752"/>
      <c r="H51" s="423"/>
      <c r="I51" s="753"/>
      <c r="J51" s="455"/>
      <c r="K51" s="455"/>
      <c r="L51" s="455"/>
      <c r="M51" s="455"/>
      <c r="N51" s="455"/>
      <c r="O51" s="455"/>
    </row>
    <row r="52" spans="1:15">
      <c r="A52" s="746"/>
      <c r="B52" s="423"/>
      <c r="C52" s="430"/>
      <c r="D52" s="423"/>
      <c r="E52" s="430"/>
      <c r="F52" s="430"/>
      <c r="G52" s="752"/>
      <c r="H52" s="423"/>
      <c r="I52" s="753"/>
      <c r="J52" s="455"/>
      <c r="K52" s="455"/>
      <c r="L52" s="455"/>
      <c r="M52" s="455"/>
      <c r="N52" s="455"/>
      <c r="O52" s="455"/>
    </row>
    <row r="53" spans="1:15">
      <c r="A53" s="746"/>
      <c r="B53" s="423"/>
      <c r="C53" s="430"/>
      <c r="D53" s="423"/>
      <c r="E53" s="430"/>
      <c r="F53" s="430"/>
      <c r="G53" s="752"/>
      <c r="H53" s="423"/>
      <c r="I53" s="753"/>
      <c r="J53" s="455"/>
      <c r="K53" s="455"/>
      <c r="L53" s="455"/>
      <c r="M53" s="455"/>
      <c r="N53" s="455"/>
      <c r="O53" s="455"/>
    </row>
    <row r="54" spans="1:15">
      <c r="A54" s="746"/>
      <c r="B54" s="423"/>
      <c r="C54" s="430"/>
      <c r="D54" s="423"/>
      <c r="E54" s="430"/>
      <c r="F54" s="430"/>
      <c r="G54" s="752"/>
      <c r="H54" s="423"/>
      <c r="I54" s="753"/>
      <c r="J54" s="455"/>
      <c r="K54" s="455"/>
      <c r="L54" s="455"/>
      <c r="M54" s="455"/>
      <c r="N54" s="455"/>
      <c r="O54" s="455"/>
    </row>
    <row r="55" spans="1:15">
      <c r="A55" s="746"/>
      <c r="B55" s="423"/>
      <c r="C55" s="430"/>
      <c r="D55" s="423"/>
      <c r="E55" s="430"/>
      <c r="F55" s="430"/>
      <c r="G55" s="752"/>
      <c r="H55" s="423"/>
      <c r="I55" s="753"/>
      <c r="J55" s="455"/>
      <c r="K55" s="455"/>
      <c r="L55" s="455"/>
      <c r="M55" s="455"/>
      <c r="N55" s="455"/>
      <c r="O55" s="455"/>
    </row>
    <row r="56" spans="1:15">
      <c r="A56" s="746"/>
      <c r="B56" s="423"/>
      <c r="C56" s="430"/>
      <c r="D56" s="423"/>
      <c r="E56" s="430"/>
      <c r="F56" s="430"/>
      <c r="G56" s="752"/>
      <c r="H56" s="423"/>
      <c r="I56" s="753"/>
      <c r="J56" s="455"/>
      <c r="K56" s="455"/>
      <c r="L56" s="455"/>
      <c r="M56" s="455"/>
      <c r="N56" s="455"/>
      <c r="O56" s="455"/>
    </row>
    <row r="57" spans="1:15">
      <c r="A57" s="746"/>
      <c r="B57" s="423"/>
      <c r="C57" s="430"/>
      <c r="D57" s="423"/>
      <c r="E57" s="430"/>
      <c r="F57" s="430"/>
      <c r="G57" s="752"/>
      <c r="H57" s="423"/>
      <c r="I57" s="753"/>
      <c r="J57" s="455"/>
      <c r="K57" s="455"/>
      <c r="L57" s="455"/>
      <c r="M57" s="455"/>
      <c r="N57" s="455"/>
      <c r="O57" s="455"/>
    </row>
    <row r="58" spans="1:15">
      <c r="A58" s="746"/>
      <c r="B58" s="423"/>
      <c r="C58" s="430"/>
      <c r="D58" s="423"/>
      <c r="E58" s="430"/>
      <c r="F58" s="430"/>
      <c r="G58" s="752"/>
      <c r="H58" s="423"/>
      <c r="I58" s="753"/>
      <c r="J58" s="455"/>
      <c r="K58" s="455"/>
      <c r="L58" s="455"/>
      <c r="M58" s="455"/>
      <c r="N58" s="455"/>
      <c r="O58" s="455"/>
    </row>
    <row r="59" spans="1:15">
      <c r="A59" s="746"/>
      <c r="B59" s="423"/>
      <c r="C59" s="430"/>
      <c r="D59" s="423"/>
      <c r="E59" s="430"/>
      <c r="F59" s="430"/>
      <c r="G59" s="752"/>
      <c r="H59" s="423"/>
      <c r="I59" s="753"/>
      <c r="J59" s="455"/>
      <c r="K59" s="455"/>
      <c r="L59" s="455"/>
      <c r="M59" s="455"/>
      <c r="N59" s="455"/>
      <c r="O59" s="455"/>
    </row>
    <row r="60" spans="1:15">
      <c r="A60" s="746"/>
      <c r="B60" s="423"/>
      <c r="C60" s="430"/>
      <c r="D60" s="423"/>
      <c r="E60" s="430"/>
      <c r="F60" s="430"/>
      <c r="G60" s="752"/>
      <c r="H60" s="423"/>
      <c r="I60" s="753"/>
      <c r="J60" s="455"/>
      <c r="K60" s="455"/>
      <c r="L60" s="455"/>
      <c r="M60" s="455"/>
      <c r="N60" s="455"/>
      <c r="O60" s="455"/>
    </row>
    <row r="61" spans="1:15">
      <c r="A61" s="746"/>
      <c r="B61" s="423"/>
      <c r="C61" s="430"/>
      <c r="D61" s="423"/>
      <c r="E61" s="430"/>
      <c r="F61" s="430"/>
      <c r="G61" s="752"/>
      <c r="H61" s="423"/>
      <c r="I61" s="753"/>
      <c r="J61" s="455"/>
      <c r="K61" s="455"/>
      <c r="L61" s="455"/>
      <c r="M61" s="455"/>
      <c r="N61" s="455"/>
      <c r="O61" s="455"/>
    </row>
    <row r="62" spans="1:15">
      <c r="A62" s="746"/>
      <c r="B62" s="423"/>
      <c r="C62" s="430"/>
      <c r="D62" s="423"/>
      <c r="E62" s="430"/>
      <c r="F62" s="430"/>
      <c r="G62" s="752"/>
      <c r="H62" s="423"/>
      <c r="I62" s="753"/>
      <c r="J62" s="455"/>
      <c r="K62" s="455"/>
      <c r="L62" s="455"/>
      <c r="M62" s="455"/>
      <c r="N62" s="455"/>
      <c r="O62" s="455"/>
    </row>
    <row r="63" spans="1:15">
      <c r="A63" s="746"/>
      <c r="B63" s="423"/>
      <c r="C63" s="430"/>
      <c r="D63" s="423"/>
      <c r="E63" s="430"/>
      <c r="F63" s="430"/>
      <c r="G63" s="752"/>
      <c r="H63" s="423"/>
      <c r="I63" s="753"/>
    </row>
  </sheetData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workbookViewId="0">
      <selection activeCell="H4" sqref="H4"/>
    </sheetView>
  </sheetViews>
  <sheetFormatPr defaultRowHeight="15.75"/>
  <cols>
    <col min="1" max="1" width="30.375" customWidth="1"/>
    <col min="2" max="2" width="2.25" customWidth="1"/>
    <col min="4" max="4" width="2.625" customWidth="1"/>
    <col min="5" max="5" width="3.625" customWidth="1"/>
    <col min="7" max="7" width="2.25" bestFit="1" customWidth="1"/>
  </cols>
  <sheetData>
    <row r="1" spans="1:7">
      <c r="A1" s="917" t="s">
        <v>619</v>
      </c>
      <c r="B1" s="918"/>
      <c r="C1" s="918"/>
      <c r="D1" s="919"/>
      <c r="E1" s="919"/>
      <c r="F1" s="918"/>
      <c r="G1" s="919"/>
    </row>
    <row r="2" spans="1:7">
      <c r="A2" s="917" t="s">
        <v>92</v>
      </c>
      <c r="B2" s="918"/>
      <c r="C2" s="918"/>
      <c r="D2" s="919"/>
      <c r="E2" s="919"/>
      <c r="F2" s="918"/>
      <c r="G2" s="919"/>
    </row>
    <row r="3" spans="1:7">
      <c r="A3" s="920"/>
      <c r="B3" s="920"/>
      <c r="C3" s="920"/>
      <c r="D3" s="921"/>
      <c r="E3" s="922"/>
      <c r="F3" s="920"/>
      <c r="G3" s="921"/>
    </row>
    <row r="4" spans="1:7">
      <c r="A4" s="920"/>
      <c r="B4" s="920"/>
      <c r="C4" s="923" t="s">
        <v>7</v>
      </c>
      <c r="D4" s="921"/>
      <c r="E4" s="922"/>
      <c r="F4" s="923" t="s">
        <v>8</v>
      </c>
      <c r="G4" s="921"/>
    </row>
    <row r="5" spans="1:7">
      <c r="A5" s="920"/>
      <c r="B5" s="920"/>
      <c r="C5" s="924" t="s">
        <v>101</v>
      </c>
      <c r="D5" s="921"/>
      <c r="E5" s="922"/>
      <c r="F5" s="925" t="s">
        <v>101</v>
      </c>
      <c r="G5" s="921"/>
    </row>
    <row r="6" spans="1:7">
      <c r="A6" s="926" t="s">
        <v>103</v>
      </c>
      <c r="B6" s="920"/>
      <c r="C6" s="920"/>
      <c r="D6" s="922"/>
      <c r="E6" s="922"/>
      <c r="F6" s="920"/>
      <c r="G6" s="922"/>
    </row>
    <row r="7" spans="1:7">
      <c r="A7" s="927" t="s">
        <v>105</v>
      </c>
      <c r="B7" s="920"/>
      <c r="C7" s="928">
        <v>5</v>
      </c>
      <c r="D7" s="929"/>
      <c r="E7" s="922"/>
      <c r="F7" s="928">
        <v>8</v>
      </c>
      <c r="G7" s="929"/>
    </row>
    <row r="8" spans="1:7">
      <c r="A8" s="927" t="s">
        <v>106</v>
      </c>
      <c r="B8" s="920"/>
      <c r="C8" s="928">
        <v>10</v>
      </c>
      <c r="D8" s="929"/>
      <c r="E8" s="922"/>
      <c r="F8" s="928">
        <v>16</v>
      </c>
      <c r="G8" s="929"/>
    </row>
    <row r="9" spans="1:7">
      <c r="A9" s="927" t="s">
        <v>620</v>
      </c>
      <c r="B9" s="920"/>
      <c r="C9" s="928"/>
      <c r="D9" s="929"/>
      <c r="E9" s="922"/>
      <c r="F9" s="928">
        <v>4.25</v>
      </c>
      <c r="G9" s="929"/>
    </row>
    <row r="10" spans="1:7">
      <c r="A10" s="927" t="s">
        <v>107</v>
      </c>
      <c r="B10" s="920"/>
      <c r="C10" s="892">
        <v>8.8498000000000001</v>
      </c>
      <c r="D10" s="930" t="s">
        <v>108</v>
      </c>
      <c r="E10" s="922"/>
      <c r="F10" s="892">
        <v>8.9412000000000003</v>
      </c>
      <c r="G10" s="930" t="s">
        <v>108</v>
      </c>
    </row>
    <row r="11" spans="1:7">
      <c r="A11" s="927" t="s">
        <v>110</v>
      </c>
      <c r="B11" s="920"/>
      <c r="C11" s="892">
        <v>11.542899999999999</v>
      </c>
      <c r="D11" s="930" t="s">
        <v>108</v>
      </c>
      <c r="E11" s="922"/>
      <c r="F11" s="892">
        <v>11.662100000000001</v>
      </c>
      <c r="G11" s="930" t="s">
        <v>108</v>
      </c>
    </row>
    <row r="12" spans="1:7">
      <c r="A12" s="927" t="s">
        <v>112</v>
      </c>
      <c r="B12" s="920"/>
      <c r="C12" s="892">
        <v>14.450799999999999</v>
      </c>
      <c r="D12" s="930" t="s">
        <v>108</v>
      </c>
      <c r="E12" s="922"/>
      <c r="F12" s="892">
        <v>14.6</v>
      </c>
      <c r="G12" s="930" t="s">
        <v>108</v>
      </c>
    </row>
    <row r="13" spans="1:7">
      <c r="A13" s="927" t="s">
        <v>114</v>
      </c>
      <c r="B13" s="920"/>
      <c r="C13" s="893"/>
      <c r="D13" s="930"/>
      <c r="E13" s="922"/>
      <c r="F13" s="893"/>
      <c r="G13" s="930"/>
    </row>
    <row r="14" spans="1:7">
      <c r="A14" s="931" t="s">
        <v>621</v>
      </c>
      <c r="B14" s="932"/>
      <c r="C14" s="893">
        <v>8.8498000000000001</v>
      </c>
      <c r="D14" s="930" t="s">
        <v>108</v>
      </c>
      <c r="E14" s="933"/>
      <c r="F14" s="892">
        <v>8.9412000000000003</v>
      </c>
      <c r="G14" s="934" t="s">
        <v>108</v>
      </c>
    </row>
    <row r="15" spans="1:7">
      <c r="A15" s="931" t="s">
        <v>622</v>
      </c>
      <c r="B15" s="932"/>
      <c r="C15" s="893">
        <v>9.8912999999999993</v>
      </c>
      <c r="D15" s="930" t="s">
        <v>108</v>
      </c>
      <c r="E15" s="933"/>
      <c r="F15" s="892">
        <v>9.9933999999999994</v>
      </c>
      <c r="G15" s="934" t="s">
        <v>108</v>
      </c>
    </row>
    <row r="16" spans="1:7">
      <c r="A16" s="927" t="s">
        <v>116</v>
      </c>
      <c r="B16" s="920"/>
      <c r="C16" s="928">
        <v>7</v>
      </c>
      <c r="D16" s="929"/>
      <c r="E16" s="922"/>
      <c r="F16" s="928">
        <v>15</v>
      </c>
      <c r="G16" s="929"/>
    </row>
    <row r="17" spans="1:7">
      <c r="A17" s="927" t="s">
        <v>118</v>
      </c>
      <c r="B17" s="920"/>
      <c r="C17" s="928">
        <v>14</v>
      </c>
      <c r="D17" s="935"/>
      <c r="E17" s="922"/>
      <c r="F17" s="928">
        <v>30</v>
      </c>
      <c r="G17" s="935"/>
    </row>
    <row r="18" spans="1:7">
      <c r="A18" s="927" t="s">
        <v>120</v>
      </c>
      <c r="B18" s="920"/>
      <c r="C18" s="928">
        <v>84</v>
      </c>
      <c r="D18" s="935"/>
      <c r="E18" s="922"/>
      <c r="F18" s="936">
        <v>180</v>
      </c>
      <c r="G18" s="935"/>
    </row>
    <row r="19" spans="1:7">
      <c r="A19" s="920"/>
      <c r="B19" s="920"/>
      <c r="C19" s="920"/>
      <c r="D19" s="922"/>
      <c r="E19" s="922"/>
      <c r="F19" s="920"/>
      <c r="G19" s="922"/>
    </row>
    <row r="20" spans="1:7">
      <c r="A20" s="926" t="s">
        <v>623</v>
      </c>
      <c r="B20" s="920"/>
      <c r="C20" s="920"/>
      <c r="D20" s="922"/>
      <c r="E20" s="922"/>
      <c r="F20" s="920"/>
      <c r="G20" s="922"/>
    </row>
    <row r="21" spans="1:7">
      <c r="A21" s="927" t="s">
        <v>105</v>
      </c>
      <c r="B21" s="920"/>
      <c r="C21" s="928">
        <v>5</v>
      </c>
      <c r="D21" s="929"/>
      <c r="E21" s="922"/>
      <c r="F21" s="928">
        <v>8</v>
      </c>
      <c r="G21" s="929"/>
    </row>
    <row r="22" spans="1:7">
      <c r="A22" s="927" t="s">
        <v>106</v>
      </c>
      <c r="B22" s="920"/>
      <c r="C22" s="928">
        <v>10</v>
      </c>
      <c r="D22" s="929"/>
      <c r="E22" s="922"/>
      <c r="F22" s="928">
        <v>16</v>
      </c>
      <c r="G22" s="929"/>
    </row>
    <row r="23" spans="1:7">
      <c r="A23" s="927" t="s">
        <v>620</v>
      </c>
      <c r="B23" s="920"/>
      <c r="C23" s="928"/>
      <c r="D23" s="929"/>
      <c r="E23" s="922"/>
      <c r="F23" s="928">
        <v>4.25</v>
      </c>
      <c r="G23" s="929"/>
    </row>
    <row r="24" spans="1:7">
      <c r="A24" s="927" t="s">
        <v>107</v>
      </c>
      <c r="B24" s="920"/>
      <c r="C24" s="893">
        <v>8.8498000000000001</v>
      </c>
      <c r="D24" s="930" t="s">
        <v>108</v>
      </c>
      <c r="E24" s="922"/>
      <c r="F24" s="893">
        <v>8.9412000000000003</v>
      </c>
      <c r="G24" s="930" t="s">
        <v>108</v>
      </c>
    </row>
    <row r="25" spans="1:7">
      <c r="A25" s="927" t="s">
        <v>110</v>
      </c>
      <c r="B25" s="920"/>
      <c r="C25" s="893">
        <v>11.542899999999999</v>
      </c>
      <c r="D25" s="930" t="s">
        <v>108</v>
      </c>
      <c r="E25" s="922"/>
      <c r="F25" s="893">
        <v>11.662100000000001</v>
      </c>
      <c r="G25" s="930" t="s">
        <v>108</v>
      </c>
    </row>
    <row r="26" spans="1:7">
      <c r="A26" s="927" t="s">
        <v>112</v>
      </c>
      <c r="B26" s="920"/>
      <c r="C26" s="893">
        <v>14.450799999999999</v>
      </c>
      <c r="D26" s="930" t="s">
        <v>108</v>
      </c>
      <c r="E26" s="922"/>
      <c r="F26" s="893">
        <v>14.6</v>
      </c>
      <c r="G26" s="930" t="s">
        <v>108</v>
      </c>
    </row>
    <row r="27" spans="1:7">
      <c r="A27" s="927" t="s">
        <v>114</v>
      </c>
      <c r="B27" s="920"/>
      <c r="C27" s="893"/>
      <c r="D27" s="930"/>
      <c r="E27" s="922"/>
      <c r="F27" s="893"/>
      <c r="G27" s="930"/>
    </row>
    <row r="28" spans="1:7">
      <c r="A28" s="931" t="s">
        <v>621</v>
      </c>
      <c r="B28" s="932"/>
      <c r="C28" s="893">
        <v>8.8498000000000001</v>
      </c>
      <c r="D28" s="930" t="s">
        <v>108</v>
      </c>
      <c r="E28" s="933"/>
      <c r="F28" s="937">
        <v>8.9412000000000003</v>
      </c>
      <c r="G28" s="934" t="s">
        <v>108</v>
      </c>
    </row>
    <row r="29" spans="1:7">
      <c r="A29" s="931" t="s">
        <v>622</v>
      </c>
      <c r="B29" s="932"/>
      <c r="C29" s="893">
        <v>9.8912999999999993</v>
      </c>
      <c r="D29" s="930" t="s">
        <v>108</v>
      </c>
      <c r="E29" s="933"/>
      <c r="F29" s="937">
        <v>9.9933999999999994</v>
      </c>
      <c r="G29" s="934" t="s">
        <v>108</v>
      </c>
    </row>
    <row r="30" spans="1:7">
      <c r="A30" s="927" t="s">
        <v>116</v>
      </c>
      <c r="B30" s="920"/>
      <c r="C30" s="928">
        <v>7</v>
      </c>
      <c r="D30" s="929"/>
      <c r="E30" s="922"/>
      <c r="F30" s="928">
        <v>15</v>
      </c>
      <c r="G30" s="929"/>
    </row>
    <row r="31" spans="1:7">
      <c r="A31" s="927" t="s">
        <v>118</v>
      </c>
      <c r="B31" s="920"/>
      <c r="C31" s="928">
        <v>14</v>
      </c>
      <c r="D31" s="929"/>
      <c r="E31" s="922"/>
      <c r="F31" s="928">
        <v>30</v>
      </c>
      <c r="G31" s="935"/>
    </row>
    <row r="32" spans="1:7">
      <c r="A32" s="927" t="s">
        <v>120</v>
      </c>
      <c r="B32" s="920"/>
      <c r="C32" s="928">
        <v>84</v>
      </c>
      <c r="D32" s="929"/>
      <c r="E32" s="922"/>
      <c r="F32" s="936">
        <v>180</v>
      </c>
      <c r="G32" s="935"/>
    </row>
    <row r="33" spans="1:7">
      <c r="A33" s="927" t="s">
        <v>624</v>
      </c>
      <c r="B33" s="920"/>
      <c r="C33" s="928">
        <v>11</v>
      </c>
      <c r="D33" s="929"/>
      <c r="E33" s="922"/>
      <c r="F33" s="936">
        <v>12.6</v>
      </c>
      <c r="G33" s="935"/>
    </row>
    <row r="34" spans="1:7">
      <c r="A34" s="927" t="s">
        <v>625</v>
      </c>
      <c r="B34" s="920"/>
      <c r="C34" s="928">
        <v>10</v>
      </c>
      <c r="D34" s="929"/>
      <c r="E34" s="922"/>
      <c r="F34" s="936">
        <v>10</v>
      </c>
      <c r="G34" s="935"/>
    </row>
    <row r="35" spans="1:7">
      <c r="A35" s="920"/>
      <c r="B35" s="920"/>
      <c r="C35" s="920"/>
      <c r="D35" s="922"/>
      <c r="E35" s="922"/>
      <c r="F35" s="920"/>
      <c r="G35" s="922"/>
    </row>
    <row r="36" spans="1:7">
      <c r="A36" s="926" t="s">
        <v>626</v>
      </c>
      <c r="B36" s="920"/>
      <c r="C36" s="920"/>
      <c r="D36" s="922"/>
      <c r="E36" s="922"/>
      <c r="F36" s="920"/>
      <c r="G36" s="922"/>
    </row>
    <row r="37" spans="1:7">
      <c r="A37" s="927" t="s">
        <v>105</v>
      </c>
      <c r="B37" s="920"/>
      <c r="C37" s="928">
        <v>5</v>
      </c>
      <c r="D37" s="929"/>
      <c r="E37" s="922"/>
      <c r="F37" s="928">
        <v>8</v>
      </c>
      <c r="G37" s="929"/>
    </row>
    <row r="38" spans="1:7">
      <c r="A38" s="927" t="s">
        <v>106</v>
      </c>
      <c r="B38" s="920"/>
      <c r="C38" s="928">
        <v>10</v>
      </c>
      <c r="D38" s="929"/>
      <c r="E38" s="922"/>
      <c r="F38" s="928">
        <v>16</v>
      </c>
      <c r="G38" s="929"/>
    </row>
    <row r="39" spans="1:7">
      <c r="A39" s="927" t="s">
        <v>620</v>
      </c>
      <c r="B39" s="920"/>
      <c r="C39" s="928"/>
      <c r="D39" s="929"/>
      <c r="E39" s="922"/>
      <c r="F39" s="928">
        <v>4.25</v>
      </c>
      <c r="G39" s="929"/>
    </row>
    <row r="40" spans="1:7">
      <c r="A40" s="927" t="s">
        <v>143</v>
      </c>
      <c r="B40" s="920"/>
      <c r="C40" s="938">
        <v>4.3559999999999999</v>
      </c>
      <c r="D40" s="930" t="s">
        <v>108</v>
      </c>
      <c r="E40" s="922"/>
      <c r="F40" s="938">
        <v>4.3559999999999999</v>
      </c>
      <c r="G40" s="930" t="s">
        <v>108</v>
      </c>
    </row>
    <row r="41" spans="1:7">
      <c r="A41" s="927" t="s">
        <v>144</v>
      </c>
      <c r="B41" s="920"/>
      <c r="C41" s="938">
        <v>-1.6334</v>
      </c>
      <c r="D41" s="930" t="s">
        <v>108</v>
      </c>
      <c r="E41" s="922"/>
      <c r="F41" s="938">
        <v>-1.6334</v>
      </c>
      <c r="G41" s="930" t="s">
        <v>108</v>
      </c>
    </row>
    <row r="42" spans="1:7">
      <c r="A42" s="927" t="s">
        <v>107</v>
      </c>
      <c r="B42" s="920"/>
      <c r="C42" s="893">
        <v>8.8498000000000001</v>
      </c>
      <c r="D42" s="930" t="s">
        <v>108</v>
      </c>
      <c r="E42" s="922"/>
      <c r="F42" s="893">
        <v>8.9412000000000003</v>
      </c>
      <c r="G42" s="930" t="s">
        <v>108</v>
      </c>
    </row>
    <row r="43" spans="1:7">
      <c r="A43" s="927" t="s">
        <v>110</v>
      </c>
      <c r="B43" s="920"/>
      <c r="C43" s="893">
        <v>11.542899999999999</v>
      </c>
      <c r="D43" s="930" t="s">
        <v>108</v>
      </c>
      <c r="E43" s="922"/>
      <c r="F43" s="893">
        <v>11.662100000000001</v>
      </c>
      <c r="G43" s="930" t="s">
        <v>108</v>
      </c>
    </row>
    <row r="44" spans="1:7">
      <c r="A44" s="927" t="s">
        <v>112</v>
      </c>
      <c r="B44" s="920"/>
      <c r="C44" s="893">
        <v>14.450799999999999</v>
      </c>
      <c r="D44" s="930" t="s">
        <v>108</v>
      </c>
      <c r="E44" s="922"/>
      <c r="F44" s="893">
        <v>14.6</v>
      </c>
      <c r="G44" s="930" t="s">
        <v>108</v>
      </c>
    </row>
    <row r="45" spans="1:7">
      <c r="A45" s="927" t="s">
        <v>114</v>
      </c>
      <c r="B45" s="920"/>
      <c r="C45" s="893"/>
      <c r="D45" s="930"/>
      <c r="E45" s="922"/>
      <c r="F45" s="893"/>
      <c r="G45" s="930"/>
    </row>
    <row r="46" spans="1:7">
      <c r="A46" s="931" t="s">
        <v>621</v>
      </c>
      <c r="B46" s="932"/>
      <c r="C46" s="893">
        <v>8.8498000000000001</v>
      </c>
      <c r="D46" s="930" t="s">
        <v>108</v>
      </c>
      <c r="E46" s="933"/>
      <c r="F46" s="893">
        <v>8.9412000000000003</v>
      </c>
      <c r="G46" s="930" t="s">
        <v>108</v>
      </c>
    </row>
    <row r="47" spans="1:7">
      <c r="A47" s="931" t="s">
        <v>622</v>
      </c>
      <c r="B47" s="932"/>
      <c r="C47" s="893">
        <v>9.8912999999999993</v>
      </c>
      <c r="D47" s="930" t="s">
        <v>108</v>
      </c>
      <c r="E47" s="933"/>
      <c r="F47" s="893">
        <v>9.9933999999999994</v>
      </c>
      <c r="G47" s="930" t="s">
        <v>108</v>
      </c>
    </row>
    <row r="48" spans="1:7">
      <c r="A48" s="927" t="s">
        <v>116</v>
      </c>
      <c r="B48" s="920"/>
      <c r="C48" s="928">
        <v>7</v>
      </c>
      <c r="D48" s="929"/>
      <c r="E48" s="922"/>
      <c r="F48" s="928">
        <v>15</v>
      </c>
      <c r="G48" s="929"/>
    </row>
    <row r="49" spans="1:7">
      <c r="A49" s="927" t="s">
        <v>118</v>
      </c>
      <c r="B49" s="920"/>
      <c r="C49" s="928">
        <v>14</v>
      </c>
      <c r="D49" s="929"/>
      <c r="E49" s="922"/>
      <c r="F49" s="928">
        <v>30</v>
      </c>
      <c r="G49" s="929"/>
    </row>
    <row r="50" spans="1:7">
      <c r="A50" s="927" t="s">
        <v>120</v>
      </c>
      <c r="B50" s="920"/>
      <c r="C50" s="928">
        <v>84</v>
      </c>
      <c r="D50" s="929"/>
      <c r="E50" s="922"/>
      <c r="F50" s="928">
        <v>180</v>
      </c>
      <c r="G50" s="929"/>
    </row>
    <row r="51" spans="1:7">
      <c r="A51" s="920"/>
      <c r="B51" s="920"/>
      <c r="C51" s="920"/>
      <c r="D51" s="922"/>
      <c r="E51" s="922"/>
      <c r="F51" s="920"/>
      <c r="G51" s="922"/>
    </row>
    <row r="52" spans="1:7">
      <c r="A52" s="926" t="s">
        <v>627</v>
      </c>
      <c r="B52" s="920"/>
      <c r="C52" s="920"/>
      <c r="D52" s="922"/>
      <c r="E52" s="922"/>
      <c r="F52" s="920"/>
      <c r="G52" s="922"/>
    </row>
    <row r="53" spans="1:7">
      <c r="A53" s="927" t="s">
        <v>104</v>
      </c>
      <c r="B53" s="920"/>
      <c r="C53" s="928">
        <v>54</v>
      </c>
      <c r="D53" s="929"/>
      <c r="E53" s="922"/>
      <c r="F53" s="928">
        <v>55</v>
      </c>
      <c r="G53" s="929"/>
    </row>
    <row r="54" spans="1:7">
      <c r="A54" s="927" t="s">
        <v>161</v>
      </c>
      <c r="B54" s="920"/>
      <c r="C54" s="928">
        <v>18.12</v>
      </c>
      <c r="D54" s="929"/>
      <c r="E54" s="922"/>
      <c r="F54" s="928">
        <v>18.5</v>
      </c>
      <c r="G54" s="929"/>
    </row>
    <row r="55" spans="1:7">
      <c r="A55" s="927" t="s">
        <v>162</v>
      </c>
      <c r="B55" s="920"/>
      <c r="C55" s="928">
        <v>14.54</v>
      </c>
      <c r="D55" s="929"/>
      <c r="E55" s="922"/>
      <c r="F55" s="928">
        <v>14.84</v>
      </c>
      <c r="G55" s="929"/>
    </row>
    <row r="56" spans="1:7">
      <c r="A56" s="927" t="s">
        <v>154</v>
      </c>
      <c r="B56" s="920"/>
      <c r="C56" s="928">
        <v>-0.93</v>
      </c>
      <c r="D56" s="929"/>
      <c r="E56" s="922"/>
      <c r="F56" s="928">
        <v>-0.95</v>
      </c>
      <c r="G56" s="929"/>
    </row>
    <row r="57" spans="1:7">
      <c r="A57" s="927" t="s">
        <v>149</v>
      </c>
      <c r="B57" s="920"/>
      <c r="C57" s="938"/>
      <c r="D57" s="930"/>
      <c r="E57" s="922"/>
      <c r="F57" s="938"/>
      <c r="G57" s="930"/>
    </row>
    <row r="58" spans="1:7">
      <c r="A58" s="927" t="s">
        <v>166</v>
      </c>
      <c r="B58" s="920"/>
      <c r="C58" s="939">
        <v>3.8127</v>
      </c>
      <c r="D58" s="930" t="s">
        <v>108</v>
      </c>
      <c r="E58" s="922"/>
      <c r="F58" s="939">
        <v>3.8925999999999998</v>
      </c>
      <c r="G58" s="930" t="s">
        <v>108</v>
      </c>
    </row>
    <row r="59" spans="1:7">
      <c r="A59" s="927" t="s">
        <v>167</v>
      </c>
      <c r="B59" s="920"/>
      <c r="C59" s="939">
        <v>3.5143</v>
      </c>
      <c r="D59" s="930" t="s">
        <v>108</v>
      </c>
      <c r="E59" s="922"/>
      <c r="F59" s="939">
        <v>3.5891999999999999</v>
      </c>
      <c r="G59" s="930" t="s">
        <v>108</v>
      </c>
    </row>
    <row r="60" spans="1:7">
      <c r="A60" s="927" t="s">
        <v>159</v>
      </c>
      <c r="B60" s="920"/>
      <c r="C60" s="928">
        <v>648</v>
      </c>
      <c r="D60" s="929"/>
      <c r="E60" s="922"/>
      <c r="F60" s="928">
        <v>660</v>
      </c>
      <c r="G60" s="929"/>
    </row>
    <row r="61" spans="1:7">
      <c r="A61" s="920"/>
      <c r="B61" s="920"/>
      <c r="C61" s="920"/>
      <c r="D61" s="922"/>
      <c r="E61" s="922"/>
      <c r="F61" s="920"/>
      <c r="G61" s="922"/>
    </row>
    <row r="62" spans="1:7">
      <c r="A62" s="926" t="s">
        <v>628</v>
      </c>
      <c r="B62" s="920"/>
      <c r="C62" s="920"/>
      <c r="D62" s="922"/>
      <c r="E62" s="935"/>
      <c r="F62" s="920"/>
      <c r="G62" s="922"/>
    </row>
    <row r="63" spans="1:7">
      <c r="A63" s="927" t="s">
        <v>104</v>
      </c>
      <c r="B63" s="920"/>
      <c r="C63" s="928">
        <v>54</v>
      </c>
      <c r="D63" s="929"/>
      <c r="E63" s="922"/>
      <c r="F63" s="928">
        <v>55</v>
      </c>
      <c r="G63" s="929"/>
    </row>
    <row r="64" spans="1:7">
      <c r="A64" s="927" t="s">
        <v>173</v>
      </c>
      <c r="B64" s="920"/>
      <c r="C64" s="928">
        <v>18.12</v>
      </c>
      <c r="D64" s="929"/>
      <c r="E64" s="922"/>
      <c r="F64" s="928">
        <v>18.5</v>
      </c>
      <c r="G64" s="929"/>
    </row>
    <row r="65" spans="1:7">
      <c r="A65" s="927" t="s">
        <v>174</v>
      </c>
      <c r="B65" s="920"/>
      <c r="C65" s="928">
        <v>14.54</v>
      </c>
      <c r="D65" s="929"/>
      <c r="E65" s="922"/>
      <c r="F65" s="928">
        <v>14.84</v>
      </c>
      <c r="G65" s="929"/>
    </row>
    <row r="66" spans="1:7">
      <c r="A66" s="927" t="s">
        <v>154</v>
      </c>
      <c r="B66" s="920"/>
      <c r="C66" s="928">
        <v>-0.93</v>
      </c>
      <c r="D66" s="929"/>
      <c r="E66" s="922"/>
      <c r="F66" s="928">
        <v>-0.95</v>
      </c>
      <c r="G66" s="929"/>
    </row>
    <row r="67" spans="1:7">
      <c r="A67" s="927" t="s">
        <v>149</v>
      </c>
      <c r="B67" s="920"/>
      <c r="C67" s="939"/>
      <c r="D67" s="930"/>
      <c r="E67" s="922"/>
      <c r="F67" s="939"/>
      <c r="G67" s="930"/>
    </row>
    <row r="68" spans="1:7">
      <c r="A68" s="927" t="s">
        <v>163</v>
      </c>
      <c r="B68" s="920"/>
      <c r="C68" s="939">
        <v>3.8127</v>
      </c>
      <c r="D68" s="930" t="s">
        <v>108</v>
      </c>
      <c r="E68" s="922"/>
      <c r="F68" s="939">
        <v>3.8925999999999998</v>
      </c>
      <c r="G68" s="930" t="s">
        <v>108</v>
      </c>
    </row>
    <row r="69" spans="1:7">
      <c r="A69" s="927" t="s">
        <v>164</v>
      </c>
      <c r="B69" s="920"/>
      <c r="C69" s="939">
        <v>3.5143</v>
      </c>
      <c r="D69" s="930" t="s">
        <v>108</v>
      </c>
      <c r="E69" s="922"/>
      <c r="F69" s="939">
        <v>3.5891999999999999</v>
      </c>
      <c r="G69" s="930" t="s">
        <v>108</v>
      </c>
    </row>
    <row r="70" spans="1:7">
      <c r="A70" s="927" t="s">
        <v>159</v>
      </c>
      <c r="B70" s="920"/>
      <c r="C70" s="928">
        <v>648</v>
      </c>
      <c r="D70" s="929"/>
      <c r="E70" s="935"/>
      <c r="F70" s="928">
        <v>660</v>
      </c>
      <c r="G70" s="929"/>
    </row>
    <row r="71" spans="1:7">
      <c r="A71" s="920"/>
      <c r="B71" s="920"/>
      <c r="C71" s="920"/>
      <c r="D71" s="922"/>
      <c r="E71" s="922"/>
      <c r="F71" s="920"/>
      <c r="G71" s="922"/>
    </row>
    <row r="72" spans="1:7">
      <c r="A72" s="926" t="s">
        <v>629</v>
      </c>
      <c r="B72" s="920"/>
      <c r="C72" s="939"/>
      <c r="D72" s="940"/>
      <c r="E72" s="922"/>
      <c r="F72" s="939"/>
      <c r="G72" s="940"/>
    </row>
    <row r="73" spans="1:7">
      <c r="A73" s="927" t="s">
        <v>104</v>
      </c>
      <c r="B73" s="920"/>
      <c r="C73" s="928">
        <v>54</v>
      </c>
      <c r="D73" s="929"/>
      <c r="E73" s="922"/>
      <c r="F73" s="928">
        <v>55</v>
      </c>
      <c r="G73" s="929"/>
    </row>
    <row r="74" spans="1:7">
      <c r="A74" s="927" t="s">
        <v>177</v>
      </c>
      <c r="B74" s="920"/>
      <c r="C74" s="928">
        <v>6.41</v>
      </c>
      <c r="D74" s="929"/>
      <c r="E74" s="935"/>
      <c r="F74" s="928">
        <v>6.54</v>
      </c>
      <c r="G74" s="929"/>
    </row>
    <row r="75" spans="1:7">
      <c r="A75" s="927" t="s">
        <v>178</v>
      </c>
      <c r="B75" s="920"/>
      <c r="C75" s="928">
        <v>5.38</v>
      </c>
      <c r="D75" s="929"/>
      <c r="E75" s="935"/>
      <c r="F75" s="928">
        <v>5.49</v>
      </c>
      <c r="G75" s="929"/>
    </row>
    <row r="76" spans="1:7">
      <c r="A76" s="927" t="s">
        <v>154</v>
      </c>
      <c r="B76" s="920"/>
      <c r="C76" s="928">
        <v>-0.6</v>
      </c>
      <c r="D76" s="929"/>
      <c r="E76" s="935"/>
      <c r="F76" s="928">
        <v>-0.61</v>
      </c>
      <c r="G76" s="929"/>
    </row>
    <row r="77" spans="1:7">
      <c r="A77" s="927" t="s">
        <v>143</v>
      </c>
      <c r="B77" s="920"/>
      <c r="C77" s="938">
        <v>11.730700000000001</v>
      </c>
      <c r="D77" s="930" t="s">
        <v>108</v>
      </c>
      <c r="E77" s="935"/>
      <c r="F77" s="938">
        <v>11.9773</v>
      </c>
      <c r="G77" s="930" t="s">
        <v>108</v>
      </c>
    </row>
    <row r="78" spans="1:7">
      <c r="A78" s="927" t="s">
        <v>144</v>
      </c>
      <c r="B78" s="920"/>
      <c r="C78" s="938">
        <v>3.5318000000000001</v>
      </c>
      <c r="D78" s="930" t="s">
        <v>108</v>
      </c>
      <c r="E78" s="935"/>
      <c r="F78" s="938">
        <v>3.6059999999999999</v>
      </c>
      <c r="G78" s="930" t="s">
        <v>108</v>
      </c>
    </row>
    <row r="79" spans="1:7">
      <c r="A79" s="927" t="s">
        <v>179</v>
      </c>
      <c r="B79" s="920"/>
      <c r="C79" s="938">
        <v>9.8056000000000001</v>
      </c>
      <c r="D79" s="930" t="s">
        <v>108</v>
      </c>
      <c r="E79" s="935"/>
      <c r="F79" s="938">
        <v>10.011699999999999</v>
      </c>
      <c r="G79" s="930" t="s">
        <v>108</v>
      </c>
    </row>
    <row r="80" spans="1:7">
      <c r="A80" s="927" t="s">
        <v>180</v>
      </c>
      <c r="B80" s="920"/>
      <c r="C80" s="938">
        <v>2.9603000000000002</v>
      </c>
      <c r="D80" s="930" t="s">
        <v>108</v>
      </c>
      <c r="E80" s="935"/>
      <c r="F80" s="938">
        <v>3.0320999999999998</v>
      </c>
      <c r="G80" s="930" t="s">
        <v>108</v>
      </c>
    </row>
    <row r="81" spans="1:7">
      <c r="A81" s="920"/>
      <c r="B81" s="920"/>
      <c r="C81" s="920"/>
      <c r="D81" s="922"/>
      <c r="E81" s="922"/>
      <c r="F81" s="920"/>
      <c r="G81" s="922"/>
    </row>
    <row r="82" spans="1:7">
      <c r="A82" s="926" t="s">
        <v>186</v>
      </c>
      <c r="B82" s="920"/>
      <c r="C82" s="920"/>
      <c r="D82" s="922"/>
      <c r="E82" s="922"/>
      <c r="F82" s="920"/>
      <c r="G82" s="922"/>
    </row>
    <row r="83" spans="1:7">
      <c r="A83" s="931" t="s">
        <v>187</v>
      </c>
      <c r="B83" s="920"/>
      <c r="C83" s="920"/>
      <c r="D83" s="922"/>
      <c r="E83" s="922"/>
      <c r="F83" s="920"/>
      <c r="G83" s="922"/>
    </row>
    <row r="84" spans="1:7">
      <c r="A84" s="927" t="s">
        <v>188</v>
      </c>
      <c r="B84" s="920"/>
      <c r="C84" s="928">
        <v>5.68</v>
      </c>
      <c r="D84" s="929"/>
      <c r="E84" s="922"/>
      <c r="F84" s="928">
        <v>5.68</v>
      </c>
      <c r="G84" s="929"/>
    </row>
    <row r="85" spans="1:7">
      <c r="A85" s="927" t="s">
        <v>189</v>
      </c>
      <c r="B85" s="920"/>
      <c r="C85" s="928">
        <v>16.38</v>
      </c>
      <c r="D85" s="929"/>
      <c r="E85" s="922"/>
      <c r="F85" s="928">
        <v>16.38</v>
      </c>
      <c r="G85" s="929"/>
    </row>
    <row r="86" spans="1:7">
      <c r="A86" s="927" t="s">
        <v>190</v>
      </c>
      <c r="B86" s="920"/>
      <c r="C86" s="928">
        <v>8.0500000000000007</v>
      </c>
      <c r="D86" s="929"/>
      <c r="E86" s="922"/>
      <c r="F86" s="928">
        <v>8.0500000000000007</v>
      </c>
      <c r="G86" s="929"/>
    </row>
    <row r="87" spans="1:7">
      <c r="A87" s="927" t="s">
        <v>191</v>
      </c>
      <c r="B87" s="920"/>
      <c r="C87" s="928">
        <v>26.78</v>
      </c>
      <c r="D87" s="929"/>
      <c r="E87" s="922"/>
      <c r="F87" s="928">
        <v>26.78</v>
      </c>
      <c r="G87" s="929"/>
    </row>
    <row r="88" spans="1:7">
      <c r="A88" s="931" t="s">
        <v>192</v>
      </c>
      <c r="B88" s="920"/>
      <c r="C88" s="920"/>
      <c r="D88" s="922"/>
      <c r="E88" s="922"/>
      <c r="F88" s="920"/>
      <c r="G88" s="922"/>
    </row>
    <row r="89" spans="1:7">
      <c r="A89" s="927" t="s">
        <v>193</v>
      </c>
      <c r="B89" s="920"/>
      <c r="C89" s="928">
        <v>14.6</v>
      </c>
      <c r="D89" s="929"/>
      <c r="E89" s="922"/>
      <c r="F89" s="928">
        <v>14.6</v>
      </c>
      <c r="G89" s="929"/>
    </row>
    <row r="90" spans="1:7">
      <c r="A90" s="927" t="s">
        <v>194</v>
      </c>
      <c r="B90" s="920"/>
      <c r="C90" s="928">
        <v>12.23</v>
      </c>
      <c r="D90" s="929"/>
      <c r="E90" s="922"/>
      <c r="F90" s="928">
        <v>12.23</v>
      </c>
      <c r="G90" s="929"/>
    </row>
    <row r="91" spans="1:7">
      <c r="A91" s="927" t="s">
        <v>195</v>
      </c>
      <c r="B91" s="920"/>
      <c r="C91" s="928">
        <v>15.47</v>
      </c>
      <c r="D91" s="929"/>
      <c r="E91" s="922"/>
      <c r="F91" s="928">
        <v>15.47</v>
      </c>
      <c r="G91" s="929"/>
    </row>
    <row r="92" spans="1:7">
      <c r="A92" s="927" t="s">
        <v>196</v>
      </c>
      <c r="B92" s="920"/>
      <c r="C92" s="928">
        <v>13.31</v>
      </c>
      <c r="D92" s="929"/>
      <c r="E92" s="922"/>
      <c r="F92" s="928">
        <v>13.31</v>
      </c>
      <c r="G92" s="929"/>
    </row>
    <row r="93" spans="1:7">
      <c r="A93" s="927" t="s">
        <v>197</v>
      </c>
      <c r="B93" s="920"/>
      <c r="C93" s="928">
        <v>19.46</v>
      </c>
      <c r="D93" s="929"/>
      <c r="E93" s="922"/>
      <c r="F93" s="928">
        <v>19.46</v>
      </c>
      <c r="G93" s="929"/>
    </row>
    <row r="94" spans="1:7">
      <c r="A94" s="927" t="s">
        <v>198</v>
      </c>
      <c r="B94" s="920"/>
      <c r="C94" s="928">
        <v>17.13</v>
      </c>
      <c r="D94" s="929"/>
      <c r="E94" s="922"/>
      <c r="F94" s="928">
        <v>17.13</v>
      </c>
      <c r="G94" s="929"/>
    </row>
    <row r="95" spans="1:7">
      <c r="A95" s="927" t="s">
        <v>199</v>
      </c>
      <c r="B95" s="920"/>
      <c r="C95" s="928">
        <v>21.07</v>
      </c>
      <c r="D95" s="929"/>
      <c r="E95" s="922"/>
      <c r="F95" s="928">
        <v>21.07</v>
      </c>
      <c r="G95" s="929"/>
    </row>
    <row r="96" spans="1:7">
      <c r="A96" s="927" t="s">
        <v>200</v>
      </c>
      <c r="B96" s="920"/>
      <c r="C96" s="928">
        <v>23.51</v>
      </c>
      <c r="D96" s="929"/>
      <c r="E96" s="922"/>
      <c r="F96" s="928">
        <v>23.51</v>
      </c>
      <c r="G96" s="929"/>
    </row>
    <row r="97" spans="1:7">
      <c r="A97" s="927" t="s">
        <v>201</v>
      </c>
      <c r="B97" s="920"/>
      <c r="C97" s="928">
        <v>21.23</v>
      </c>
      <c r="D97" s="929"/>
      <c r="E97" s="922"/>
      <c r="F97" s="928">
        <v>21.23</v>
      </c>
      <c r="G97" s="929"/>
    </row>
    <row r="98" spans="1:7">
      <c r="A98" s="927" t="s">
        <v>202</v>
      </c>
      <c r="B98" s="920"/>
      <c r="C98" s="928">
        <v>28.3</v>
      </c>
      <c r="D98" s="929"/>
      <c r="E98" s="922"/>
      <c r="F98" s="928">
        <v>28.3</v>
      </c>
      <c r="G98" s="929"/>
    </row>
    <row r="99" spans="1:7">
      <c r="A99" s="927" t="s">
        <v>203</v>
      </c>
      <c r="B99" s="920"/>
      <c r="C99" s="928">
        <v>25.99</v>
      </c>
      <c r="D99" s="929"/>
      <c r="E99" s="922"/>
      <c r="F99" s="928">
        <v>25.99</v>
      </c>
      <c r="G99" s="929"/>
    </row>
    <row r="100" spans="1:7">
      <c r="A100" s="931" t="s">
        <v>204</v>
      </c>
      <c r="B100" s="920"/>
      <c r="C100" s="920"/>
      <c r="D100" s="922"/>
      <c r="E100" s="922"/>
      <c r="F100" s="920"/>
      <c r="G100" s="922"/>
    </row>
    <row r="101" spans="1:7">
      <c r="A101" s="927" t="s">
        <v>197</v>
      </c>
      <c r="B101" s="920"/>
      <c r="C101" s="928">
        <v>19.46</v>
      </c>
      <c r="D101" s="929"/>
      <c r="E101" s="922"/>
      <c r="F101" s="928">
        <v>19.46</v>
      </c>
      <c r="G101" s="929"/>
    </row>
    <row r="102" spans="1:7">
      <c r="A102" s="927" t="s">
        <v>198</v>
      </c>
      <c r="B102" s="920"/>
      <c r="C102" s="928">
        <v>17.13</v>
      </c>
      <c r="D102" s="929"/>
      <c r="E102" s="922"/>
      <c r="F102" s="928">
        <v>17.13</v>
      </c>
      <c r="G102" s="929"/>
    </row>
    <row r="103" spans="1:7">
      <c r="A103" s="927" t="s">
        <v>200</v>
      </c>
      <c r="B103" s="920"/>
      <c r="C103" s="928">
        <v>23.51</v>
      </c>
      <c r="D103" s="929"/>
      <c r="E103" s="922"/>
      <c r="F103" s="928">
        <v>23.51</v>
      </c>
      <c r="G103" s="929"/>
    </row>
    <row r="104" spans="1:7">
      <c r="A104" s="927" t="s">
        <v>201</v>
      </c>
      <c r="B104" s="920"/>
      <c r="C104" s="928">
        <v>21.23</v>
      </c>
      <c r="D104" s="929"/>
      <c r="E104" s="922"/>
      <c r="F104" s="928">
        <v>21.23</v>
      </c>
      <c r="G104" s="929"/>
    </row>
    <row r="105" spans="1:7">
      <c r="A105" s="927" t="s">
        <v>202</v>
      </c>
      <c r="B105" s="920"/>
      <c r="C105" s="928">
        <v>28.3</v>
      </c>
      <c r="D105" s="929"/>
      <c r="E105" s="922"/>
      <c r="F105" s="928">
        <v>28.3</v>
      </c>
      <c r="G105" s="929"/>
    </row>
    <row r="106" spans="1:7">
      <c r="A106" s="927" t="s">
        <v>203</v>
      </c>
      <c r="B106" s="920"/>
      <c r="C106" s="928">
        <v>25.99</v>
      </c>
      <c r="D106" s="929"/>
      <c r="E106" s="922"/>
      <c r="F106" s="928">
        <v>25.99</v>
      </c>
      <c r="G106" s="929"/>
    </row>
    <row r="107" spans="1:7">
      <c r="A107" s="931" t="s">
        <v>205</v>
      </c>
      <c r="B107" s="920"/>
      <c r="C107" s="920"/>
      <c r="D107" s="922"/>
      <c r="E107" s="922"/>
      <c r="F107" s="920"/>
      <c r="G107" s="922"/>
    </row>
    <row r="108" spans="1:7">
      <c r="A108" s="927" t="s">
        <v>206</v>
      </c>
      <c r="B108" s="920"/>
      <c r="C108" s="928">
        <v>29.4</v>
      </c>
      <c r="D108" s="929"/>
      <c r="E108" s="922"/>
      <c r="F108" s="928">
        <v>29.4</v>
      </c>
      <c r="G108" s="929"/>
    </row>
    <row r="109" spans="1:7">
      <c r="A109" s="927" t="s">
        <v>207</v>
      </c>
      <c r="B109" s="920"/>
      <c r="C109" s="928">
        <v>21.79</v>
      </c>
      <c r="D109" s="929"/>
      <c r="E109" s="922"/>
      <c r="F109" s="928">
        <v>21.79</v>
      </c>
      <c r="G109" s="929"/>
    </row>
    <row r="110" spans="1:7">
      <c r="A110" s="927" t="s">
        <v>208</v>
      </c>
      <c r="B110" s="920"/>
      <c r="C110" s="928">
        <v>34.340000000000003</v>
      </c>
      <c r="D110" s="929"/>
      <c r="E110" s="922"/>
      <c r="F110" s="928">
        <v>34.340000000000003</v>
      </c>
      <c r="G110" s="929"/>
    </row>
    <row r="111" spans="1:7">
      <c r="A111" s="927" t="s">
        <v>209</v>
      </c>
      <c r="B111" s="920"/>
      <c r="C111" s="928">
        <v>27.43</v>
      </c>
      <c r="D111" s="929"/>
      <c r="E111" s="922"/>
      <c r="F111" s="928">
        <v>27.43</v>
      </c>
      <c r="G111" s="929"/>
    </row>
    <row r="112" spans="1:7">
      <c r="A112" s="927" t="s">
        <v>210</v>
      </c>
      <c r="B112" s="920"/>
      <c r="C112" s="928">
        <v>36.69</v>
      </c>
      <c r="D112" s="929"/>
      <c r="E112" s="922"/>
      <c r="F112" s="928">
        <v>36.69</v>
      </c>
      <c r="G112" s="929"/>
    </row>
    <row r="113" spans="1:7">
      <c r="A113" s="927" t="s">
        <v>211</v>
      </c>
      <c r="B113" s="920"/>
      <c r="C113" s="928">
        <v>29.72</v>
      </c>
      <c r="D113" s="929"/>
      <c r="E113" s="922"/>
      <c r="F113" s="928">
        <v>29.72</v>
      </c>
      <c r="G113" s="929"/>
    </row>
    <row r="114" spans="1:7">
      <c r="A114" s="927" t="s">
        <v>212</v>
      </c>
      <c r="B114" s="920"/>
      <c r="C114" s="928">
        <v>57.58</v>
      </c>
      <c r="D114" s="929"/>
      <c r="E114" s="922"/>
      <c r="F114" s="928">
        <v>57.58</v>
      </c>
      <c r="G114" s="929"/>
    </row>
    <row r="115" spans="1:7">
      <c r="A115" s="927" t="s">
        <v>213</v>
      </c>
      <c r="B115" s="920"/>
      <c r="C115" s="928">
        <v>49.1</v>
      </c>
      <c r="D115" s="929"/>
      <c r="E115" s="922"/>
      <c r="F115" s="928">
        <v>49.1</v>
      </c>
      <c r="G115" s="929"/>
    </row>
    <row r="116" spans="1:7">
      <c r="A116" s="920"/>
      <c r="B116" s="920"/>
      <c r="C116" s="920"/>
      <c r="D116" s="922"/>
      <c r="E116" s="935"/>
      <c r="F116" s="920"/>
      <c r="G116" s="922"/>
    </row>
    <row r="117" spans="1:7">
      <c r="A117" s="926" t="s">
        <v>630</v>
      </c>
      <c r="B117" s="920"/>
      <c r="C117" s="920"/>
      <c r="D117" s="922"/>
      <c r="E117" s="922"/>
      <c r="F117" s="920"/>
      <c r="G117" s="922"/>
    </row>
    <row r="118" spans="1:7">
      <c r="A118" s="927" t="s">
        <v>104</v>
      </c>
      <c r="B118" s="920"/>
      <c r="C118" s="928">
        <v>68</v>
      </c>
      <c r="D118" s="929"/>
      <c r="E118" s="922"/>
      <c r="F118" s="928">
        <v>71</v>
      </c>
      <c r="G118" s="929"/>
    </row>
    <row r="119" spans="1:7">
      <c r="A119" s="927" t="s">
        <v>220</v>
      </c>
      <c r="B119" s="920"/>
      <c r="C119" s="928">
        <v>4.62</v>
      </c>
      <c r="D119" s="929"/>
      <c r="E119" s="922"/>
      <c r="F119" s="928">
        <v>4.8099999999999996</v>
      </c>
      <c r="G119" s="929"/>
    </row>
    <row r="120" spans="1:7">
      <c r="A120" s="927" t="s">
        <v>221</v>
      </c>
      <c r="B120" s="920"/>
      <c r="C120" s="928">
        <v>15.1</v>
      </c>
      <c r="D120" s="929"/>
      <c r="E120" s="922"/>
      <c r="F120" s="928">
        <v>15.72</v>
      </c>
      <c r="G120" s="929"/>
    </row>
    <row r="121" spans="1:7">
      <c r="A121" s="927" t="s">
        <v>222</v>
      </c>
      <c r="B121" s="920"/>
      <c r="C121" s="928">
        <v>10.87</v>
      </c>
      <c r="D121" s="929"/>
      <c r="E121" s="922"/>
      <c r="F121" s="928">
        <v>11.31</v>
      </c>
      <c r="G121" s="929"/>
    </row>
    <row r="122" spans="1:7">
      <c r="A122" s="927" t="s">
        <v>154</v>
      </c>
      <c r="B122" s="920"/>
      <c r="C122" s="928">
        <v>-1.1000000000000001</v>
      </c>
      <c r="D122" s="929"/>
      <c r="E122" s="922"/>
      <c r="F122" s="928">
        <v>-1.1399999999999999</v>
      </c>
      <c r="G122" s="929"/>
    </row>
    <row r="123" spans="1:7">
      <c r="A123" s="927" t="s">
        <v>143</v>
      </c>
      <c r="B123" s="920"/>
      <c r="C123" s="941">
        <v>4.8998999999999997</v>
      </c>
      <c r="D123" s="930" t="s">
        <v>108</v>
      </c>
      <c r="E123" s="922"/>
      <c r="F123" s="941">
        <v>5.1002999999999998</v>
      </c>
      <c r="G123" s="930" t="s">
        <v>108</v>
      </c>
    </row>
    <row r="124" spans="1:7">
      <c r="A124" s="927" t="s">
        <v>179</v>
      </c>
      <c r="B124" s="920"/>
      <c r="C124" s="941">
        <v>3.8355999999999999</v>
      </c>
      <c r="D124" s="930" t="s">
        <v>108</v>
      </c>
      <c r="E124" s="922"/>
      <c r="F124" s="941">
        <v>3.9925000000000002</v>
      </c>
      <c r="G124" s="930" t="s">
        <v>108</v>
      </c>
    </row>
    <row r="125" spans="1:7">
      <c r="A125" s="927" t="s">
        <v>223</v>
      </c>
      <c r="B125" s="920"/>
      <c r="C125" s="941">
        <v>3.3018999999999998</v>
      </c>
      <c r="D125" s="930" t="s">
        <v>108</v>
      </c>
      <c r="E125" s="922"/>
      <c r="F125" s="941">
        <v>3.4363999999999999</v>
      </c>
      <c r="G125" s="930" t="s">
        <v>108</v>
      </c>
    </row>
    <row r="126" spans="1:7">
      <c r="A126" s="920"/>
      <c r="B126" s="920"/>
      <c r="C126" s="920"/>
      <c r="D126" s="922"/>
      <c r="E126" s="922"/>
      <c r="F126" s="920"/>
      <c r="G126" s="922"/>
    </row>
    <row r="127" spans="1:7">
      <c r="A127" s="926" t="s">
        <v>631</v>
      </c>
      <c r="B127" s="920"/>
      <c r="C127" s="920"/>
      <c r="D127" s="922"/>
      <c r="E127" s="922"/>
      <c r="F127" s="920"/>
      <c r="G127" s="922"/>
    </row>
    <row r="128" spans="1:7">
      <c r="A128" s="927" t="s">
        <v>104</v>
      </c>
      <c r="B128" s="920"/>
      <c r="C128" s="928">
        <v>247</v>
      </c>
      <c r="D128" s="929"/>
      <c r="E128" s="922"/>
      <c r="F128" s="928">
        <v>262</v>
      </c>
      <c r="G128" s="929"/>
    </row>
    <row r="129" spans="1:7">
      <c r="A129" s="927" t="s">
        <v>220</v>
      </c>
      <c r="B129" s="920"/>
      <c r="C129" s="928">
        <v>2.12</v>
      </c>
      <c r="D129" s="929"/>
      <c r="E129" s="922"/>
      <c r="F129" s="928">
        <v>2.2400000000000002</v>
      </c>
      <c r="G129" s="929"/>
    </row>
    <row r="130" spans="1:7">
      <c r="A130" s="927" t="s">
        <v>221</v>
      </c>
      <c r="B130" s="920"/>
      <c r="C130" s="928">
        <v>13.32</v>
      </c>
      <c r="D130" s="929"/>
      <c r="E130" s="922"/>
      <c r="F130" s="928">
        <v>14.06</v>
      </c>
      <c r="G130" s="929"/>
    </row>
    <row r="131" spans="1:7">
      <c r="A131" s="927" t="s">
        <v>222</v>
      </c>
      <c r="B131" s="920"/>
      <c r="C131" s="928">
        <v>9.0299999999999994</v>
      </c>
      <c r="D131" s="929"/>
      <c r="E131" s="922"/>
      <c r="F131" s="928">
        <v>9.5299999999999994</v>
      </c>
      <c r="G131" s="929"/>
    </row>
    <row r="132" spans="1:7">
      <c r="A132" s="927" t="s">
        <v>228</v>
      </c>
      <c r="B132" s="920"/>
      <c r="C132" s="942">
        <v>4.4379</v>
      </c>
      <c r="D132" s="930" t="s">
        <v>108</v>
      </c>
      <c r="E132" s="922"/>
      <c r="F132" s="892">
        <v>4.6836000000000002</v>
      </c>
      <c r="G132" s="930" t="s">
        <v>108</v>
      </c>
    </row>
    <row r="133" spans="1:7">
      <c r="A133" s="927" t="s">
        <v>229</v>
      </c>
      <c r="B133" s="920"/>
      <c r="C133" s="942">
        <v>3.3371</v>
      </c>
      <c r="D133" s="930" t="s">
        <v>108</v>
      </c>
      <c r="E133" s="922"/>
      <c r="F133" s="892">
        <v>3.5219</v>
      </c>
      <c r="G133" s="930" t="s">
        <v>108</v>
      </c>
    </row>
    <row r="134" spans="1:7">
      <c r="A134" s="927" t="s">
        <v>223</v>
      </c>
      <c r="B134" s="920"/>
      <c r="C134" s="943">
        <v>2.7873000000000001</v>
      </c>
      <c r="D134" s="930" t="s">
        <v>108</v>
      </c>
      <c r="E134" s="922"/>
      <c r="F134" s="892">
        <v>2.9416000000000002</v>
      </c>
      <c r="G134" s="930" t="s">
        <v>108</v>
      </c>
    </row>
    <row r="135" spans="1:7">
      <c r="A135" s="920"/>
      <c r="B135" s="920"/>
      <c r="C135" s="920"/>
      <c r="D135" s="922"/>
      <c r="E135" s="922"/>
      <c r="F135" s="920"/>
      <c r="G135" s="922"/>
    </row>
    <row r="136" spans="1:7">
      <c r="A136" s="926" t="s">
        <v>517</v>
      </c>
      <c r="B136" s="920"/>
      <c r="C136" s="939"/>
      <c r="D136" s="940"/>
      <c r="E136" s="922"/>
      <c r="F136" s="939"/>
      <c r="G136" s="940"/>
    </row>
    <row r="137" spans="1:7">
      <c r="A137" s="927" t="s">
        <v>104</v>
      </c>
      <c r="B137" s="920"/>
      <c r="C137" s="928">
        <v>247</v>
      </c>
      <c r="D137" s="929"/>
      <c r="E137" s="922"/>
      <c r="F137" s="928">
        <v>262</v>
      </c>
      <c r="G137" s="929"/>
    </row>
    <row r="138" spans="1:7">
      <c r="A138" s="927" t="s">
        <v>235</v>
      </c>
      <c r="B138" s="920"/>
      <c r="C138" s="928">
        <v>2.12</v>
      </c>
      <c r="D138" s="929"/>
      <c r="E138" s="922"/>
      <c r="F138" s="928">
        <v>2.2400000000000002</v>
      </c>
      <c r="G138" s="929"/>
    </row>
    <row r="139" spans="1:7">
      <c r="A139" s="927" t="s">
        <v>236</v>
      </c>
      <c r="B139" s="920"/>
      <c r="C139" s="938">
        <v>8.2002000000000006</v>
      </c>
      <c r="D139" s="930" t="s">
        <v>108</v>
      </c>
      <c r="E139" s="922"/>
      <c r="F139" s="938">
        <v>8.7064000000000004</v>
      </c>
      <c r="G139" s="930" t="s">
        <v>108</v>
      </c>
    </row>
    <row r="140" spans="1:7">
      <c r="A140" s="927" t="s">
        <v>223</v>
      </c>
      <c r="B140" s="920"/>
      <c r="C140" s="938">
        <v>3.5251000000000001</v>
      </c>
      <c r="D140" s="930" t="s">
        <v>108</v>
      </c>
      <c r="E140" s="922"/>
      <c r="F140" s="938">
        <v>3.7427999999999999</v>
      </c>
      <c r="G140" s="930" t="s">
        <v>108</v>
      </c>
    </row>
    <row r="141" spans="1:7">
      <c r="A141" s="920"/>
      <c r="B141" s="920"/>
      <c r="C141" s="920"/>
      <c r="D141" s="922"/>
      <c r="E141" s="922"/>
      <c r="F141" s="920"/>
      <c r="G141" s="922"/>
    </row>
    <row r="142" spans="1:7">
      <c r="A142" s="926" t="s">
        <v>238</v>
      </c>
      <c r="B142" s="920"/>
      <c r="C142" s="920"/>
      <c r="D142" s="922"/>
      <c r="E142" s="922"/>
      <c r="F142" s="920"/>
      <c r="G142" s="922"/>
    </row>
    <row r="143" spans="1:7">
      <c r="A143" s="927" t="s">
        <v>239</v>
      </c>
      <c r="B143" s="920"/>
      <c r="C143" s="936">
        <v>121</v>
      </c>
      <c r="D143" s="935"/>
      <c r="E143" s="922"/>
      <c r="F143" s="936">
        <v>128</v>
      </c>
      <c r="G143" s="935"/>
    </row>
    <row r="144" spans="1:7">
      <c r="A144" s="927" t="s">
        <v>240</v>
      </c>
      <c r="B144" s="920"/>
      <c r="C144" s="936">
        <v>37</v>
      </c>
      <c r="D144" s="935"/>
      <c r="E144" s="922"/>
      <c r="F144" s="936">
        <v>39</v>
      </c>
      <c r="G144" s="935"/>
    </row>
    <row r="145" spans="1:7">
      <c r="A145" s="927" t="s">
        <v>241</v>
      </c>
      <c r="B145" s="920"/>
      <c r="C145" s="936">
        <v>14</v>
      </c>
      <c r="D145" s="935"/>
      <c r="E145" s="922"/>
      <c r="F145" s="936">
        <v>15</v>
      </c>
      <c r="G145" s="935"/>
    </row>
    <row r="146" spans="1:7">
      <c r="A146" s="927" t="s">
        <v>242</v>
      </c>
      <c r="B146" s="920"/>
      <c r="C146" s="936">
        <v>7.04</v>
      </c>
      <c r="D146" s="935"/>
      <c r="E146" s="922"/>
      <c r="F146" s="936">
        <v>7.47</v>
      </c>
      <c r="G146" s="935"/>
    </row>
    <row r="147" spans="1:7">
      <c r="A147" s="927" t="s">
        <v>154</v>
      </c>
      <c r="B147" s="920"/>
      <c r="C147" s="936">
        <v>-1.97</v>
      </c>
      <c r="D147" s="935"/>
      <c r="E147" s="922"/>
      <c r="F147" s="936">
        <v>-2.09</v>
      </c>
      <c r="G147" s="935"/>
    </row>
    <row r="148" spans="1:7">
      <c r="A148" s="927" t="s">
        <v>243</v>
      </c>
      <c r="B148" s="920"/>
      <c r="C148" s="938">
        <v>7.0156000000000001</v>
      </c>
      <c r="D148" s="930" t="s">
        <v>108</v>
      </c>
      <c r="E148" s="922"/>
      <c r="F148" s="938">
        <v>7.4417999999999997</v>
      </c>
      <c r="G148" s="930" t="s">
        <v>108</v>
      </c>
    </row>
    <row r="149" spans="1:7">
      <c r="A149" s="927" t="s">
        <v>245</v>
      </c>
      <c r="B149" s="920"/>
      <c r="C149" s="938">
        <v>5.1855000000000002</v>
      </c>
      <c r="D149" s="930" t="s">
        <v>108</v>
      </c>
      <c r="E149" s="922"/>
      <c r="F149" s="938">
        <v>5.5004999999999997</v>
      </c>
      <c r="G149" s="930" t="s">
        <v>108</v>
      </c>
    </row>
    <row r="150" spans="1:7">
      <c r="A150" s="927" t="s">
        <v>247</v>
      </c>
      <c r="B150" s="920"/>
      <c r="C150" s="920"/>
      <c r="D150" s="922"/>
      <c r="E150" s="922"/>
      <c r="F150" s="920"/>
      <c r="G150" s="922"/>
    </row>
    <row r="151" spans="1:7">
      <c r="A151" s="927" t="s">
        <v>632</v>
      </c>
      <c r="B151" s="920"/>
      <c r="C151" s="935">
        <v>14</v>
      </c>
      <c r="D151" s="935"/>
      <c r="E151" s="922"/>
      <c r="F151" s="935">
        <v>15</v>
      </c>
      <c r="G151" s="935"/>
    </row>
    <row r="152" spans="1:7">
      <c r="A152" s="927" t="s">
        <v>249</v>
      </c>
      <c r="B152" s="920"/>
      <c r="C152" s="939">
        <v>4.8055000000000003</v>
      </c>
      <c r="D152" s="930" t="s">
        <v>108</v>
      </c>
      <c r="E152" s="922"/>
      <c r="F152" s="938">
        <v>5.0974000000000004</v>
      </c>
      <c r="G152" s="930" t="s">
        <v>108</v>
      </c>
    </row>
    <row r="153" spans="1:7">
      <c r="A153" s="920"/>
      <c r="B153" s="920"/>
      <c r="C153" s="920"/>
      <c r="D153" s="922"/>
      <c r="E153" s="922"/>
      <c r="F153" s="920"/>
      <c r="G153" s="922"/>
    </row>
    <row r="154" spans="1:7">
      <c r="A154" s="926" t="s">
        <v>252</v>
      </c>
      <c r="B154" s="920"/>
      <c r="C154" s="920"/>
      <c r="D154" s="922"/>
      <c r="E154" s="922"/>
      <c r="F154" s="920"/>
      <c r="G154" s="922"/>
    </row>
    <row r="155" spans="1:7">
      <c r="A155" s="927" t="s">
        <v>239</v>
      </c>
      <c r="B155" s="920"/>
      <c r="C155" s="936">
        <v>121</v>
      </c>
      <c r="D155" s="935"/>
      <c r="E155" s="922"/>
      <c r="F155" s="936">
        <v>128</v>
      </c>
      <c r="G155" s="935"/>
    </row>
    <row r="156" spans="1:7">
      <c r="A156" s="927" t="s">
        <v>240</v>
      </c>
      <c r="B156" s="920"/>
      <c r="C156" s="936">
        <v>37</v>
      </c>
      <c r="D156" s="935"/>
      <c r="E156" s="922"/>
      <c r="F156" s="936">
        <v>39</v>
      </c>
      <c r="G156" s="935"/>
    </row>
    <row r="157" spans="1:7">
      <c r="A157" s="927" t="s">
        <v>253</v>
      </c>
      <c r="B157" s="920"/>
      <c r="C157" s="936">
        <v>14</v>
      </c>
      <c r="D157" s="935"/>
      <c r="E157" s="922"/>
      <c r="F157" s="936">
        <v>15</v>
      </c>
      <c r="G157" s="935"/>
    </row>
    <row r="158" spans="1:7">
      <c r="A158" s="927" t="s">
        <v>242</v>
      </c>
      <c r="B158" s="920"/>
      <c r="C158" s="936">
        <v>7.04</v>
      </c>
      <c r="D158" s="935"/>
      <c r="E158" s="922"/>
      <c r="F158" s="936">
        <v>7.47</v>
      </c>
      <c r="G158" s="935"/>
    </row>
    <row r="159" spans="1:7">
      <c r="A159" s="927" t="s">
        <v>254</v>
      </c>
      <c r="B159" s="920"/>
      <c r="C159" s="936">
        <v>-1.97</v>
      </c>
      <c r="D159" s="935"/>
      <c r="E159" s="922"/>
      <c r="F159" s="936">
        <v>-2.09</v>
      </c>
      <c r="G159" s="935"/>
    </row>
    <row r="160" spans="1:7">
      <c r="A160" s="927" t="s">
        <v>236</v>
      </c>
      <c r="B160" s="920"/>
      <c r="C160" s="938">
        <v>13.860300000000001</v>
      </c>
      <c r="D160" s="930" t="s">
        <v>108</v>
      </c>
      <c r="E160" s="922"/>
      <c r="F160" s="938">
        <v>14.702299999999999</v>
      </c>
      <c r="G160" s="930" t="s">
        <v>108</v>
      </c>
    </row>
    <row r="161" spans="1:7">
      <c r="A161" s="927" t="s">
        <v>223</v>
      </c>
      <c r="B161" s="920"/>
      <c r="C161" s="939">
        <v>4.0251999999999999</v>
      </c>
      <c r="D161" s="930" t="s">
        <v>108</v>
      </c>
      <c r="E161" s="922"/>
      <c r="F161" s="939">
        <v>4.2603999999999997</v>
      </c>
      <c r="G161" s="930" t="s">
        <v>108</v>
      </c>
    </row>
    <row r="162" spans="1:7">
      <c r="A162" s="927" t="s">
        <v>247</v>
      </c>
      <c r="B162" s="920"/>
      <c r="C162" s="920"/>
      <c r="D162" s="922"/>
      <c r="E162" s="922"/>
      <c r="F162" s="920"/>
      <c r="G162" s="922"/>
    </row>
    <row r="163" spans="1:7">
      <c r="A163" s="927" t="s">
        <v>632</v>
      </c>
      <c r="B163" s="920"/>
      <c r="C163" s="935">
        <v>14</v>
      </c>
      <c r="D163" s="935"/>
      <c r="E163" s="922"/>
      <c r="F163" s="935">
        <v>15</v>
      </c>
      <c r="G163" s="935"/>
    </row>
    <row r="164" spans="1:7">
      <c r="A164" s="927" t="s">
        <v>249</v>
      </c>
      <c r="B164" s="920"/>
      <c r="C164" s="939">
        <v>4.8055000000000003</v>
      </c>
      <c r="D164" s="930" t="s">
        <v>108</v>
      </c>
      <c r="E164" s="922"/>
      <c r="F164" s="939">
        <v>5.0974000000000004</v>
      </c>
      <c r="G164" s="930" t="s">
        <v>108</v>
      </c>
    </row>
    <row r="165" spans="1:7">
      <c r="A165" s="920"/>
      <c r="B165" s="920"/>
      <c r="C165" s="920"/>
      <c r="D165" s="922"/>
      <c r="E165" s="922"/>
      <c r="F165" s="920"/>
      <c r="G165" s="922"/>
    </row>
    <row r="166" spans="1:7">
      <c r="A166" s="926" t="s">
        <v>257</v>
      </c>
      <c r="B166" s="920"/>
      <c r="C166" s="920"/>
      <c r="D166" s="922"/>
      <c r="E166" s="922"/>
      <c r="F166" s="920"/>
      <c r="G166" s="922"/>
    </row>
    <row r="167" spans="1:7">
      <c r="A167" s="931" t="s">
        <v>633</v>
      </c>
      <c r="B167" s="920"/>
      <c r="C167" s="929"/>
      <c r="D167" s="929"/>
      <c r="E167" s="922"/>
      <c r="F167" s="929"/>
      <c r="G167" s="929"/>
    </row>
    <row r="168" spans="1:7">
      <c r="A168" s="927" t="s">
        <v>259</v>
      </c>
      <c r="B168" s="920"/>
      <c r="C168" s="928">
        <v>11.8</v>
      </c>
      <c r="D168" s="929"/>
      <c r="E168" s="922"/>
      <c r="F168" s="928">
        <v>11.8</v>
      </c>
      <c r="G168" s="929"/>
    </row>
    <row r="169" spans="1:7">
      <c r="A169" s="927" t="s">
        <v>260</v>
      </c>
      <c r="B169" s="920"/>
      <c r="C169" s="928">
        <v>12.78</v>
      </c>
      <c r="D169" s="929"/>
      <c r="E169" s="922"/>
      <c r="F169" s="928">
        <v>12.78</v>
      </c>
      <c r="G169" s="929"/>
    </row>
    <row r="170" spans="1:7">
      <c r="A170" s="927" t="s">
        <v>261</v>
      </c>
      <c r="B170" s="920"/>
      <c r="C170" s="928">
        <v>11.5</v>
      </c>
      <c r="D170" s="929"/>
      <c r="E170" s="922"/>
      <c r="F170" s="928">
        <v>11.5</v>
      </c>
      <c r="G170" s="929"/>
    </row>
    <row r="171" spans="1:7">
      <c r="A171" s="927" t="s">
        <v>262</v>
      </c>
      <c r="B171" s="920"/>
      <c r="C171" s="928">
        <v>46.54</v>
      </c>
      <c r="D171" s="929"/>
      <c r="E171" s="922"/>
      <c r="F171" s="928">
        <v>46.54</v>
      </c>
      <c r="G171" s="929"/>
    </row>
    <row r="172" spans="1:7">
      <c r="A172" s="927" t="s">
        <v>263</v>
      </c>
      <c r="B172" s="920"/>
      <c r="C172" s="928">
        <v>38.049999999999997</v>
      </c>
      <c r="D172" s="929"/>
      <c r="E172" s="922"/>
      <c r="F172" s="928">
        <v>38.049999999999997</v>
      </c>
      <c r="G172" s="929"/>
    </row>
    <row r="173" spans="1:7">
      <c r="A173" s="927" t="s">
        <v>264</v>
      </c>
      <c r="B173" s="920"/>
      <c r="C173" s="928">
        <v>16.940000000000001</v>
      </c>
      <c r="D173" s="929"/>
      <c r="E173" s="922"/>
      <c r="F173" s="928">
        <v>16.940000000000001</v>
      </c>
      <c r="G173" s="929"/>
    </row>
    <row r="174" spans="1:7">
      <c r="A174" s="927" t="s">
        <v>265</v>
      </c>
      <c r="B174" s="920"/>
      <c r="C174" s="928">
        <v>15.25</v>
      </c>
      <c r="D174" s="929"/>
      <c r="E174" s="922"/>
      <c r="F174" s="928">
        <v>15.25</v>
      </c>
      <c r="G174" s="929"/>
    </row>
    <row r="175" spans="1:7">
      <c r="A175" s="927" t="s">
        <v>266</v>
      </c>
      <c r="B175" s="920"/>
      <c r="C175" s="928">
        <v>47.83</v>
      </c>
      <c r="D175" s="929"/>
      <c r="E175" s="922"/>
      <c r="F175" s="928">
        <v>47.83</v>
      </c>
      <c r="G175" s="929"/>
    </row>
    <row r="176" spans="1:7">
      <c r="A176" s="927" t="s">
        <v>267</v>
      </c>
      <c r="B176" s="920"/>
      <c r="C176" s="928">
        <v>39.340000000000003</v>
      </c>
      <c r="D176" s="929"/>
      <c r="E176" s="922"/>
      <c r="F176" s="928">
        <v>39.340000000000003</v>
      </c>
      <c r="G176" s="929"/>
    </row>
    <row r="177" spans="1:7">
      <c r="A177" s="927" t="s">
        <v>268</v>
      </c>
      <c r="B177" s="920"/>
      <c r="C177" s="928">
        <v>21.14</v>
      </c>
      <c r="D177" s="929"/>
      <c r="E177" s="922"/>
      <c r="F177" s="928">
        <v>21.14</v>
      </c>
      <c r="G177" s="929"/>
    </row>
    <row r="178" spans="1:7">
      <c r="A178" s="927" t="s">
        <v>269</v>
      </c>
      <c r="B178" s="920"/>
      <c r="C178" s="928">
        <v>19.03</v>
      </c>
      <c r="D178" s="929"/>
      <c r="E178" s="922"/>
      <c r="F178" s="928">
        <v>19.03</v>
      </c>
      <c r="G178" s="929"/>
    </row>
    <row r="179" spans="1:7">
      <c r="A179" s="927" t="s">
        <v>270</v>
      </c>
      <c r="B179" s="920"/>
      <c r="C179" s="928">
        <v>51.48</v>
      </c>
      <c r="D179" s="929"/>
      <c r="E179" s="922"/>
      <c r="F179" s="928">
        <v>51.48</v>
      </c>
      <c r="G179" s="929"/>
    </row>
    <row r="180" spans="1:7">
      <c r="A180" s="927" t="s">
        <v>271</v>
      </c>
      <c r="B180" s="920"/>
      <c r="C180" s="928">
        <v>43.01</v>
      </c>
      <c r="D180" s="929"/>
      <c r="E180" s="922"/>
      <c r="F180" s="928">
        <v>43.01</v>
      </c>
      <c r="G180" s="929"/>
    </row>
    <row r="181" spans="1:7">
      <c r="A181" s="927" t="s">
        <v>272</v>
      </c>
      <c r="B181" s="920"/>
      <c r="C181" s="928">
        <v>26.02</v>
      </c>
      <c r="D181" s="929"/>
      <c r="E181" s="922"/>
      <c r="F181" s="928">
        <v>26.02</v>
      </c>
      <c r="G181" s="929"/>
    </row>
    <row r="182" spans="1:7">
      <c r="A182" s="927" t="s">
        <v>273</v>
      </c>
      <c r="B182" s="920"/>
      <c r="C182" s="928">
        <v>51.54</v>
      </c>
      <c r="D182" s="929"/>
      <c r="E182" s="922"/>
      <c r="F182" s="928">
        <v>51.54</v>
      </c>
      <c r="G182" s="929"/>
    </row>
    <row r="183" spans="1:7">
      <c r="A183" s="931" t="s">
        <v>634</v>
      </c>
      <c r="B183" s="920"/>
      <c r="C183" s="936"/>
      <c r="D183" s="935"/>
      <c r="E183" s="922"/>
      <c r="F183" s="936"/>
      <c r="G183" s="935"/>
    </row>
    <row r="184" spans="1:7">
      <c r="A184" s="927" t="s">
        <v>275</v>
      </c>
      <c r="B184" s="920"/>
      <c r="C184" s="928">
        <v>48.74</v>
      </c>
      <c r="D184" s="929"/>
      <c r="E184" s="922"/>
      <c r="F184" s="928">
        <v>48.74</v>
      </c>
      <c r="G184" s="929"/>
    </row>
    <row r="185" spans="1:7">
      <c r="A185" s="927" t="s">
        <v>276</v>
      </c>
      <c r="B185" s="920"/>
      <c r="C185" s="928">
        <v>40.270000000000003</v>
      </c>
      <c r="D185" s="929"/>
      <c r="E185" s="922"/>
      <c r="F185" s="928">
        <v>40.270000000000003</v>
      </c>
      <c r="G185" s="929"/>
    </row>
    <row r="186" spans="1:7">
      <c r="A186" s="927" t="s">
        <v>277</v>
      </c>
      <c r="B186" s="920"/>
      <c r="C186" s="928">
        <v>20.13</v>
      </c>
      <c r="D186" s="929"/>
      <c r="E186" s="922"/>
      <c r="F186" s="928">
        <v>20.13</v>
      </c>
      <c r="G186" s="929"/>
    </row>
    <row r="187" spans="1:7">
      <c r="A187" s="927" t="s">
        <v>278</v>
      </c>
      <c r="B187" s="920"/>
      <c r="C187" s="928">
        <v>50.65</v>
      </c>
      <c r="D187" s="929"/>
      <c r="E187" s="922"/>
      <c r="F187" s="928">
        <v>50.65</v>
      </c>
      <c r="G187" s="929"/>
    </row>
    <row r="188" spans="1:7">
      <c r="A188" s="927" t="s">
        <v>279</v>
      </c>
      <c r="B188" s="920"/>
      <c r="C188" s="928">
        <v>42.17</v>
      </c>
      <c r="D188" s="929"/>
      <c r="E188" s="922"/>
      <c r="F188" s="928">
        <v>42.17</v>
      </c>
      <c r="G188" s="929"/>
    </row>
    <row r="189" spans="1:7">
      <c r="A189" s="927" t="s">
        <v>280</v>
      </c>
      <c r="B189" s="920"/>
      <c r="C189" s="928">
        <v>22.13</v>
      </c>
      <c r="D189" s="929"/>
      <c r="E189" s="922"/>
      <c r="F189" s="928">
        <v>22.13</v>
      </c>
      <c r="G189" s="929"/>
    </row>
    <row r="190" spans="1:7">
      <c r="A190" s="927" t="s">
        <v>281</v>
      </c>
      <c r="B190" s="920"/>
      <c r="C190" s="928">
        <v>53.69</v>
      </c>
      <c r="D190" s="929"/>
      <c r="E190" s="922"/>
      <c r="F190" s="928">
        <v>53.69</v>
      </c>
      <c r="G190" s="929"/>
    </row>
    <row r="191" spans="1:7">
      <c r="A191" s="927" t="s">
        <v>282</v>
      </c>
      <c r="B191" s="920"/>
      <c r="C191" s="928">
        <v>45.2</v>
      </c>
      <c r="D191" s="929"/>
      <c r="E191" s="922"/>
      <c r="F191" s="928">
        <v>45.2</v>
      </c>
      <c r="G191" s="929"/>
    </row>
    <row r="192" spans="1:7">
      <c r="A192" s="927" t="s">
        <v>283</v>
      </c>
      <c r="B192" s="920"/>
      <c r="C192" s="929">
        <v>25.78</v>
      </c>
      <c r="D192" s="929"/>
      <c r="E192" s="922"/>
      <c r="F192" s="928">
        <v>25.78</v>
      </c>
      <c r="G192" s="929"/>
    </row>
    <row r="193" spans="1:7">
      <c r="A193" s="927" t="s">
        <v>284</v>
      </c>
      <c r="B193" s="920"/>
      <c r="C193" s="929">
        <v>55.33</v>
      </c>
      <c r="D193" s="929"/>
      <c r="E193" s="922"/>
      <c r="F193" s="928">
        <v>55.33</v>
      </c>
      <c r="G193" s="929"/>
    </row>
    <row r="194" spans="1:7">
      <c r="A194" s="927" t="s">
        <v>285</v>
      </c>
      <c r="B194" s="920"/>
      <c r="C194" s="929">
        <v>46.86</v>
      </c>
      <c r="D194" s="929"/>
      <c r="E194" s="922"/>
      <c r="F194" s="928">
        <v>46.86</v>
      </c>
      <c r="G194" s="929"/>
    </row>
    <row r="195" spans="1:7">
      <c r="A195" s="931" t="s">
        <v>635</v>
      </c>
      <c r="B195" s="920"/>
      <c r="C195" s="929"/>
      <c r="D195" s="929"/>
      <c r="E195" s="922"/>
      <c r="F195" s="929"/>
      <c r="G195" s="929"/>
    </row>
    <row r="196" spans="1:7">
      <c r="A196" s="927" t="s">
        <v>287</v>
      </c>
      <c r="B196" s="920"/>
      <c r="C196" s="928">
        <v>11.09</v>
      </c>
      <c r="D196" s="929"/>
      <c r="E196" s="922"/>
      <c r="F196" s="928">
        <v>11.09</v>
      </c>
      <c r="G196" s="929"/>
    </row>
    <row r="197" spans="1:7">
      <c r="A197" s="927" t="s">
        <v>189</v>
      </c>
      <c r="B197" s="920"/>
      <c r="C197" s="928">
        <v>13.83</v>
      </c>
      <c r="D197" s="929"/>
      <c r="E197" s="922"/>
      <c r="F197" s="928">
        <v>13.83</v>
      </c>
      <c r="G197" s="929"/>
    </row>
    <row r="198" spans="1:7">
      <c r="A198" s="927" t="s">
        <v>288</v>
      </c>
      <c r="B198" s="920"/>
      <c r="C198" s="928">
        <v>19.399999999999999</v>
      </c>
      <c r="D198" s="929"/>
      <c r="E198" s="922"/>
      <c r="F198" s="928">
        <v>19.399999999999999</v>
      </c>
      <c r="G198" s="929"/>
    </row>
    <row r="199" spans="1:7">
      <c r="A199" s="927" t="s">
        <v>289</v>
      </c>
      <c r="B199" s="920"/>
      <c r="C199" s="928">
        <v>17.46</v>
      </c>
      <c r="D199" s="929"/>
      <c r="E199" s="922"/>
      <c r="F199" s="928">
        <v>17.46</v>
      </c>
      <c r="G199" s="929"/>
    </row>
    <row r="200" spans="1:7">
      <c r="A200" s="927" t="s">
        <v>191</v>
      </c>
      <c r="B200" s="920"/>
      <c r="C200" s="928">
        <v>24.43</v>
      </c>
      <c r="D200" s="929"/>
      <c r="E200" s="922"/>
      <c r="F200" s="928">
        <v>24.43</v>
      </c>
      <c r="G200" s="929"/>
    </row>
    <row r="201" spans="1:7">
      <c r="A201" s="931" t="s">
        <v>636</v>
      </c>
      <c r="B201" s="920"/>
      <c r="C201" s="920"/>
      <c r="D201" s="922"/>
      <c r="E201" s="922"/>
      <c r="F201" s="920"/>
      <c r="G201" s="922"/>
    </row>
    <row r="202" spans="1:7">
      <c r="A202" s="927" t="s">
        <v>291</v>
      </c>
      <c r="B202" s="920"/>
      <c r="C202" s="928">
        <v>11.99</v>
      </c>
      <c r="D202" s="929"/>
      <c r="E202" s="922"/>
      <c r="F202" s="928">
        <v>11.99</v>
      </c>
      <c r="G202" s="929"/>
    </row>
    <row r="203" spans="1:7">
      <c r="A203" s="927" t="s">
        <v>292</v>
      </c>
      <c r="B203" s="920"/>
      <c r="C203" s="928">
        <v>4.24</v>
      </c>
      <c r="D203" s="929"/>
      <c r="E203" s="922"/>
      <c r="F203" s="928">
        <v>4.24</v>
      </c>
      <c r="G203" s="929"/>
    </row>
    <row r="204" spans="1:7">
      <c r="A204" s="927" t="s">
        <v>293</v>
      </c>
      <c r="B204" s="920"/>
      <c r="C204" s="928">
        <v>17.11</v>
      </c>
      <c r="D204" s="929"/>
      <c r="E204" s="922"/>
      <c r="F204" s="928">
        <v>17.11</v>
      </c>
      <c r="G204" s="929"/>
    </row>
    <row r="205" spans="1:7">
      <c r="A205" s="927" t="s">
        <v>287</v>
      </c>
      <c r="B205" s="920"/>
      <c r="C205" s="928">
        <v>20.43</v>
      </c>
      <c r="D205" s="929"/>
      <c r="E205" s="922"/>
      <c r="F205" s="928">
        <v>20.43</v>
      </c>
      <c r="G205" s="929"/>
    </row>
    <row r="206" spans="1:7">
      <c r="A206" s="927" t="s">
        <v>294</v>
      </c>
      <c r="B206" s="920"/>
      <c r="C206" s="928">
        <v>23.82</v>
      </c>
      <c r="D206" s="929"/>
      <c r="E206" s="922"/>
      <c r="F206" s="928">
        <v>23.82</v>
      </c>
      <c r="G206" s="929"/>
    </row>
    <row r="207" spans="1:7">
      <c r="A207" s="927" t="s">
        <v>288</v>
      </c>
      <c r="B207" s="920"/>
      <c r="C207" s="928">
        <v>31.47</v>
      </c>
      <c r="D207" s="929"/>
      <c r="E207" s="922"/>
      <c r="F207" s="928">
        <v>31.47</v>
      </c>
      <c r="G207" s="929"/>
    </row>
    <row r="208" spans="1:7">
      <c r="A208" s="931" t="s">
        <v>637</v>
      </c>
      <c r="B208" s="920"/>
      <c r="C208" s="929"/>
      <c r="D208" s="929"/>
      <c r="E208" s="922"/>
      <c r="F208" s="929"/>
      <c r="G208" s="929"/>
    </row>
    <row r="209" spans="1:7">
      <c r="A209" s="927" t="s">
        <v>296</v>
      </c>
      <c r="B209" s="920"/>
      <c r="C209" s="928">
        <v>27.85</v>
      </c>
      <c r="D209" s="929"/>
      <c r="E209" s="922"/>
      <c r="F209" s="928">
        <v>27.85</v>
      </c>
      <c r="G209" s="929"/>
    </row>
    <row r="210" spans="1:7">
      <c r="A210" s="931" t="s">
        <v>297</v>
      </c>
      <c r="B210" s="920"/>
      <c r="C210" s="928"/>
      <c r="D210" s="929"/>
      <c r="E210" s="922"/>
      <c r="F210" s="928"/>
      <c r="G210" s="929"/>
    </row>
    <row r="211" spans="1:7">
      <c r="A211" s="927" t="s">
        <v>298</v>
      </c>
      <c r="B211" s="920"/>
      <c r="C211" s="928">
        <v>39.04</v>
      </c>
      <c r="D211" s="929"/>
      <c r="E211" s="922"/>
      <c r="F211" s="928">
        <v>39.04</v>
      </c>
      <c r="G211" s="929"/>
    </row>
    <row r="212" spans="1:7">
      <c r="A212" s="920"/>
      <c r="B212" s="920"/>
      <c r="C212" s="920"/>
      <c r="D212" s="922"/>
      <c r="E212" s="922"/>
      <c r="F212" s="920"/>
      <c r="G212" s="922"/>
    </row>
    <row r="213" spans="1:7">
      <c r="A213" s="926" t="s">
        <v>301</v>
      </c>
      <c r="B213" s="920"/>
      <c r="C213" s="920"/>
      <c r="D213" s="922"/>
      <c r="E213" s="922"/>
      <c r="F213" s="920"/>
      <c r="G213" s="922"/>
    </row>
    <row r="214" spans="1:7">
      <c r="A214" s="944" t="s">
        <v>302</v>
      </c>
      <c r="B214" s="920"/>
      <c r="C214" s="920"/>
      <c r="D214" s="922"/>
      <c r="E214" s="922"/>
      <c r="F214" s="920"/>
      <c r="G214" s="922"/>
    </row>
    <row r="215" spans="1:7">
      <c r="A215" s="931" t="s">
        <v>303</v>
      </c>
      <c r="B215" s="920"/>
      <c r="C215" s="920"/>
      <c r="D215" s="922"/>
      <c r="E215" s="922"/>
      <c r="F215" s="920"/>
      <c r="G215" s="922"/>
    </row>
    <row r="216" spans="1:7">
      <c r="A216" s="927" t="s">
        <v>304</v>
      </c>
      <c r="B216" s="920"/>
      <c r="C216" s="928">
        <v>1.83</v>
      </c>
      <c r="D216" s="929"/>
      <c r="E216" s="922"/>
      <c r="F216" s="928">
        <v>1.83</v>
      </c>
      <c r="G216" s="929"/>
    </row>
    <row r="217" spans="1:7">
      <c r="A217" s="927" t="s">
        <v>305</v>
      </c>
      <c r="B217" s="920"/>
      <c r="C217" s="928">
        <v>2.5</v>
      </c>
      <c r="D217" s="929"/>
      <c r="E217" s="922"/>
      <c r="F217" s="928">
        <v>2.5</v>
      </c>
      <c r="G217" s="929"/>
    </row>
    <row r="218" spans="1:7">
      <c r="A218" s="927" t="s">
        <v>306</v>
      </c>
      <c r="B218" s="920"/>
      <c r="C218" s="928">
        <v>3.66</v>
      </c>
      <c r="D218" s="929"/>
      <c r="E218" s="922"/>
      <c r="F218" s="928">
        <v>3.66</v>
      </c>
      <c r="G218" s="929"/>
    </row>
    <row r="219" spans="1:7">
      <c r="A219" s="927" t="s">
        <v>307</v>
      </c>
      <c r="B219" s="920"/>
      <c r="C219" s="928">
        <v>6.52</v>
      </c>
      <c r="D219" s="929"/>
      <c r="E219" s="922"/>
      <c r="F219" s="928">
        <v>6.52</v>
      </c>
      <c r="G219" s="929"/>
    </row>
    <row r="220" spans="1:7">
      <c r="A220" s="927" t="s">
        <v>308</v>
      </c>
      <c r="B220" s="920"/>
      <c r="C220" s="928">
        <v>10.02</v>
      </c>
      <c r="D220" s="929"/>
      <c r="E220" s="922"/>
      <c r="F220" s="928">
        <v>10.02</v>
      </c>
      <c r="G220" s="929"/>
    </row>
    <row r="221" spans="1:7">
      <c r="A221" s="931" t="s">
        <v>274</v>
      </c>
      <c r="B221" s="920"/>
      <c r="C221" s="936"/>
      <c r="D221" s="935"/>
      <c r="E221" s="922"/>
      <c r="F221" s="936"/>
      <c r="G221" s="935"/>
    </row>
    <row r="222" spans="1:7">
      <c r="A222" s="927" t="s">
        <v>309</v>
      </c>
      <c r="B222" s="920"/>
      <c r="C222" s="928">
        <v>2.5499999999999998</v>
      </c>
      <c r="D222" s="929"/>
      <c r="E222" s="922"/>
      <c r="F222" s="928">
        <v>2.5499999999999998</v>
      </c>
      <c r="G222" s="929"/>
    </row>
    <row r="223" spans="1:7">
      <c r="A223" s="927" t="s">
        <v>310</v>
      </c>
      <c r="B223" s="920"/>
      <c r="C223" s="928">
        <v>4.46</v>
      </c>
      <c r="D223" s="929"/>
      <c r="E223" s="922"/>
      <c r="F223" s="928">
        <v>4.46</v>
      </c>
      <c r="G223" s="929"/>
    </row>
    <row r="224" spans="1:7">
      <c r="A224" s="927" t="s">
        <v>311</v>
      </c>
      <c r="B224" s="920"/>
      <c r="C224" s="928">
        <v>6.17</v>
      </c>
      <c r="D224" s="929"/>
      <c r="E224" s="922"/>
      <c r="F224" s="928">
        <v>6.17</v>
      </c>
      <c r="G224" s="929"/>
    </row>
    <row r="225" spans="1:7">
      <c r="A225" s="927" t="s">
        <v>312</v>
      </c>
      <c r="B225" s="920"/>
      <c r="C225" s="929">
        <v>9.77</v>
      </c>
      <c r="D225" s="929"/>
      <c r="E225" s="922"/>
      <c r="F225" s="929">
        <v>9.77</v>
      </c>
      <c r="G225" s="929"/>
    </row>
    <row r="226" spans="1:7">
      <c r="A226" s="931" t="s">
        <v>313</v>
      </c>
      <c r="B226" s="920"/>
      <c r="C226" s="945">
        <v>6.5278999999999998</v>
      </c>
      <c r="D226" s="930" t="s">
        <v>108</v>
      </c>
      <c r="E226" s="922"/>
      <c r="F226" s="945">
        <v>6.5278999999999998</v>
      </c>
      <c r="G226" s="930" t="s">
        <v>108</v>
      </c>
    </row>
    <row r="227" spans="1:7">
      <c r="A227" s="946" t="s">
        <v>315</v>
      </c>
      <c r="B227" s="920"/>
      <c r="C227" s="920"/>
      <c r="D227" s="922"/>
      <c r="E227" s="922"/>
      <c r="F227" s="920"/>
      <c r="G227" s="922"/>
    </row>
    <row r="228" spans="1:7">
      <c r="A228" s="931" t="s">
        <v>316</v>
      </c>
      <c r="B228" s="920"/>
      <c r="C228" s="920"/>
      <c r="D228" s="922"/>
      <c r="E228" s="922"/>
      <c r="F228" s="920"/>
      <c r="G228" s="922"/>
    </row>
    <row r="229" spans="1:7">
      <c r="A229" s="927" t="s">
        <v>317</v>
      </c>
      <c r="B229" s="920"/>
      <c r="C229" s="928">
        <v>8.9600000000000009</v>
      </c>
      <c r="D229" s="929"/>
      <c r="E229" s="922"/>
      <c r="F229" s="928">
        <v>8.9600000000000009</v>
      </c>
      <c r="G229" s="929"/>
    </row>
    <row r="230" spans="1:7">
      <c r="A230" s="927" t="s">
        <v>287</v>
      </c>
      <c r="B230" s="920"/>
      <c r="C230" s="928">
        <v>12.19</v>
      </c>
      <c r="D230" s="929"/>
      <c r="E230" s="922"/>
      <c r="F230" s="928">
        <v>12.19</v>
      </c>
      <c r="G230" s="929"/>
    </row>
    <row r="231" spans="1:7">
      <c r="A231" s="931" t="s">
        <v>319</v>
      </c>
      <c r="B231" s="920"/>
      <c r="C231" s="928"/>
      <c r="D231" s="929"/>
      <c r="E231" s="922"/>
      <c r="F231" s="928"/>
      <c r="G231" s="929"/>
    </row>
    <row r="232" spans="1:7">
      <c r="A232" s="927" t="s">
        <v>287</v>
      </c>
      <c r="B232" s="920"/>
      <c r="C232" s="928">
        <v>4.6399999999999997</v>
      </c>
      <c r="D232" s="929"/>
      <c r="E232" s="922"/>
      <c r="F232" s="928">
        <v>4.6399999999999997</v>
      </c>
      <c r="G232" s="929"/>
    </row>
    <row r="233" spans="1:7">
      <c r="A233" s="927" t="s">
        <v>189</v>
      </c>
      <c r="B233" s="920"/>
      <c r="C233" s="928">
        <v>7</v>
      </c>
      <c r="D233" s="922"/>
      <c r="E233" s="922"/>
      <c r="F233" s="935">
        <v>7</v>
      </c>
      <c r="G233" s="922"/>
    </row>
    <row r="234" spans="1:7">
      <c r="A234" s="927" t="s">
        <v>191</v>
      </c>
      <c r="B234" s="920"/>
      <c r="C234" s="928">
        <v>13.33</v>
      </c>
      <c r="D234" s="929"/>
      <c r="E234" s="922"/>
      <c r="F234" s="928">
        <v>13.33</v>
      </c>
      <c r="G234" s="929"/>
    </row>
    <row r="235" spans="1:7">
      <c r="A235" s="927" t="s">
        <v>320</v>
      </c>
      <c r="B235" s="920"/>
      <c r="C235" s="928">
        <v>28.38</v>
      </c>
      <c r="D235" s="929"/>
      <c r="E235" s="922"/>
      <c r="F235" s="928">
        <v>28.38</v>
      </c>
      <c r="G235" s="929"/>
    </row>
    <row r="236" spans="1:7">
      <c r="A236" s="931" t="s">
        <v>321</v>
      </c>
      <c r="B236" s="920"/>
      <c r="C236" s="928"/>
      <c r="D236" s="929"/>
      <c r="E236" s="922"/>
      <c r="F236" s="928"/>
      <c r="G236" s="929"/>
    </row>
    <row r="237" spans="1:7">
      <c r="A237" s="927" t="s">
        <v>304</v>
      </c>
      <c r="B237" s="920"/>
      <c r="C237" s="928">
        <v>4.08</v>
      </c>
      <c r="D237" s="929"/>
      <c r="E237" s="922"/>
      <c r="F237" s="928">
        <v>4.08</v>
      </c>
      <c r="G237" s="929"/>
    </row>
    <row r="238" spans="1:7">
      <c r="A238" s="927" t="s">
        <v>305</v>
      </c>
      <c r="B238" s="920"/>
      <c r="C238" s="928">
        <v>5.37</v>
      </c>
      <c r="D238" s="929"/>
      <c r="E238" s="922"/>
      <c r="F238" s="928">
        <v>5.37</v>
      </c>
      <c r="G238" s="929"/>
    </row>
    <row r="239" spans="1:7">
      <c r="A239" s="927" t="s">
        <v>323</v>
      </c>
      <c r="B239" s="920"/>
      <c r="C239" s="928">
        <v>6.96</v>
      </c>
      <c r="D239" s="929"/>
      <c r="E239" s="922"/>
      <c r="F239" s="928">
        <v>6.96</v>
      </c>
      <c r="G239" s="929"/>
    </row>
    <row r="240" spans="1:7">
      <c r="A240" s="927" t="s">
        <v>306</v>
      </c>
      <c r="B240" s="920"/>
      <c r="C240" s="928">
        <v>6.52</v>
      </c>
      <c r="D240" s="929"/>
      <c r="E240" s="922"/>
      <c r="F240" s="928">
        <v>6.52</v>
      </c>
      <c r="G240" s="929"/>
    </row>
    <row r="241" spans="1:7">
      <c r="A241" s="927" t="s">
        <v>325</v>
      </c>
      <c r="B241" s="920"/>
      <c r="C241" s="928">
        <v>8.27</v>
      </c>
      <c r="D241" s="929"/>
      <c r="E241" s="922"/>
      <c r="F241" s="928">
        <v>8.27</v>
      </c>
      <c r="G241" s="929"/>
    </row>
    <row r="242" spans="1:7">
      <c r="A242" s="927" t="s">
        <v>326</v>
      </c>
      <c r="B242" s="920"/>
      <c r="C242" s="928">
        <v>8.26</v>
      </c>
      <c r="D242" s="929"/>
      <c r="E242" s="922"/>
      <c r="F242" s="928">
        <v>8.26</v>
      </c>
      <c r="G242" s="929"/>
    </row>
    <row r="243" spans="1:7">
      <c r="A243" s="927" t="s">
        <v>307</v>
      </c>
      <c r="B243" s="920"/>
      <c r="C243" s="928">
        <v>9.59</v>
      </c>
      <c r="D243" s="929"/>
      <c r="E243" s="922"/>
      <c r="F243" s="928">
        <v>9.59</v>
      </c>
      <c r="G243" s="929"/>
    </row>
    <row r="244" spans="1:7">
      <c r="A244" s="927" t="s">
        <v>328</v>
      </c>
      <c r="B244" s="920"/>
      <c r="C244" s="928">
        <v>11.93</v>
      </c>
      <c r="D244" s="929"/>
      <c r="E244" s="922"/>
      <c r="F244" s="928">
        <v>11.93</v>
      </c>
      <c r="G244" s="929"/>
    </row>
    <row r="245" spans="1:7">
      <c r="A245" s="927" t="s">
        <v>308</v>
      </c>
      <c r="B245" s="920"/>
      <c r="C245" s="928">
        <v>14</v>
      </c>
      <c r="D245" s="929"/>
      <c r="E245" s="922"/>
      <c r="F245" s="928">
        <v>14</v>
      </c>
      <c r="G245" s="929"/>
    </row>
    <row r="246" spans="1:7">
      <c r="A246" s="927" t="s">
        <v>330</v>
      </c>
      <c r="B246" s="920"/>
      <c r="C246" s="928">
        <v>15.56</v>
      </c>
      <c r="D246" s="929"/>
      <c r="E246" s="922"/>
      <c r="F246" s="928">
        <v>15.56</v>
      </c>
      <c r="G246" s="929"/>
    </row>
    <row r="247" spans="1:7">
      <c r="A247" s="931" t="s">
        <v>274</v>
      </c>
      <c r="B247" s="920"/>
      <c r="C247" s="928"/>
      <c r="D247" s="929"/>
      <c r="E247" s="922"/>
      <c r="F247" s="928"/>
      <c r="G247" s="929"/>
    </row>
    <row r="248" spans="1:7">
      <c r="A248" s="927" t="s">
        <v>331</v>
      </c>
      <c r="B248" s="920"/>
      <c r="C248" s="928">
        <v>9.19</v>
      </c>
      <c r="D248" s="929"/>
      <c r="E248" s="922"/>
      <c r="F248" s="928">
        <v>9.19</v>
      </c>
      <c r="G248" s="929"/>
    </row>
    <row r="249" spans="1:7">
      <c r="A249" s="927" t="s">
        <v>310</v>
      </c>
      <c r="B249" s="920"/>
      <c r="C249" s="928">
        <v>13.57</v>
      </c>
      <c r="D249" s="929"/>
      <c r="E249" s="922"/>
      <c r="F249" s="928">
        <v>13.57</v>
      </c>
      <c r="G249" s="929"/>
    </row>
    <row r="250" spans="1:7">
      <c r="A250" s="927" t="s">
        <v>333</v>
      </c>
      <c r="B250" s="920"/>
      <c r="C250" s="928">
        <v>11.09</v>
      </c>
      <c r="D250" s="929"/>
      <c r="E250" s="922"/>
      <c r="F250" s="928">
        <v>11.09</v>
      </c>
      <c r="G250" s="929"/>
    </row>
    <row r="251" spans="1:7">
      <c r="A251" s="927" t="s">
        <v>311</v>
      </c>
      <c r="B251" s="920"/>
      <c r="C251" s="928">
        <v>13.71</v>
      </c>
      <c r="D251" s="929"/>
      <c r="E251" s="922"/>
      <c r="F251" s="928">
        <v>13.71</v>
      </c>
      <c r="G251" s="929"/>
    </row>
    <row r="252" spans="1:7">
      <c r="A252" s="927" t="s">
        <v>334</v>
      </c>
      <c r="B252" s="920"/>
      <c r="C252" s="928">
        <v>14.13</v>
      </c>
      <c r="D252" s="929"/>
      <c r="E252" s="922"/>
      <c r="F252" s="928">
        <v>14.13</v>
      </c>
      <c r="G252" s="929"/>
    </row>
    <row r="253" spans="1:7">
      <c r="A253" s="927" t="s">
        <v>312</v>
      </c>
      <c r="B253" s="920"/>
      <c r="C253" s="928">
        <v>14.58</v>
      </c>
      <c r="D253" s="929"/>
      <c r="E253" s="922"/>
      <c r="F253" s="928">
        <v>14.58</v>
      </c>
      <c r="G253" s="929"/>
    </row>
    <row r="254" spans="1:7">
      <c r="A254" s="927" t="s">
        <v>335</v>
      </c>
      <c r="B254" s="920"/>
      <c r="C254" s="929">
        <v>15.79</v>
      </c>
      <c r="D254" s="929"/>
      <c r="E254" s="922"/>
      <c r="F254" s="929">
        <v>15.79</v>
      </c>
      <c r="G254" s="929"/>
    </row>
    <row r="255" spans="1:7">
      <c r="A255" s="931" t="s">
        <v>336</v>
      </c>
      <c r="B255" s="920"/>
      <c r="C255" s="928"/>
      <c r="D255" s="929"/>
      <c r="E255" s="922"/>
      <c r="F255" s="928"/>
      <c r="G255" s="929"/>
    </row>
    <row r="256" spans="1:7">
      <c r="A256" s="927" t="s">
        <v>337</v>
      </c>
      <c r="B256" s="920"/>
      <c r="C256" s="928">
        <v>3.75</v>
      </c>
      <c r="D256" s="929"/>
      <c r="E256" s="922"/>
      <c r="F256" s="928">
        <v>3.75</v>
      </c>
      <c r="G256" s="929"/>
    </row>
    <row r="257" spans="1:7">
      <c r="A257" s="927" t="s">
        <v>338</v>
      </c>
      <c r="B257" s="920"/>
      <c r="C257" s="928">
        <v>13.92</v>
      </c>
      <c r="D257" s="929"/>
      <c r="E257" s="922"/>
      <c r="F257" s="928">
        <v>13.92</v>
      </c>
      <c r="G257" s="929"/>
    </row>
    <row r="258" spans="1:7">
      <c r="A258" s="946" t="s">
        <v>339</v>
      </c>
      <c r="B258" s="920"/>
      <c r="C258" s="928"/>
      <c r="D258" s="929"/>
      <c r="E258" s="922"/>
      <c r="F258" s="928"/>
      <c r="G258" s="929"/>
    </row>
    <row r="259" spans="1:7">
      <c r="A259" s="931" t="s">
        <v>316</v>
      </c>
      <c r="B259" s="920"/>
      <c r="C259" s="928"/>
      <c r="D259" s="929"/>
      <c r="E259" s="922"/>
      <c r="F259" s="928"/>
      <c r="G259" s="929"/>
    </row>
    <row r="260" spans="1:7">
      <c r="A260" s="927" t="s">
        <v>294</v>
      </c>
      <c r="B260" s="920"/>
      <c r="C260" s="928">
        <v>17.73</v>
      </c>
      <c r="D260" s="929"/>
      <c r="E260" s="922"/>
      <c r="F260" s="928">
        <v>17.73</v>
      </c>
      <c r="G260" s="929"/>
    </row>
    <row r="261" spans="1:7">
      <c r="A261" s="927" t="s">
        <v>288</v>
      </c>
      <c r="B261" s="920"/>
      <c r="C261" s="928">
        <v>23.4</v>
      </c>
      <c r="D261" s="929"/>
      <c r="E261" s="922"/>
      <c r="F261" s="928">
        <v>23.4</v>
      </c>
      <c r="G261" s="929"/>
    </row>
    <row r="262" spans="1:7">
      <c r="A262" s="931" t="s">
        <v>319</v>
      </c>
      <c r="B262" s="920"/>
      <c r="C262" s="920"/>
      <c r="D262" s="922"/>
      <c r="E262" s="922"/>
      <c r="F262" s="920"/>
      <c r="G262" s="922"/>
    </row>
    <row r="263" spans="1:7">
      <c r="A263" s="927" t="s">
        <v>189</v>
      </c>
      <c r="B263" s="920"/>
      <c r="C263" s="928">
        <v>8.0299999999999994</v>
      </c>
      <c r="D263" s="929"/>
      <c r="E263" s="922"/>
      <c r="F263" s="928">
        <v>8.0299999999999994</v>
      </c>
      <c r="G263" s="929"/>
    </row>
    <row r="264" spans="1:7">
      <c r="A264" s="927" t="s">
        <v>191</v>
      </c>
      <c r="B264" s="920"/>
      <c r="C264" s="928">
        <v>15.3</v>
      </c>
      <c r="D264" s="929"/>
      <c r="E264" s="922"/>
      <c r="F264" s="928">
        <v>15.3</v>
      </c>
      <c r="G264" s="929"/>
    </row>
    <row r="265" spans="1:7">
      <c r="A265" s="927" t="s">
        <v>320</v>
      </c>
      <c r="B265" s="920"/>
      <c r="C265" s="929">
        <v>32.479999999999997</v>
      </c>
      <c r="D265" s="929"/>
      <c r="E265" s="922"/>
      <c r="F265" s="929">
        <v>32.479999999999997</v>
      </c>
      <c r="G265" s="929"/>
    </row>
    <row r="266" spans="1:7">
      <c r="A266" s="931" t="s">
        <v>258</v>
      </c>
      <c r="B266" s="920"/>
      <c r="C266" s="936"/>
      <c r="D266" s="935"/>
      <c r="E266" s="922"/>
      <c r="F266" s="936"/>
      <c r="G266" s="935"/>
    </row>
    <row r="267" spans="1:7">
      <c r="A267" s="927" t="s">
        <v>304</v>
      </c>
      <c r="B267" s="920"/>
      <c r="C267" s="928">
        <v>4.68</v>
      </c>
      <c r="D267" s="929"/>
      <c r="E267" s="922"/>
      <c r="F267" s="928">
        <v>4.68</v>
      </c>
      <c r="G267" s="929"/>
    </row>
    <row r="268" spans="1:7">
      <c r="A268" s="927" t="s">
        <v>305</v>
      </c>
      <c r="B268" s="920"/>
      <c r="C268" s="928">
        <v>6.16</v>
      </c>
      <c r="D268" s="929"/>
      <c r="E268" s="922"/>
      <c r="F268" s="928">
        <v>6.16</v>
      </c>
      <c r="G268" s="929"/>
    </row>
    <row r="269" spans="1:7">
      <c r="A269" s="927" t="s">
        <v>306</v>
      </c>
      <c r="B269" s="920"/>
      <c r="C269" s="928">
        <v>7.47</v>
      </c>
      <c r="D269" s="929"/>
      <c r="E269" s="922"/>
      <c r="F269" s="928">
        <v>7.47</v>
      </c>
      <c r="G269" s="929"/>
    </row>
    <row r="270" spans="1:7">
      <c r="A270" s="927" t="s">
        <v>199</v>
      </c>
      <c r="B270" s="920"/>
      <c r="C270" s="928">
        <v>9.44</v>
      </c>
      <c r="D270" s="929"/>
      <c r="E270" s="922"/>
      <c r="F270" s="928">
        <v>9.44</v>
      </c>
      <c r="G270" s="929"/>
    </row>
    <row r="271" spans="1:7">
      <c r="A271" s="927" t="s">
        <v>307</v>
      </c>
      <c r="B271" s="920"/>
      <c r="C271" s="928">
        <v>10.99</v>
      </c>
      <c r="D271" s="929"/>
      <c r="E271" s="922"/>
      <c r="F271" s="928">
        <v>10.99</v>
      </c>
      <c r="G271" s="929"/>
    </row>
    <row r="272" spans="1:7">
      <c r="A272" s="927" t="s">
        <v>308</v>
      </c>
      <c r="B272" s="920"/>
      <c r="C272" s="928">
        <v>16.02</v>
      </c>
      <c r="D272" s="929"/>
      <c r="E272" s="922"/>
      <c r="F272" s="928">
        <v>16.02</v>
      </c>
      <c r="G272" s="929"/>
    </row>
    <row r="273" spans="1:7">
      <c r="A273" s="931" t="s">
        <v>274</v>
      </c>
      <c r="B273" s="920"/>
      <c r="C273" s="920"/>
      <c r="D273" s="922"/>
      <c r="E273" s="922"/>
      <c r="F273" s="920"/>
      <c r="G273" s="922"/>
    </row>
    <row r="274" spans="1:7">
      <c r="A274" s="927" t="s">
        <v>310</v>
      </c>
      <c r="B274" s="920"/>
      <c r="C274" s="928">
        <v>15.58</v>
      </c>
      <c r="D274" s="929"/>
      <c r="E274" s="922"/>
      <c r="F274" s="928">
        <v>15.58</v>
      </c>
      <c r="G274" s="929"/>
    </row>
    <row r="275" spans="1:7">
      <c r="A275" s="927" t="s">
        <v>311</v>
      </c>
      <c r="B275" s="920"/>
      <c r="C275" s="928">
        <v>15.73</v>
      </c>
      <c r="D275" s="929"/>
      <c r="E275" s="922"/>
      <c r="F275" s="928">
        <v>15.73</v>
      </c>
      <c r="G275" s="929"/>
    </row>
    <row r="276" spans="1:7">
      <c r="A276" s="927" t="s">
        <v>312</v>
      </c>
      <c r="B276" s="920"/>
      <c r="C276" s="928">
        <v>16.72</v>
      </c>
      <c r="D276" s="929"/>
      <c r="E276" s="922"/>
      <c r="F276" s="928">
        <v>16.72</v>
      </c>
      <c r="G276" s="929"/>
    </row>
    <row r="277" spans="1:7">
      <c r="A277" s="927" t="s">
        <v>343</v>
      </c>
      <c r="B277" s="920"/>
      <c r="C277" s="928">
        <v>33.049999999999997</v>
      </c>
      <c r="D277" s="929"/>
      <c r="E277" s="922"/>
      <c r="F277" s="928">
        <v>33.049999999999997</v>
      </c>
      <c r="G277" s="929"/>
    </row>
    <row r="278" spans="1:7">
      <c r="A278" s="927"/>
      <c r="B278" s="920"/>
      <c r="C278" s="922"/>
      <c r="D278" s="922"/>
      <c r="E278" s="922"/>
      <c r="F278" s="922"/>
      <c r="G278" s="922"/>
    </row>
    <row r="279" spans="1:7">
      <c r="A279" s="946" t="s">
        <v>345</v>
      </c>
      <c r="B279" s="920"/>
      <c r="C279" s="920"/>
      <c r="D279" s="922"/>
      <c r="E279" s="922"/>
      <c r="F279" s="920"/>
      <c r="G279" s="922"/>
    </row>
    <row r="280" spans="1:7">
      <c r="A280" s="927" t="s">
        <v>346</v>
      </c>
      <c r="B280" s="920"/>
      <c r="C280" s="928">
        <v>11</v>
      </c>
      <c r="D280" s="929"/>
      <c r="E280" s="922"/>
      <c r="F280" s="928">
        <v>11</v>
      </c>
      <c r="G280" s="929"/>
    </row>
    <row r="281" spans="1:7">
      <c r="A281" s="927" t="s">
        <v>347</v>
      </c>
      <c r="B281" s="920"/>
      <c r="C281" s="928">
        <v>72.5</v>
      </c>
      <c r="D281" s="929"/>
      <c r="E281" s="922"/>
      <c r="F281" s="928">
        <v>72.5</v>
      </c>
      <c r="G281" s="929"/>
    </row>
    <row r="282" spans="1:7">
      <c r="A282" s="927" t="s">
        <v>348</v>
      </c>
      <c r="B282" s="920"/>
      <c r="C282" s="928">
        <v>127.5</v>
      </c>
      <c r="D282" s="929"/>
      <c r="E282" s="922"/>
      <c r="F282" s="928">
        <v>127.5</v>
      </c>
      <c r="G282" s="929"/>
    </row>
    <row r="283" spans="1:7">
      <c r="A283" s="927" t="s">
        <v>349</v>
      </c>
      <c r="B283" s="920"/>
      <c r="C283" s="928">
        <v>6.2</v>
      </c>
      <c r="D283" s="929"/>
      <c r="E283" s="922"/>
      <c r="F283" s="928">
        <v>6.2</v>
      </c>
      <c r="G283" s="929"/>
    </row>
    <row r="284" spans="1:7">
      <c r="A284" s="927" t="s">
        <v>350</v>
      </c>
      <c r="B284" s="920"/>
      <c r="C284" s="942">
        <v>5.3437000000000001</v>
      </c>
      <c r="D284" s="930" t="s">
        <v>108</v>
      </c>
      <c r="E284" s="922"/>
      <c r="F284" s="941">
        <v>5.3437000000000001</v>
      </c>
      <c r="G284" s="930" t="s">
        <v>108</v>
      </c>
    </row>
    <row r="285" spans="1:7">
      <c r="A285" s="927"/>
      <c r="B285" s="920"/>
      <c r="C285" s="922"/>
      <c r="D285" s="922"/>
      <c r="E285" s="922"/>
      <c r="F285" s="922"/>
      <c r="G285" s="922"/>
    </row>
    <row r="286" spans="1:7">
      <c r="A286" s="946" t="s">
        <v>352</v>
      </c>
      <c r="B286" s="920"/>
      <c r="C286" s="922"/>
      <c r="D286" s="922"/>
      <c r="E286" s="922"/>
      <c r="F286" s="922"/>
      <c r="G286" s="922"/>
    </row>
    <row r="287" spans="1:7">
      <c r="A287" s="927" t="s">
        <v>353</v>
      </c>
      <c r="B287" s="920"/>
      <c r="C287" s="928">
        <v>5.5</v>
      </c>
      <c r="D287" s="929"/>
      <c r="E287" s="922"/>
      <c r="F287" s="928">
        <v>6</v>
      </c>
      <c r="G287" s="929"/>
    </row>
    <row r="288" spans="1:7">
      <c r="A288" s="927" t="s">
        <v>350</v>
      </c>
      <c r="B288" s="920"/>
      <c r="C288" s="943">
        <v>8.4048999999999996</v>
      </c>
      <c r="D288" s="930" t="s">
        <v>108</v>
      </c>
      <c r="E288" s="922"/>
      <c r="F288" s="941">
        <v>8.9481999999999999</v>
      </c>
      <c r="G288" s="930" t="s">
        <v>108</v>
      </c>
    </row>
    <row r="289" spans="1:7">
      <c r="A289" s="920"/>
      <c r="B289" s="920"/>
      <c r="C289" s="920"/>
      <c r="D289" s="922"/>
      <c r="E289" s="922"/>
      <c r="F289" s="920"/>
      <c r="G289" s="922"/>
    </row>
    <row r="290" spans="1:7">
      <c r="A290" s="926" t="s">
        <v>638</v>
      </c>
      <c r="B290" s="920"/>
      <c r="C290" s="920"/>
      <c r="D290" s="922"/>
      <c r="E290" s="922"/>
      <c r="F290" s="920"/>
      <c r="G290" s="922"/>
    </row>
    <row r="291" spans="1:7">
      <c r="A291" s="947" t="s">
        <v>355</v>
      </c>
      <c r="B291" s="920"/>
      <c r="C291" s="920"/>
      <c r="D291" s="922"/>
      <c r="E291" s="922"/>
      <c r="F291" s="920"/>
      <c r="G291" s="922"/>
    </row>
    <row r="292" spans="1:7">
      <c r="A292" s="927" t="s">
        <v>104</v>
      </c>
      <c r="B292" s="920"/>
      <c r="C292" s="928">
        <v>121</v>
      </c>
      <c r="D292" s="929"/>
      <c r="E292" s="922"/>
      <c r="F292" s="928">
        <v>128</v>
      </c>
      <c r="G292" s="929"/>
    </row>
    <row r="293" spans="1:7">
      <c r="A293" s="927" t="s">
        <v>356</v>
      </c>
      <c r="B293" s="920"/>
      <c r="C293" s="928">
        <v>4.0999999999999996</v>
      </c>
      <c r="D293" s="929"/>
      <c r="E293" s="922"/>
      <c r="F293" s="928">
        <v>4.3499999999999996</v>
      </c>
      <c r="G293" s="929"/>
    </row>
    <row r="294" spans="1:7">
      <c r="A294" s="927" t="s">
        <v>357</v>
      </c>
      <c r="B294" s="920"/>
      <c r="C294" s="948">
        <v>6.5263999999999998</v>
      </c>
      <c r="D294" s="930" t="s">
        <v>108</v>
      </c>
      <c r="E294" s="922"/>
      <c r="F294" s="948">
        <v>6.9242999999999997</v>
      </c>
      <c r="G294" s="930" t="s">
        <v>108</v>
      </c>
    </row>
    <row r="295" spans="1:7">
      <c r="A295" s="927" t="s">
        <v>245</v>
      </c>
      <c r="B295" s="920"/>
      <c r="C295" s="948">
        <v>5.4798999999999998</v>
      </c>
      <c r="D295" s="930" t="s">
        <v>108</v>
      </c>
      <c r="E295" s="922"/>
      <c r="F295" s="948">
        <v>5.8140000000000001</v>
      </c>
      <c r="G295" s="930" t="s">
        <v>108</v>
      </c>
    </row>
    <row r="296" spans="1:7">
      <c r="A296" s="947" t="s">
        <v>359</v>
      </c>
      <c r="B296" s="920"/>
      <c r="C296" s="939"/>
      <c r="D296" s="940"/>
      <c r="E296" s="922"/>
      <c r="F296" s="939"/>
      <c r="G296" s="940"/>
    </row>
    <row r="297" spans="1:7">
      <c r="A297" s="927" t="s">
        <v>104</v>
      </c>
      <c r="B297" s="920"/>
      <c r="C297" s="928">
        <v>121</v>
      </c>
      <c r="D297" s="929"/>
      <c r="E297" s="922"/>
      <c r="F297" s="928">
        <v>128</v>
      </c>
      <c r="G297" s="929"/>
    </row>
    <row r="298" spans="1:7">
      <c r="A298" s="927" t="s">
        <v>356</v>
      </c>
      <c r="B298" s="920"/>
      <c r="C298" s="928">
        <v>4.0999999999999996</v>
      </c>
      <c r="D298" s="929"/>
      <c r="E298" s="922"/>
      <c r="F298" s="928">
        <v>4.3499999999999996</v>
      </c>
      <c r="G298" s="929"/>
    </row>
    <row r="299" spans="1:7">
      <c r="A299" s="927" t="s">
        <v>357</v>
      </c>
      <c r="B299" s="920"/>
      <c r="C299" s="948">
        <v>5.1345999999999998</v>
      </c>
      <c r="D299" s="930" t="s">
        <v>108</v>
      </c>
      <c r="E299" s="922"/>
      <c r="F299" s="948">
        <v>5.4476000000000004</v>
      </c>
      <c r="G299" s="930" t="s">
        <v>108</v>
      </c>
    </row>
    <row r="300" spans="1:7">
      <c r="A300" s="927" t="s">
        <v>245</v>
      </c>
      <c r="B300" s="920"/>
      <c r="C300" s="948">
        <v>4.4977</v>
      </c>
      <c r="D300" s="930" t="s">
        <v>108</v>
      </c>
      <c r="E300" s="922"/>
      <c r="F300" s="948">
        <v>4.7713999999999999</v>
      </c>
      <c r="G300" s="930" t="s">
        <v>108</v>
      </c>
    </row>
    <row r="301" spans="1:7">
      <c r="A301" s="920"/>
      <c r="B301" s="920"/>
      <c r="C301" s="920"/>
      <c r="D301" s="922"/>
      <c r="E301" s="922"/>
      <c r="F301" s="920"/>
      <c r="G301" s="922"/>
    </row>
    <row r="302" spans="1:7">
      <c r="A302" s="926" t="s">
        <v>639</v>
      </c>
      <c r="B302" s="920"/>
      <c r="C302" s="920"/>
      <c r="D302" s="922"/>
      <c r="E302" s="922"/>
      <c r="F302" s="920"/>
      <c r="G302" s="922"/>
    </row>
    <row r="303" spans="1:7">
      <c r="A303" s="927" t="s">
        <v>104</v>
      </c>
      <c r="B303" s="920"/>
      <c r="C303" s="928">
        <v>10</v>
      </c>
      <c r="D303" s="929"/>
      <c r="E303" s="922"/>
      <c r="F303" s="928">
        <v>11</v>
      </c>
      <c r="G303" s="929"/>
    </row>
    <row r="304" spans="1:7">
      <c r="A304" s="927" t="s">
        <v>152</v>
      </c>
      <c r="B304" s="920"/>
      <c r="C304" s="928">
        <v>8.5500000000000007</v>
      </c>
      <c r="D304" s="929"/>
      <c r="E304" s="922"/>
      <c r="F304" s="928">
        <v>8.75</v>
      </c>
      <c r="G304" s="929"/>
    </row>
    <row r="305" spans="1:7">
      <c r="A305" s="927" t="s">
        <v>153</v>
      </c>
      <c r="B305" s="920"/>
      <c r="C305" s="928">
        <v>8.6</v>
      </c>
      <c r="D305" s="929"/>
      <c r="E305" s="922"/>
      <c r="F305" s="928">
        <v>8.8000000000000007</v>
      </c>
      <c r="G305" s="929"/>
    </row>
    <row r="306" spans="1:7">
      <c r="A306" s="927" t="s">
        <v>154</v>
      </c>
      <c r="B306" s="920"/>
      <c r="C306" s="928">
        <v>-0.48</v>
      </c>
      <c r="D306" s="929"/>
      <c r="E306" s="922"/>
      <c r="F306" s="928">
        <v>-0.49</v>
      </c>
      <c r="G306" s="929"/>
    </row>
    <row r="307" spans="1:7">
      <c r="A307" s="927" t="s">
        <v>155</v>
      </c>
      <c r="B307" s="920"/>
      <c r="C307" s="893">
        <v>11.6096</v>
      </c>
      <c r="D307" s="930" t="s">
        <v>108</v>
      </c>
      <c r="E307" s="922"/>
      <c r="F307" s="893">
        <v>11.9062</v>
      </c>
      <c r="G307" s="930" t="s">
        <v>108</v>
      </c>
    </row>
    <row r="308" spans="1:7">
      <c r="A308" s="927" t="s">
        <v>156</v>
      </c>
      <c r="B308" s="920"/>
      <c r="C308" s="893">
        <v>6.5087999999999999</v>
      </c>
      <c r="D308" s="930" t="s">
        <v>108</v>
      </c>
      <c r="E308" s="922"/>
      <c r="F308" s="893">
        <v>6.6750999999999996</v>
      </c>
      <c r="G308" s="930" t="s">
        <v>108</v>
      </c>
    </row>
    <row r="309" spans="1:7">
      <c r="A309" s="927" t="s">
        <v>157</v>
      </c>
      <c r="B309" s="920"/>
      <c r="C309" s="893">
        <v>10.6859</v>
      </c>
      <c r="D309" s="930" t="s">
        <v>108</v>
      </c>
      <c r="E309" s="922"/>
      <c r="F309" s="893">
        <v>10.9589</v>
      </c>
      <c r="G309" s="930" t="s">
        <v>108</v>
      </c>
    </row>
    <row r="310" spans="1:7">
      <c r="A310" s="927" t="s">
        <v>158</v>
      </c>
      <c r="B310" s="920"/>
      <c r="C310" s="893">
        <v>5.9947000000000008</v>
      </c>
      <c r="D310" s="930" t="s">
        <v>108</v>
      </c>
      <c r="E310" s="922"/>
      <c r="F310" s="893">
        <v>6.1518999999999995</v>
      </c>
      <c r="G310" s="930" t="s">
        <v>108</v>
      </c>
    </row>
    <row r="311" spans="1:7">
      <c r="A311" s="927" t="s">
        <v>159</v>
      </c>
      <c r="B311" s="920"/>
      <c r="C311" s="928">
        <v>120</v>
      </c>
      <c r="D311" s="929"/>
      <c r="E311" s="922"/>
      <c r="F311" s="928">
        <v>132</v>
      </c>
      <c r="G311" s="929"/>
    </row>
    <row r="312" spans="1:7">
      <c r="A312" s="920"/>
      <c r="B312" s="920"/>
      <c r="C312" s="920"/>
      <c r="D312" s="922"/>
      <c r="E312" s="922"/>
      <c r="F312" s="920"/>
      <c r="G312" s="922"/>
    </row>
    <row r="313" spans="1:7">
      <c r="A313" s="926" t="s">
        <v>640</v>
      </c>
      <c r="B313" s="920"/>
      <c r="C313" s="939"/>
      <c r="D313" s="940"/>
      <c r="E313" s="922"/>
      <c r="F313" s="939"/>
      <c r="G313" s="940"/>
    </row>
    <row r="314" spans="1:7">
      <c r="A314" s="947" t="s">
        <v>369</v>
      </c>
      <c r="B314" s="920"/>
      <c r="C314" s="920"/>
      <c r="D314" s="922"/>
      <c r="E314" s="922"/>
      <c r="F314" s="920"/>
      <c r="G314" s="922"/>
    </row>
    <row r="315" spans="1:7">
      <c r="A315" s="927" t="s">
        <v>370</v>
      </c>
      <c r="B315" s="927"/>
      <c r="C315" s="928">
        <v>127</v>
      </c>
      <c r="D315" s="929"/>
      <c r="E315" s="922"/>
      <c r="F315" s="928">
        <v>136</v>
      </c>
      <c r="G315" s="929"/>
    </row>
    <row r="316" spans="1:7">
      <c r="A316" s="927" t="s">
        <v>371</v>
      </c>
      <c r="B316" s="927"/>
      <c r="C316" s="928">
        <v>4.66</v>
      </c>
      <c r="D316" s="929"/>
      <c r="E316" s="922"/>
      <c r="F316" s="928">
        <v>8.06</v>
      </c>
      <c r="G316" s="929"/>
    </row>
    <row r="317" spans="1:7">
      <c r="A317" s="927" t="s">
        <v>373</v>
      </c>
      <c r="B317" s="927"/>
      <c r="C317" s="936"/>
      <c r="D317" s="935"/>
      <c r="E317" s="922"/>
      <c r="F317" s="936"/>
      <c r="G317" s="935"/>
    </row>
    <row r="318" spans="1:7">
      <c r="A318" s="927" t="s">
        <v>375</v>
      </c>
      <c r="B318" s="927"/>
      <c r="C318" s="949">
        <v>0.64190000000000003</v>
      </c>
      <c r="D318" s="950"/>
      <c r="E318" s="922"/>
      <c r="F318" s="949"/>
      <c r="G318" s="950"/>
    </row>
    <row r="319" spans="1:7">
      <c r="A319" s="927" t="s">
        <v>641</v>
      </c>
      <c r="B319" s="927"/>
      <c r="C319" s="949"/>
      <c r="D319" s="950"/>
      <c r="E319" s="922"/>
      <c r="F319" s="928">
        <v>0.51</v>
      </c>
      <c r="G319" s="950"/>
    </row>
    <row r="320" spans="1:7">
      <c r="A320" s="927" t="s">
        <v>642</v>
      </c>
      <c r="B320" s="927"/>
      <c r="C320" s="949"/>
      <c r="D320" s="950"/>
      <c r="E320" s="922"/>
      <c r="F320" s="928">
        <v>0.33</v>
      </c>
      <c r="G320" s="950"/>
    </row>
    <row r="321" spans="1:7">
      <c r="A321" s="927" t="s">
        <v>377</v>
      </c>
      <c r="B321" s="927"/>
      <c r="C321" s="951">
        <v>0.32100000000000001</v>
      </c>
      <c r="D321" s="952"/>
      <c r="E321" s="922"/>
      <c r="F321" s="949"/>
      <c r="G321" s="952"/>
    </row>
    <row r="322" spans="1:7">
      <c r="A322" s="927" t="s">
        <v>641</v>
      </c>
      <c r="B322" s="927"/>
      <c r="C322" s="951"/>
      <c r="D322" s="952"/>
      <c r="E322" s="922"/>
      <c r="F322" s="953">
        <v>0.255</v>
      </c>
      <c r="G322" s="952"/>
    </row>
    <row r="323" spans="1:7">
      <c r="A323" s="927" t="s">
        <v>642</v>
      </c>
      <c r="B323" s="927"/>
      <c r="C323" s="951"/>
      <c r="D323" s="952"/>
      <c r="E323" s="922"/>
      <c r="F323" s="953">
        <v>0.16500000000000001</v>
      </c>
      <c r="G323" s="952"/>
    </row>
    <row r="324" spans="1:7">
      <c r="A324" s="927" t="s">
        <v>378</v>
      </c>
      <c r="B324" s="927"/>
      <c r="C324" s="928">
        <v>60.48</v>
      </c>
      <c r="D324" s="929"/>
      <c r="E324" s="922"/>
      <c r="F324" s="949"/>
      <c r="G324" s="929"/>
    </row>
    <row r="325" spans="1:7">
      <c r="A325" s="927" t="s">
        <v>641</v>
      </c>
      <c r="B325" s="927"/>
      <c r="C325" s="928"/>
      <c r="D325" s="929"/>
      <c r="E325" s="922"/>
      <c r="F325" s="928">
        <v>41.06</v>
      </c>
      <c r="G325" s="929"/>
    </row>
    <row r="326" spans="1:7">
      <c r="A326" s="927" t="s">
        <v>642</v>
      </c>
      <c r="B326" s="927"/>
      <c r="C326" s="928"/>
      <c r="D326" s="929"/>
      <c r="E326" s="922"/>
      <c r="F326" s="928">
        <v>32.24</v>
      </c>
      <c r="G326" s="929"/>
    </row>
    <row r="327" spans="1:7">
      <c r="A327" s="947" t="s">
        <v>379</v>
      </c>
      <c r="B327" s="920"/>
      <c r="C327" s="920"/>
      <c r="D327" s="922"/>
      <c r="E327" s="922"/>
      <c r="F327" s="920"/>
      <c r="G327" s="922"/>
    </row>
    <row r="328" spans="1:7">
      <c r="A328" s="927" t="s">
        <v>370</v>
      </c>
      <c r="B328" s="920"/>
      <c r="C328" s="928">
        <v>577</v>
      </c>
      <c r="D328" s="929"/>
      <c r="E328" s="922"/>
      <c r="F328" s="928">
        <v>617</v>
      </c>
      <c r="G328" s="929"/>
    </row>
    <row r="329" spans="1:7">
      <c r="A329" s="927" t="s">
        <v>371</v>
      </c>
      <c r="B329" s="920"/>
      <c r="C329" s="928">
        <v>3.66</v>
      </c>
      <c r="D329" s="929"/>
      <c r="E329" s="922"/>
      <c r="F329" s="928">
        <v>6.9200000000000008</v>
      </c>
      <c r="G329" s="929"/>
    </row>
    <row r="330" spans="1:7">
      <c r="A330" s="927" t="s">
        <v>373</v>
      </c>
      <c r="B330" s="920"/>
      <c r="C330" s="928"/>
      <c r="D330" s="929"/>
      <c r="E330" s="922"/>
      <c r="F330" s="936"/>
      <c r="G330" s="935"/>
    </row>
    <row r="331" spans="1:7">
      <c r="A331" s="927" t="s">
        <v>375</v>
      </c>
      <c r="B331" s="920"/>
      <c r="C331" s="949">
        <v>0.62480000000000002</v>
      </c>
      <c r="D331" s="950"/>
      <c r="E331" s="922"/>
      <c r="F331" s="949"/>
      <c r="G331" s="950"/>
    </row>
    <row r="332" spans="1:7">
      <c r="A332" s="927" t="s">
        <v>641</v>
      </c>
      <c r="B332" s="920"/>
      <c r="C332" s="949"/>
      <c r="D332" s="950"/>
      <c r="E332" s="922"/>
      <c r="F332" s="928">
        <v>0.5</v>
      </c>
      <c r="G332" s="950"/>
    </row>
    <row r="333" spans="1:7">
      <c r="A333" s="927" t="s">
        <v>642</v>
      </c>
      <c r="B333" s="920"/>
      <c r="C333" s="949"/>
      <c r="D333" s="950"/>
      <c r="E333" s="922"/>
      <c r="F333" s="928">
        <v>0.32</v>
      </c>
      <c r="G333" s="950"/>
    </row>
    <row r="334" spans="1:7">
      <c r="A334" s="927" t="s">
        <v>377</v>
      </c>
      <c r="B334" s="920"/>
      <c r="C334" s="951">
        <v>0.31240000000000001</v>
      </c>
      <c r="D334" s="952"/>
      <c r="E334" s="922"/>
      <c r="F334" s="949"/>
      <c r="G334" s="952"/>
    </row>
    <row r="335" spans="1:7">
      <c r="A335" s="927" t="s">
        <v>641</v>
      </c>
      <c r="B335" s="920"/>
      <c r="C335" s="951"/>
      <c r="D335" s="952"/>
      <c r="E335" s="922"/>
      <c r="F335" s="953">
        <v>0.25</v>
      </c>
      <c r="G335" s="952"/>
    </row>
    <row r="336" spans="1:7">
      <c r="A336" s="927" t="s">
        <v>642</v>
      </c>
      <c r="B336" s="920"/>
      <c r="C336" s="951"/>
      <c r="D336" s="952"/>
      <c r="E336" s="922"/>
      <c r="F336" s="953">
        <v>0.16</v>
      </c>
      <c r="G336" s="952"/>
    </row>
    <row r="337" spans="1:7">
      <c r="A337" s="927" t="s">
        <v>378</v>
      </c>
      <c r="B337" s="920"/>
      <c r="C337" s="928">
        <v>43.59</v>
      </c>
      <c r="D337" s="929"/>
      <c r="E337" s="922"/>
      <c r="F337" s="949"/>
      <c r="G337" s="929"/>
    </row>
    <row r="338" spans="1:7">
      <c r="A338" s="927" t="s">
        <v>641</v>
      </c>
      <c r="B338" s="920"/>
      <c r="C338" s="928"/>
      <c r="D338" s="929"/>
      <c r="E338" s="922"/>
      <c r="F338" s="928">
        <v>38.78</v>
      </c>
      <c r="G338" s="929"/>
    </row>
    <row r="339" spans="1:7">
      <c r="A339" s="927" t="s">
        <v>642</v>
      </c>
      <c r="B339" s="920"/>
      <c r="C339" s="928"/>
      <c r="D339" s="929"/>
      <c r="E339" s="922"/>
      <c r="F339" s="928">
        <v>29.96</v>
      </c>
      <c r="G339" s="929"/>
    </row>
    <row r="340" spans="1:7">
      <c r="A340" s="947" t="s">
        <v>380</v>
      </c>
      <c r="B340" s="920"/>
      <c r="C340" s="920"/>
      <c r="D340" s="922"/>
      <c r="E340" s="922"/>
      <c r="F340" s="920"/>
      <c r="G340" s="922"/>
    </row>
    <row r="341" spans="1:7">
      <c r="A341" s="927" t="s">
        <v>370</v>
      </c>
      <c r="B341" s="920"/>
      <c r="C341" s="928">
        <v>646</v>
      </c>
      <c r="D341" s="929"/>
      <c r="E341" s="922"/>
      <c r="F341" s="928">
        <v>691</v>
      </c>
      <c r="G341" s="929"/>
    </row>
    <row r="342" spans="1:7">
      <c r="A342" s="927" t="s">
        <v>371</v>
      </c>
      <c r="B342" s="920"/>
      <c r="C342" s="928">
        <v>2.08</v>
      </c>
      <c r="D342" s="929"/>
      <c r="E342" s="922"/>
      <c r="F342" s="928">
        <v>5.79</v>
      </c>
      <c r="G342" s="929"/>
    </row>
    <row r="343" spans="1:7">
      <c r="A343" s="927" t="s">
        <v>373</v>
      </c>
      <c r="B343" s="920"/>
      <c r="C343" s="936"/>
      <c r="D343" s="935"/>
      <c r="E343" s="922"/>
      <c r="F343" s="936"/>
      <c r="G343" s="935"/>
    </row>
    <row r="344" spans="1:7">
      <c r="A344" s="927" t="s">
        <v>375</v>
      </c>
      <c r="B344" s="920"/>
      <c r="C344" s="949">
        <v>0.49059999999999998</v>
      </c>
      <c r="D344" s="950"/>
      <c r="E344" s="922"/>
      <c r="F344" s="949"/>
      <c r="G344" s="950"/>
    </row>
    <row r="345" spans="1:7">
      <c r="A345" s="927" t="s">
        <v>641</v>
      </c>
      <c r="B345" s="920"/>
      <c r="C345" s="949"/>
      <c r="D345" s="950"/>
      <c r="E345" s="922"/>
      <c r="F345" s="928">
        <v>0.41</v>
      </c>
      <c r="G345" s="950"/>
    </row>
    <row r="346" spans="1:7">
      <c r="A346" s="927" t="s">
        <v>642</v>
      </c>
      <c r="B346" s="920"/>
      <c r="C346" s="949"/>
      <c r="D346" s="950"/>
      <c r="E346" s="922"/>
      <c r="F346" s="928">
        <v>0.23</v>
      </c>
      <c r="G346" s="950"/>
    </row>
    <row r="347" spans="1:7">
      <c r="A347" s="927" t="s">
        <v>377</v>
      </c>
      <c r="B347" s="920"/>
      <c r="C347" s="951">
        <v>0.24529999999999999</v>
      </c>
      <c r="D347" s="952"/>
      <c r="E347" s="922"/>
      <c r="F347" s="949"/>
      <c r="G347" s="952"/>
    </row>
    <row r="348" spans="1:7">
      <c r="A348" s="927" t="s">
        <v>641</v>
      </c>
      <c r="B348" s="920"/>
      <c r="C348" s="951"/>
      <c r="D348" s="952"/>
      <c r="E348" s="922"/>
      <c r="F348" s="953">
        <v>0.20499999999999999</v>
      </c>
      <c r="G348" s="952"/>
    </row>
    <row r="349" spans="1:7">
      <c r="A349" s="927" t="s">
        <v>642</v>
      </c>
      <c r="B349" s="920"/>
      <c r="C349" s="951"/>
      <c r="D349" s="952"/>
      <c r="E349" s="922"/>
      <c r="F349" s="953">
        <v>0.115</v>
      </c>
      <c r="G349" s="952"/>
    </row>
    <row r="350" spans="1:7">
      <c r="A350" s="927" t="s">
        <v>378</v>
      </c>
      <c r="B350" s="920"/>
      <c r="C350" s="928">
        <v>41.97</v>
      </c>
      <c r="D350" s="929"/>
      <c r="E350" s="922"/>
      <c r="F350" s="949"/>
      <c r="G350" s="929"/>
    </row>
    <row r="351" spans="1:7">
      <c r="A351" s="927" t="s">
        <v>641</v>
      </c>
      <c r="B351" s="920"/>
      <c r="C351" s="928"/>
      <c r="D351" s="929"/>
      <c r="E351" s="922"/>
      <c r="F351" s="928">
        <v>32.6</v>
      </c>
      <c r="G351" s="929"/>
    </row>
    <row r="352" spans="1:7">
      <c r="A352" s="927" t="s">
        <v>642</v>
      </c>
      <c r="B352" s="920"/>
      <c r="C352" s="928"/>
      <c r="D352" s="929"/>
      <c r="E352" s="922"/>
      <c r="F352" s="928">
        <v>23.54</v>
      </c>
      <c r="G352" s="929"/>
    </row>
    <row r="353" spans="1:7">
      <c r="A353" s="920"/>
      <c r="B353" s="920"/>
      <c r="C353" s="920"/>
      <c r="D353" s="922"/>
      <c r="E353" s="922"/>
      <c r="F353" s="920"/>
      <c r="G353" s="922"/>
    </row>
    <row r="354" spans="1:7">
      <c r="A354" s="926" t="s">
        <v>50</v>
      </c>
      <c r="B354" s="920"/>
      <c r="C354" s="920"/>
      <c r="D354" s="922"/>
      <c r="E354" s="922"/>
      <c r="F354" s="920"/>
      <c r="G354" s="922"/>
    </row>
    <row r="355" spans="1:7">
      <c r="A355" s="927" t="s">
        <v>104</v>
      </c>
      <c r="B355" s="920"/>
      <c r="C355" s="939"/>
      <c r="D355" s="940"/>
      <c r="E355" s="922"/>
      <c r="F355" s="939"/>
      <c r="G355" s="940"/>
    </row>
    <row r="356" spans="1:7">
      <c r="A356" s="927" t="s">
        <v>390</v>
      </c>
      <c r="B356" s="920"/>
      <c r="C356" s="939"/>
      <c r="D356" s="940"/>
      <c r="E356" s="922"/>
      <c r="F356" s="939"/>
      <c r="G356" s="940"/>
    </row>
    <row r="357" spans="1:7">
      <c r="A357" s="927" t="s">
        <v>392</v>
      </c>
      <c r="B357" s="920"/>
      <c r="C357" s="954"/>
      <c r="D357" s="955"/>
      <c r="E357" s="922"/>
      <c r="F357" s="954"/>
      <c r="G357" s="955"/>
    </row>
    <row r="358" spans="1:7">
      <c r="A358" s="927" t="s">
        <v>393</v>
      </c>
      <c r="B358" s="920"/>
      <c r="C358" s="920"/>
      <c r="D358" s="922"/>
      <c r="E358" s="922"/>
      <c r="F358" s="920"/>
      <c r="G358" s="922"/>
    </row>
    <row r="359" spans="1:7" ht="16.5" thickBot="1">
      <c r="A359" s="927" t="s">
        <v>134</v>
      </c>
      <c r="B359" s="920"/>
      <c r="C359" s="956"/>
      <c r="D359" s="940"/>
      <c r="E359" s="922"/>
      <c r="F359" s="956"/>
      <c r="G359" s="940"/>
    </row>
    <row r="360" spans="1:7" ht="16.5" thickTop="1">
      <c r="A360" s="920"/>
      <c r="B360" s="920"/>
      <c r="C360" s="920"/>
      <c r="D360" s="922"/>
      <c r="E360" s="922"/>
      <c r="F360" s="920"/>
      <c r="G360" s="922"/>
    </row>
    <row r="361" spans="1:7">
      <c r="A361" s="957" t="s">
        <v>51</v>
      </c>
      <c r="B361" s="922"/>
      <c r="C361" s="939"/>
      <c r="D361" s="940"/>
      <c r="E361" s="922"/>
      <c r="F361" s="939"/>
      <c r="G361" s="940"/>
    </row>
    <row r="362" spans="1:7">
      <c r="A362" s="958" t="s">
        <v>104</v>
      </c>
      <c r="B362" s="922"/>
      <c r="C362" s="920"/>
      <c r="D362" s="922"/>
      <c r="E362" s="922"/>
      <c r="F362" s="920"/>
      <c r="G362" s="922"/>
    </row>
    <row r="363" spans="1:7">
      <c r="A363" s="958" t="s">
        <v>643</v>
      </c>
      <c r="B363" s="922"/>
      <c r="C363" s="959"/>
      <c r="D363" s="960"/>
      <c r="E363" s="922"/>
      <c r="F363" s="959"/>
      <c r="G363" s="960"/>
    </row>
    <row r="364" spans="1:7" ht="16.5" thickBot="1">
      <c r="A364" s="927" t="s">
        <v>134</v>
      </c>
      <c r="B364" s="922"/>
      <c r="C364" s="961"/>
      <c r="D364" s="940"/>
      <c r="E364" s="922"/>
      <c r="F364" s="961"/>
      <c r="G364" s="940"/>
    </row>
    <row r="365" spans="1:7" ht="16.5" thickTop="1">
      <c r="A365" s="958"/>
      <c r="B365" s="922"/>
      <c r="C365" s="962"/>
      <c r="D365" s="962"/>
      <c r="E365" s="922"/>
      <c r="F365" s="962"/>
      <c r="G365" s="962"/>
    </row>
    <row r="366" spans="1:7">
      <c r="A366" s="926" t="s">
        <v>52</v>
      </c>
      <c r="B366" s="920"/>
      <c r="C366" s="939"/>
      <c r="D366" s="940"/>
      <c r="E366" s="922"/>
      <c r="F366" s="939"/>
      <c r="G366" s="940"/>
    </row>
    <row r="367" spans="1:7">
      <c r="A367" s="927" t="s">
        <v>104</v>
      </c>
      <c r="B367" s="920"/>
      <c r="C367" s="928">
        <v>646</v>
      </c>
      <c r="D367" s="940"/>
      <c r="E367" s="922"/>
      <c r="F367" s="928">
        <v>691</v>
      </c>
      <c r="G367" s="940"/>
    </row>
    <row r="368" spans="1:7">
      <c r="A368" s="927" t="s">
        <v>644</v>
      </c>
      <c r="B368" s="920"/>
      <c r="C368" s="928">
        <v>2.08</v>
      </c>
      <c r="D368" s="940"/>
      <c r="E368" s="922"/>
      <c r="F368" s="928">
        <v>5.79</v>
      </c>
      <c r="G368" s="940"/>
    </row>
    <row r="369" spans="1:7">
      <c r="A369" s="927" t="s">
        <v>399</v>
      </c>
      <c r="B369" s="920"/>
      <c r="C369" s="936"/>
      <c r="D369" s="963"/>
      <c r="E369" s="922"/>
      <c r="F369" s="936"/>
      <c r="G369" s="963"/>
    </row>
    <row r="370" spans="1:7">
      <c r="A370" s="927" t="s">
        <v>375</v>
      </c>
      <c r="B370" s="920"/>
      <c r="C370" s="949">
        <v>0.49059999999999998</v>
      </c>
      <c r="D370" s="950"/>
      <c r="E370" s="922"/>
      <c r="F370" s="949"/>
      <c r="G370" s="940"/>
    </row>
    <row r="371" spans="1:7">
      <c r="A371" s="927" t="s">
        <v>641</v>
      </c>
      <c r="B371" s="920"/>
      <c r="C371" s="949"/>
      <c r="D371" s="950"/>
      <c r="E371" s="922"/>
      <c r="F371" s="928">
        <v>0.41</v>
      </c>
      <c r="G371" s="940"/>
    </row>
    <row r="372" spans="1:7">
      <c r="A372" s="927" t="s">
        <v>642</v>
      </c>
      <c r="B372" s="920"/>
      <c r="C372" s="949"/>
      <c r="D372" s="950"/>
      <c r="E372" s="922"/>
      <c r="F372" s="928">
        <v>0.23</v>
      </c>
      <c r="G372" s="940"/>
    </row>
    <row r="373" spans="1:7">
      <c r="A373" s="927" t="s">
        <v>377</v>
      </c>
      <c r="B373" s="920"/>
      <c r="C373" s="951">
        <v>0.24529999999999999</v>
      </c>
      <c r="D373" s="952"/>
      <c r="E373" s="922"/>
      <c r="F373" s="949"/>
      <c r="G373" s="940"/>
    </row>
    <row r="374" spans="1:7">
      <c r="A374" s="927" t="s">
        <v>641</v>
      </c>
      <c r="B374" s="920"/>
      <c r="C374" s="951"/>
      <c r="D374" s="952"/>
      <c r="E374" s="922"/>
      <c r="F374" s="953">
        <v>0.20499999999999999</v>
      </c>
      <c r="G374" s="940"/>
    </row>
    <row r="375" spans="1:7">
      <c r="A375" s="927" t="s">
        <v>642</v>
      </c>
      <c r="B375" s="920"/>
      <c r="C375" s="951"/>
      <c r="D375" s="952"/>
      <c r="E375" s="922"/>
      <c r="F375" s="953">
        <v>0.115</v>
      </c>
      <c r="G375" s="940"/>
    </row>
    <row r="376" spans="1:7">
      <c r="A376" s="927" t="s">
        <v>402</v>
      </c>
      <c r="B376" s="920"/>
      <c r="C376" s="928">
        <v>41.97</v>
      </c>
      <c r="D376" s="929"/>
      <c r="E376" s="922"/>
      <c r="F376" s="949"/>
      <c r="G376" s="940"/>
    </row>
    <row r="377" spans="1:7">
      <c r="A377" s="927" t="s">
        <v>641</v>
      </c>
      <c r="B377" s="920"/>
      <c r="C377" s="928"/>
      <c r="D377" s="929"/>
      <c r="E377" s="922"/>
      <c r="F377" s="928">
        <v>32.6</v>
      </c>
      <c r="G377" s="940"/>
    </row>
    <row r="378" spans="1:7">
      <c r="A378" s="927" t="s">
        <v>642</v>
      </c>
      <c r="B378" s="920"/>
      <c r="C378" s="928"/>
      <c r="D378" s="929"/>
      <c r="E378" s="922"/>
      <c r="F378" s="928">
        <v>23.54</v>
      </c>
      <c r="G378" s="940"/>
    </row>
    <row r="379" spans="1:7">
      <c r="A379" s="927" t="s">
        <v>403</v>
      </c>
      <c r="B379" s="920"/>
      <c r="C379" s="942"/>
      <c r="D379" s="963"/>
      <c r="E379" s="922"/>
      <c r="F379" s="942"/>
      <c r="G379" s="963"/>
    </row>
    <row r="380" spans="1:7">
      <c r="A380" s="927" t="s">
        <v>404</v>
      </c>
      <c r="B380" s="920"/>
      <c r="C380" s="936">
        <v>13.32</v>
      </c>
      <c r="D380" s="935"/>
      <c r="E380" s="922"/>
      <c r="F380" s="936">
        <v>14.06</v>
      </c>
      <c r="G380" s="935"/>
    </row>
    <row r="381" spans="1:7">
      <c r="A381" s="927" t="s">
        <v>405</v>
      </c>
      <c r="B381" s="920"/>
      <c r="C381" s="936">
        <v>9.0299999999999994</v>
      </c>
      <c r="D381" s="935"/>
      <c r="E381" s="922"/>
      <c r="F381" s="936">
        <v>9.5299999999999994</v>
      </c>
      <c r="G381" s="935"/>
    </row>
    <row r="382" spans="1:7">
      <c r="A382" s="927" t="s">
        <v>406</v>
      </c>
      <c r="B382" s="920"/>
      <c r="C382" s="963"/>
      <c r="D382" s="963"/>
      <c r="E382" s="922"/>
      <c r="F382" s="963"/>
      <c r="G382" s="963"/>
    </row>
    <row r="383" spans="1:7">
      <c r="A383" s="927" t="s">
        <v>407</v>
      </c>
      <c r="B383" s="920"/>
      <c r="C383" s="964">
        <v>4.4379</v>
      </c>
      <c r="D383" s="930" t="s">
        <v>108</v>
      </c>
      <c r="E383" s="922"/>
      <c r="F383" s="964">
        <v>4.6836000000000002</v>
      </c>
      <c r="G383" s="930" t="s">
        <v>108</v>
      </c>
    </row>
    <row r="384" spans="1:7">
      <c r="A384" s="927" t="s">
        <v>408</v>
      </c>
      <c r="B384" s="920"/>
      <c r="C384" s="964">
        <v>3.3371</v>
      </c>
      <c r="D384" s="930" t="s">
        <v>108</v>
      </c>
      <c r="E384" s="922"/>
      <c r="F384" s="964">
        <v>3.5219</v>
      </c>
      <c r="G384" s="930" t="s">
        <v>108</v>
      </c>
    </row>
    <row r="385" spans="1:7">
      <c r="A385" s="927" t="s">
        <v>409</v>
      </c>
      <c r="B385" s="920"/>
      <c r="C385" s="965">
        <v>2.7873000000000001</v>
      </c>
      <c r="D385" s="930" t="s">
        <v>108</v>
      </c>
      <c r="E385" s="922"/>
      <c r="F385" s="965">
        <v>2.9416000000000002</v>
      </c>
      <c r="G385" s="930" t="s">
        <v>108</v>
      </c>
    </row>
    <row r="386" spans="1:7">
      <c r="A386" s="920"/>
      <c r="B386" s="920"/>
      <c r="C386" s="939"/>
      <c r="D386" s="940"/>
      <c r="E386" s="922"/>
      <c r="F386" s="939"/>
      <c r="G386" s="940"/>
    </row>
    <row r="387" spans="1:7">
      <c r="A387" s="926" t="s">
        <v>645</v>
      </c>
      <c r="B387" s="920"/>
      <c r="C387" s="920"/>
      <c r="D387" s="922"/>
      <c r="E387" s="922"/>
      <c r="F387" s="920"/>
      <c r="G387" s="922"/>
    </row>
    <row r="388" spans="1:7">
      <c r="A388" s="927" t="s">
        <v>417</v>
      </c>
      <c r="B388" s="920"/>
      <c r="C388" s="928">
        <v>2.1800000000000002</v>
      </c>
      <c r="D388" s="929"/>
      <c r="E388" s="922"/>
      <c r="F388" s="928">
        <v>2.1800000000000002</v>
      </c>
      <c r="G388" s="929"/>
    </row>
    <row r="389" spans="1:7">
      <c r="A389" s="927" t="s">
        <v>418</v>
      </c>
      <c r="B389" s="920"/>
      <c r="C389" s="952">
        <v>2.1858</v>
      </c>
      <c r="D389" s="930"/>
      <c r="E389" s="922"/>
      <c r="F389" s="952">
        <v>2.1858</v>
      </c>
      <c r="G389" s="93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pane xSplit="1" topLeftCell="D1" activePane="topRight" state="frozen"/>
      <selection pane="topRight" activeCell="Q2" sqref="Q2"/>
    </sheetView>
  </sheetViews>
  <sheetFormatPr defaultRowHeight="15.75"/>
  <cols>
    <col min="1" max="1" width="5.375" bestFit="1" customWidth="1"/>
    <col min="2" max="2" width="2.625" customWidth="1"/>
    <col min="3" max="3" width="8.125" style="871" customWidth="1"/>
    <col min="6" max="9" width="9" customWidth="1"/>
    <col min="14" max="17" width="9" customWidth="1"/>
  </cols>
  <sheetData>
    <row r="1" spans="1:19" ht="18.75">
      <c r="N1" s="869"/>
      <c r="O1" s="869"/>
      <c r="P1" s="869"/>
      <c r="Q1" s="869" t="s">
        <v>698</v>
      </c>
    </row>
    <row r="5" spans="1:19" ht="54.75">
      <c r="C5" s="872" t="s">
        <v>597</v>
      </c>
      <c r="D5" s="449" t="s">
        <v>598</v>
      </c>
      <c r="E5" s="872" t="s">
        <v>599</v>
      </c>
      <c r="F5" s="872"/>
      <c r="G5" s="872"/>
      <c r="H5" s="872"/>
      <c r="I5" s="872"/>
      <c r="J5" s="872" t="s">
        <v>602</v>
      </c>
      <c r="K5" s="872" t="s">
        <v>597</v>
      </c>
      <c r="L5" s="449" t="s">
        <v>600</v>
      </c>
      <c r="M5" s="872" t="s">
        <v>601</v>
      </c>
      <c r="N5" s="872"/>
      <c r="O5" s="872"/>
      <c r="P5" s="872"/>
      <c r="Q5" s="872"/>
      <c r="R5" s="872" t="s">
        <v>603</v>
      </c>
      <c r="S5" s="873" t="s">
        <v>604</v>
      </c>
    </row>
    <row r="6" spans="1:19">
      <c r="A6" s="250" t="str">
        <f>'OCS Sch 1 CC &amp; Energy Charge'!A10</f>
        <v>kWh</v>
      </c>
      <c r="B6" s="250"/>
      <c r="C6" s="451" t="s">
        <v>440</v>
      </c>
      <c r="D6" s="451" t="s">
        <v>440</v>
      </c>
      <c r="E6" s="451" t="s">
        <v>440</v>
      </c>
      <c r="F6" s="438" t="str">
        <f>'OCS Sch 1 CC &amp; Energy Charge'!C10</f>
        <v>Present</v>
      </c>
      <c r="G6" s="449" t="str">
        <f>'OCS Sch 1 CC &amp; Energy Charge'!E10</f>
        <v>Proposed</v>
      </c>
      <c r="H6" s="438" t="str">
        <f>'OCS Sch 1 CC &amp; Energy Charge'!I10</f>
        <v>Present</v>
      </c>
      <c r="I6" s="451" t="str">
        <f>'OCS Sch 1 CC &amp; Energy Charge'!K10</f>
        <v>Proposed</v>
      </c>
      <c r="J6" s="451" t="s">
        <v>441</v>
      </c>
      <c r="K6" s="451" t="s">
        <v>440</v>
      </c>
      <c r="L6" s="451" t="s">
        <v>440</v>
      </c>
      <c r="M6" s="451" t="s">
        <v>440</v>
      </c>
      <c r="N6" s="451" t="str">
        <f>'OCS Sch 1 CC &amp; Energy Charge'!C10</f>
        <v>Present</v>
      </c>
      <c r="O6" s="451" t="str">
        <f>'OCS Sch 1 CC &amp; Energy Charge'!E10</f>
        <v>Proposed</v>
      </c>
      <c r="P6" s="451" t="str">
        <f>'OCS Sch 1 CC &amp; Energy Charge'!Q10</f>
        <v>Present</v>
      </c>
      <c r="Q6" s="451" t="str">
        <f>'OCS Sch 1 CC &amp; Energy Charge'!S10</f>
        <v>Proposed</v>
      </c>
      <c r="R6" s="451" t="s">
        <v>441</v>
      </c>
      <c r="S6" s="451" t="s">
        <v>441</v>
      </c>
    </row>
    <row r="7" spans="1:19">
      <c r="A7" s="886">
        <f>'OCS Sch 1 CC &amp; Energy Charge'!A11</f>
        <v>100</v>
      </c>
      <c r="B7" s="886"/>
      <c r="C7" s="916">
        <f>'OCS Sch 1 CC &amp; Energy Charge'!G11</f>
        <v>1</v>
      </c>
      <c r="D7" s="887">
        <f>'OCS Sch 1 CC &amp; Energy Charge'!M11</f>
        <v>0.12000000000000099</v>
      </c>
      <c r="E7" s="887">
        <f t="shared" ref="E7:E25" si="0">C7+D7</f>
        <v>1.120000000000001</v>
      </c>
      <c r="F7" s="888">
        <f>'OCS Sch 1 CC &amp; Energy Charge'!C11</f>
        <v>5</v>
      </c>
      <c r="G7" s="888">
        <f>'OCS Sch 1 CC &amp; Energy Charge'!E11</f>
        <v>6</v>
      </c>
      <c r="H7" s="889">
        <f>'OCS Sch 1 CC &amp; Energy Charge'!I11</f>
        <v>9.9499999999999993</v>
      </c>
      <c r="I7" s="887">
        <f>'OCS Sch 1 CC &amp; Energy Charge'!K11</f>
        <v>10.07</v>
      </c>
      <c r="J7" s="890">
        <f>ROUND(((I7+G7)/(H7+F7)-1),3)</f>
        <v>7.4999999999999997E-2</v>
      </c>
      <c r="K7" s="887">
        <f>'OCS Sch 1 CC &amp; Energy Charge'!G11</f>
        <v>1</v>
      </c>
      <c r="L7" s="887">
        <f>'OCS Sch 1 CC &amp; Energy Charge'!U11</f>
        <v>0.12000000000000099</v>
      </c>
      <c r="M7" s="887">
        <f>K7+L7</f>
        <v>1.120000000000001</v>
      </c>
      <c r="N7" s="887">
        <f>'OCS Sch 1 CC &amp; Energy Charge'!C11</f>
        <v>5</v>
      </c>
      <c r="O7" s="887">
        <f>'OCS Sch 1 CC &amp; Energy Charge'!E11</f>
        <v>6</v>
      </c>
      <c r="P7" s="887">
        <f>'OCS Sch 1 CC &amp; Energy Charge'!Q11</f>
        <v>9.9499999999999993</v>
      </c>
      <c r="Q7" s="887">
        <f>'OCS Sch 1 CC &amp; Energy Charge'!S11</f>
        <v>10.07</v>
      </c>
      <c r="R7" s="890">
        <f>ROUND(((Q7+O7)/(P7+N7)-1),3)</f>
        <v>7.4999999999999997E-2</v>
      </c>
      <c r="S7" s="890">
        <f>((5/12)*J7)+((7/12)*R7)</f>
        <v>7.5000000000000011E-2</v>
      </c>
    </row>
    <row r="8" spans="1:19">
      <c r="A8" s="886">
        <f>'OCS Sch 1 CC &amp; Energy Charge'!A12</f>
        <v>200</v>
      </c>
      <c r="B8" s="886"/>
      <c r="C8" s="916">
        <f>'OCS Sch 1 CC &amp; Energy Charge'!G12</f>
        <v>1</v>
      </c>
      <c r="D8" s="887">
        <f>'OCS Sch 1 CC &amp; Energy Charge'!M12</f>
        <v>0.23000000000000043</v>
      </c>
      <c r="E8" s="887">
        <f t="shared" si="0"/>
        <v>1.2300000000000004</v>
      </c>
      <c r="F8" s="888">
        <f>'OCS Sch 1 CC &amp; Energy Charge'!C12</f>
        <v>5</v>
      </c>
      <c r="G8" s="888">
        <f>'OCS Sch 1 CC &amp; Energy Charge'!E12</f>
        <v>6</v>
      </c>
      <c r="H8" s="889">
        <f>'OCS Sch 1 CC &amp; Energy Charge'!I12</f>
        <v>19.649999999999999</v>
      </c>
      <c r="I8" s="887">
        <f>'OCS Sch 1 CC &amp; Energy Charge'!K12</f>
        <v>19.88</v>
      </c>
      <c r="J8" s="890">
        <f t="shared" ref="J8:J25" si="1">ROUND(((I8+G8)/(H8+F8)-1),3)</f>
        <v>0.05</v>
      </c>
      <c r="K8" s="887">
        <f>'OCS Sch 1 CC &amp; Energy Charge'!G12</f>
        <v>1</v>
      </c>
      <c r="L8" s="887">
        <f>'OCS Sch 1 CC &amp; Energy Charge'!U12</f>
        <v>0.23000000000000043</v>
      </c>
      <c r="M8" s="887">
        <f t="shared" ref="M8:M25" si="2">K8+L8</f>
        <v>1.2300000000000004</v>
      </c>
      <c r="N8" s="887">
        <f>'OCS Sch 1 CC &amp; Energy Charge'!C12</f>
        <v>5</v>
      </c>
      <c r="O8" s="887">
        <f>'OCS Sch 1 CC &amp; Energy Charge'!E12</f>
        <v>6</v>
      </c>
      <c r="P8" s="887">
        <f>'OCS Sch 1 CC &amp; Energy Charge'!Q12</f>
        <v>19.649999999999999</v>
      </c>
      <c r="Q8" s="887">
        <f>'OCS Sch 1 CC &amp; Energy Charge'!S12</f>
        <v>19.88</v>
      </c>
      <c r="R8" s="890">
        <f t="shared" ref="R8:R25" si="3">ROUND(((Q8+O8)/(P8+N8)-1),3)</f>
        <v>0.05</v>
      </c>
      <c r="S8" s="890">
        <f t="shared" ref="S8:S30" si="4">((5/12)*J8)+((7/12)*R8)</f>
        <v>0.05</v>
      </c>
    </row>
    <row r="9" spans="1:19">
      <c r="A9" s="886">
        <f>'OCS Sch 1 CC &amp; Energy Charge'!A13</f>
        <v>300</v>
      </c>
      <c r="B9" s="886"/>
      <c r="C9" s="916">
        <f>'OCS Sch 1 CC &amp; Energy Charge'!G13</f>
        <v>1</v>
      </c>
      <c r="D9" s="887">
        <f>'OCS Sch 1 CC &amp; Energy Charge'!M13</f>
        <v>0.35000000000000142</v>
      </c>
      <c r="E9" s="887">
        <f t="shared" si="0"/>
        <v>1.3500000000000014</v>
      </c>
      <c r="F9" s="888">
        <f>'OCS Sch 1 CC &amp; Energy Charge'!C13</f>
        <v>5</v>
      </c>
      <c r="G9" s="888">
        <f>'OCS Sch 1 CC &amp; Energy Charge'!E13</f>
        <v>6</v>
      </c>
      <c r="H9" s="889">
        <f>'OCS Sch 1 CC &amp; Energy Charge'!I13</f>
        <v>29.34</v>
      </c>
      <c r="I9" s="887">
        <f>'OCS Sch 1 CC &amp; Energy Charge'!K13</f>
        <v>29.69</v>
      </c>
      <c r="J9" s="890">
        <f t="shared" si="1"/>
        <v>3.9E-2</v>
      </c>
      <c r="K9" s="887">
        <f>'OCS Sch 1 CC &amp; Energy Charge'!G13</f>
        <v>1</v>
      </c>
      <c r="L9" s="887">
        <f>'OCS Sch 1 CC &amp; Energy Charge'!U13</f>
        <v>0.35000000000000142</v>
      </c>
      <c r="M9" s="887">
        <f t="shared" si="2"/>
        <v>1.3500000000000014</v>
      </c>
      <c r="N9" s="887">
        <f>'OCS Sch 1 CC &amp; Energy Charge'!C13</f>
        <v>5</v>
      </c>
      <c r="O9" s="887">
        <f>'OCS Sch 1 CC &amp; Energy Charge'!E13</f>
        <v>6</v>
      </c>
      <c r="P9" s="887">
        <f>'OCS Sch 1 CC &amp; Energy Charge'!Q13</f>
        <v>29.34</v>
      </c>
      <c r="Q9" s="887">
        <f>'OCS Sch 1 CC &amp; Energy Charge'!S13</f>
        <v>29.69</v>
      </c>
      <c r="R9" s="890">
        <f t="shared" si="3"/>
        <v>3.9E-2</v>
      </c>
      <c r="S9" s="890">
        <f t="shared" si="4"/>
        <v>3.9000000000000007E-2</v>
      </c>
    </row>
    <row r="10" spans="1:19">
      <c r="A10" s="886">
        <f>'OCS Sch 1 CC &amp; Energy Charge'!A14</f>
        <v>400</v>
      </c>
      <c r="B10" s="886"/>
      <c r="C10" s="916">
        <f>'OCS Sch 1 CC &amp; Energy Charge'!G14</f>
        <v>1</v>
      </c>
      <c r="D10" s="887">
        <f>'OCS Sch 1 CC &amp; Energy Charge'!M14</f>
        <v>0.46999999999999886</v>
      </c>
      <c r="E10" s="887">
        <f t="shared" si="0"/>
        <v>1.4699999999999989</v>
      </c>
      <c r="F10" s="888">
        <f>'OCS Sch 1 CC &amp; Energy Charge'!C14</f>
        <v>5</v>
      </c>
      <c r="G10" s="888">
        <f>'OCS Sch 1 CC &amp; Energy Charge'!E14</f>
        <v>6</v>
      </c>
      <c r="H10" s="889">
        <f>'OCS Sch 1 CC &amp; Energy Charge'!I14</f>
        <v>39.03</v>
      </c>
      <c r="I10" s="887">
        <f>'OCS Sch 1 CC &amp; Energy Charge'!K14</f>
        <v>39.5</v>
      </c>
      <c r="J10" s="890">
        <f t="shared" si="1"/>
        <v>3.3000000000000002E-2</v>
      </c>
      <c r="K10" s="887">
        <f>'OCS Sch 1 CC &amp; Energy Charge'!G14</f>
        <v>1</v>
      </c>
      <c r="L10" s="887">
        <f>'OCS Sch 1 CC &amp; Energy Charge'!U14</f>
        <v>0.46999999999999886</v>
      </c>
      <c r="M10" s="887">
        <f t="shared" si="2"/>
        <v>1.4699999999999989</v>
      </c>
      <c r="N10" s="887">
        <f>'OCS Sch 1 CC &amp; Energy Charge'!C14</f>
        <v>5</v>
      </c>
      <c r="O10" s="887">
        <f>'OCS Sch 1 CC &amp; Energy Charge'!E14</f>
        <v>6</v>
      </c>
      <c r="P10" s="887">
        <f>'OCS Sch 1 CC &amp; Energy Charge'!Q14</f>
        <v>39.03</v>
      </c>
      <c r="Q10" s="887">
        <f>'OCS Sch 1 CC &amp; Energy Charge'!S14</f>
        <v>39.5</v>
      </c>
      <c r="R10" s="890">
        <f t="shared" si="3"/>
        <v>3.3000000000000002E-2</v>
      </c>
      <c r="S10" s="890">
        <f t="shared" si="4"/>
        <v>3.3000000000000002E-2</v>
      </c>
    </row>
    <row r="11" spans="1:19">
      <c r="A11" s="886">
        <f>'OCS Sch 1 CC &amp; Energy Charge'!A15</f>
        <v>500</v>
      </c>
      <c r="B11" s="886"/>
      <c r="C11" s="916">
        <f>'OCS Sch 1 CC &amp; Energy Charge'!G15</f>
        <v>1</v>
      </c>
      <c r="D11" s="887">
        <f>'OCS Sch 1 CC &amp; Energy Charge'!M15</f>
        <v>0.62000000000000455</v>
      </c>
      <c r="E11" s="887">
        <f t="shared" si="0"/>
        <v>1.6200000000000045</v>
      </c>
      <c r="F11" s="888">
        <f>'OCS Sch 1 CC &amp; Energy Charge'!C15</f>
        <v>5</v>
      </c>
      <c r="G11" s="888">
        <f>'OCS Sch 1 CC &amp; Energy Charge'!E15</f>
        <v>6</v>
      </c>
      <c r="H11" s="889">
        <f>'OCS Sch 1 CC &amp; Energy Charge'!I15</f>
        <v>51.65</v>
      </c>
      <c r="I11" s="887">
        <f>'OCS Sch 1 CC &amp; Energy Charge'!K15</f>
        <v>52.27</v>
      </c>
      <c r="J11" s="890">
        <f t="shared" si="1"/>
        <v>2.9000000000000001E-2</v>
      </c>
      <c r="K11" s="887">
        <f>'OCS Sch 1 CC &amp; Energy Charge'!G15</f>
        <v>1</v>
      </c>
      <c r="L11" s="887">
        <f>'OCS Sch 1 CC &amp; Energy Charge'!U15</f>
        <v>1</v>
      </c>
      <c r="M11" s="887">
        <f t="shared" si="2"/>
        <v>2</v>
      </c>
      <c r="N11" s="887">
        <f>'OCS Sch 1 CC &amp; Energy Charge'!C15</f>
        <v>5</v>
      </c>
      <c r="O11" s="887">
        <f>'OCS Sch 1 CC &amp; Energy Charge'!E15</f>
        <v>6</v>
      </c>
      <c r="P11" s="887">
        <f>'OCS Sch 1 CC &amp; Energy Charge'!Q15</f>
        <v>49.86</v>
      </c>
      <c r="Q11" s="887">
        <f>'OCS Sch 1 CC &amp; Energy Charge'!S15</f>
        <v>50.86</v>
      </c>
      <c r="R11" s="890">
        <f t="shared" si="3"/>
        <v>3.5999999999999997E-2</v>
      </c>
      <c r="S11" s="890">
        <f t="shared" si="4"/>
        <v>3.308333333333334E-2</v>
      </c>
    </row>
    <row r="12" spans="1:19">
      <c r="A12" s="886">
        <f>'OCS Sch 1 CC &amp; Energy Charge'!A16</f>
        <v>600</v>
      </c>
      <c r="B12" s="886"/>
      <c r="C12" s="916">
        <f>'OCS Sch 1 CC &amp; Energy Charge'!G16</f>
        <v>1</v>
      </c>
      <c r="D12" s="887">
        <f>'OCS Sch 1 CC &amp; Energy Charge'!M16</f>
        <v>0.77000000000001023</v>
      </c>
      <c r="E12" s="887">
        <f t="shared" si="0"/>
        <v>1.7700000000000102</v>
      </c>
      <c r="F12" s="888">
        <f>'OCS Sch 1 CC &amp; Energy Charge'!C16</f>
        <v>5</v>
      </c>
      <c r="G12" s="888">
        <f>'OCS Sch 1 CC &amp; Energy Charge'!E16</f>
        <v>6</v>
      </c>
      <c r="H12" s="889">
        <f>'OCS Sch 1 CC &amp; Energy Charge'!I16</f>
        <v>64.27</v>
      </c>
      <c r="I12" s="887">
        <f>'OCS Sch 1 CC &amp; Energy Charge'!K16</f>
        <v>65.040000000000006</v>
      </c>
      <c r="J12" s="890">
        <f t="shared" si="1"/>
        <v>2.5999999999999999E-2</v>
      </c>
      <c r="K12" s="887">
        <f>'OCS Sch 1 CC &amp; Energy Charge'!G16</f>
        <v>1</v>
      </c>
      <c r="L12" s="887">
        <f>'OCS Sch 1 CC &amp; Energy Charge'!U16</f>
        <v>1.5499999999999972</v>
      </c>
      <c r="M12" s="887">
        <f t="shared" si="2"/>
        <v>2.5499999999999972</v>
      </c>
      <c r="N12" s="887">
        <f>'OCS Sch 1 CC &amp; Energy Charge'!C16</f>
        <v>5</v>
      </c>
      <c r="O12" s="887">
        <f>'OCS Sch 1 CC &amp; Energy Charge'!E16</f>
        <v>6</v>
      </c>
      <c r="P12" s="887">
        <f>'OCS Sch 1 CC &amp; Energy Charge'!Q16</f>
        <v>60.68</v>
      </c>
      <c r="Q12" s="887">
        <f>'OCS Sch 1 CC &amp; Energy Charge'!S16</f>
        <v>62.23</v>
      </c>
      <c r="R12" s="890">
        <f t="shared" si="3"/>
        <v>3.9E-2</v>
      </c>
      <c r="S12" s="890">
        <f t="shared" si="4"/>
        <v>3.358333333333334E-2</v>
      </c>
    </row>
    <row r="13" spans="1:19">
      <c r="A13" s="886">
        <f>'OCS Sch 1 CC &amp; Energy Charge'!A19</f>
        <v>700</v>
      </c>
      <c r="B13" s="886"/>
      <c r="C13" s="916">
        <f>'OCS Sch 1 CC &amp; Energy Charge'!G19</f>
        <v>1</v>
      </c>
      <c r="D13" s="887">
        <f>'OCS Sch 1 CC &amp; Energy Charge'!M19</f>
        <v>0.92000000000000171</v>
      </c>
      <c r="E13" s="887">
        <f t="shared" ref="E13" si="5">C13+D13</f>
        <v>1.9200000000000017</v>
      </c>
      <c r="F13" s="888">
        <f>'OCS Sch 1 CC &amp; Energy Charge'!C19</f>
        <v>5</v>
      </c>
      <c r="G13" s="888">
        <f>'OCS Sch 1 CC &amp; Energy Charge'!E19</f>
        <v>6</v>
      </c>
      <c r="H13" s="889">
        <f>'OCS Sch 1 CC &amp; Energy Charge'!I19</f>
        <v>76.89</v>
      </c>
      <c r="I13" s="887">
        <f>'OCS Sch 1 CC &amp; Energy Charge'!K19</f>
        <v>77.81</v>
      </c>
      <c r="J13" s="890">
        <f t="shared" ref="J13" si="6">ROUND(((I13+G13)/(H13+F13)-1),3)</f>
        <v>2.3E-2</v>
      </c>
      <c r="K13" s="887">
        <f>'OCS Sch 1 CC &amp; Energy Charge'!G19</f>
        <v>1</v>
      </c>
      <c r="L13" s="887">
        <f>'OCS Sch 1 CC &amp; Energy Charge'!U19</f>
        <v>2.0900000000000034</v>
      </c>
      <c r="M13" s="887">
        <f t="shared" ref="M13" si="7">K13+L13</f>
        <v>3.0900000000000034</v>
      </c>
      <c r="N13" s="887">
        <f>'OCS Sch 1 CC &amp; Energy Charge'!C19</f>
        <v>5</v>
      </c>
      <c r="O13" s="887">
        <f>'OCS Sch 1 CC &amp; Energy Charge'!E19</f>
        <v>6</v>
      </c>
      <c r="P13" s="887">
        <f>'OCS Sch 1 CC &amp; Energy Charge'!Q19</f>
        <v>71.5</v>
      </c>
      <c r="Q13" s="887">
        <f>'OCS Sch 1 CC &amp; Energy Charge'!S19</f>
        <v>73.59</v>
      </c>
      <c r="R13" s="890">
        <f t="shared" ref="R13" si="8">ROUND(((Q13+O13)/(P13+N13)-1),3)</f>
        <v>0.04</v>
      </c>
      <c r="S13" s="890">
        <f t="shared" ref="S13" si="9">((5/12)*J13)+((7/12)*R13)</f>
        <v>3.291666666666667E-2</v>
      </c>
    </row>
    <row r="14" spans="1:19">
      <c r="A14" s="886">
        <f>'OCS Sch 1 CC &amp; Energy Charge'!A21</f>
        <v>800</v>
      </c>
      <c r="B14" s="886"/>
      <c r="C14" s="916">
        <f>'OCS Sch 1 CC &amp; Energy Charge'!G21</f>
        <v>1</v>
      </c>
      <c r="D14" s="887">
        <f>'OCS Sch 1 CC &amp; Energy Charge'!M21</f>
        <v>1.0699999999999932</v>
      </c>
      <c r="E14" s="887">
        <f t="shared" ref="E14" si="10">C14+D14</f>
        <v>2.0699999999999932</v>
      </c>
      <c r="F14" s="888">
        <f>'OCS Sch 1 CC &amp; Energy Charge'!C21</f>
        <v>5</v>
      </c>
      <c r="G14" s="888">
        <f>'OCS Sch 1 CC &amp; Energy Charge'!E21</f>
        <v>6</v>
      </c>
      <c r="H14" s="889">
        <f>'OCS Sch 1 CC &amp; Energy Charge'!I21</f>
        <v>89.51</v>
      </c>
      <c r="I14" s="887">
        <f>'OCS Sch 1 CC &amp; Energy Charge'!K21</f>
        <v>90.58</v>
      </c>
      <c r="J14" s="890">
        <f t="shared" ref="J14" si="11">ROUND(((I14+G14)/(H14+F14)-1),3)</f>
        <v>2.1999999999999999E-2</v>
      </c>
      <c r="K14" s="887">
        <f>'OCS Sch 1 CC &amp; Energy Charge'!G21</f>
        <v>1</v>
      </c>
      <c r="L14" s="887">
        <f>'OCS Sch 1 CC &amp; Energy Charge'!U21</f>
        <v>2.6200000000000045</v>
      </c>
      <c r="M14" s="887">
        <f t="shared" ref="M14" si="12">K14+L14</f>
        <v>3.6200000000000045</v>
      </c>
      <c r="N14" s="887">
        <f>'OCS Sch 1 CC &amp; Energy Charge'!C21</f>
        <v>5</v>
      </c>
      <c r="O14" s="887">
        <f>'OCS Sch 1 CC &amp; Energy Charge'!E21</f>
        <v>6</v>
      </c>
      <c r="P14" s="887">
        <f>'OCS Sch 1 CC &amp; Energy Charge'!Q21</f>
        <v>82.33</v>
      </c>
      <c r="Q14" s="887">
        <f>'OCS Sch 1 CC &amp; Energy Charge'!S21</f>
        <v>84.95</v>
      </c>
      <c r="R14" s="890">
        <f t="shared" ref="R14" si="13">ROUND(((Q14+O14)/(P14+N14)-1),3)</f>
        <v>4.1000000000000002E-2</v>
      </c>
      <c r="S14" s="890">
        <f t="shared" ref="S14" si="14">((5/12)*J14)+((7/12)*R14)</f>
        <v>3.308333333333334E-2</v>
      </c>
    </row>
    <row r="15" spans="1:19">
      <c r="A15" s="886">
        <f>'OCS Sch 1 CC &amp; Energy Charge'!A22</f>
        <v>900</v>
      </c>
      <c r="B15" s="886"/>
      <c r="C15" s="916">
        <f>'OCS Sch 1 CC &amp; Energy Charge'!G22</f>
        <v>1</v>
      </c>
      <c r="D15" s="887">
        <f>'OCS Sch 1 CC &amp; Energy Charge'!M22</f>
        <v>1.2199999999999989</v>
      </c>
      <c r="E15" s="887">
        <f t="shared" si="0"/>
        <v>2.2199999999999989</v>
      </c>
      <c r="F15" s="888">
        <f>'OCS Sch 1 CC &amp; Energy Charge'!C22</f>
        <v>5</v>
      </c>
      <c r="G15" s="888">
        <f>'OCS Sch 1 CC &amp; Energy Charge'!E22</f>
        <v>6</v>
      </c>
      <c r="H15" s="889">
        <f>'OCS Sch 1 CC &amp; Energy Charge'!I22</f>
        <v>102.13</v>
      </c>
      <c r="I15" s="887">
        <f>'OCS Sch 1 CC &amp; Energy Charge'!K22</f>
        <v>103.35</v>
      </c>
      <c r="J15" s="890">
        <f t="shared" si="1"/>
        <v>2.1000000000000001E-2</v>
      </c>
      <c r="K15" s="887">
        <f>'OCS Sch 1 CC &amp; Energy Charge'!G22</f>
        <v>1</v>
      </c>
      <c r="L15" s="887">
        <f>'OCS Sch 1 CC &amp; Energy Charge'!U22</f>
        <v>3.1699999999999875</v>
      </c>
      <c r="M15" s="887">
        <f t="shared" si="2"/>
        <v>4.1699999999999875</v>
      </c>
      <c r="N15" s="887">
        <f>'OCS Sch 1 CC &amp; Energy Charge'!C22</f>
        <v>5</v>
      </c>
      <c r="O15" s="887">
        <f>'OCS Sch 1 CC &amp; Energy Charge'!E22</f>
        <v>6</v>
      </c>
      <c r="P15" s="887">
        <f>'OCS Sch 1 CC &amp; Energy Charge'!Q22</f>
        <v>93.15</v>
      </c>
      <c r="Q15" s="887">
        <f>'OCS Sch 1 CC &amp; Energy Charge'!S22</f>
        <v>96.32</v>
      </c>
      <c r="R15" s="890">
        <f t="shared" si="3"/>
        <v>4.2000000000000003E-2</v>
      </c>
      <c r="S15" s="890">
        <f t="shared" si="4"/>
        <v>3.3250000000000002E-2</v>
      </c>
    </row>
    <row r="16" spans="1:19">
      <c r="A16" s="886">
        <f>'OCS Sch 1 CC &amp; Energy Charge'!A23</f>
        <v>1000</v>
      </c>
      <c r="B16" s="886"/>
      <c r="C16" s="916">
        <f>'OCS Sch 1 CC &amp; Energy Charge'!G23</f>
        <v>1</v>
      </c>
      <c r="D16" s="887">
        <f>'OCS Sch 1 CC &amp; Energy Charge'!M23</f>
        <v>1.3799999999999955</v>
      </c>
      <c r="E16" s="887">
        <f t="shared" si="0"/>
        <v>2.3799999999999955</v>
      </c>
      <c r="F16" s="888">
        <f>'OCS Sch 1 CC &amp; Energy Charge'!C23</f>
        <v>5</v>
      </c>
      <c r="G16" s="888">
        <f>'OCS Sch 1 CC &amp; Energy Charge'!E23</f>
        <v>6</v>
      </c>
      <c r="H16" s="889">
        <f>'OCS Sch 1 CC &amp; Energy Charge'!I23</f>
        <v>114.75</v>
      </c>
      <c r="I16" s="887">
        <f>'OCS Sch 1 CC &amp; Energy Charge'!K23</f>
        <v>116.13</v>
      </c>
      <c r="J16" s="890">
        <f t="shared" si="1"/>
        <v>0.02</v>
      </c>
      <c r="K16" s="887">
        <f>'OCS Sch 1 CC &amp; Energy Charge'!G23</f>
        <v>1</v>
      </c>
      <c r="L16" s="887">
        <f>'OCS Sch 1 CC &amp; Energy Charge'!U23</f>
        <v>3.7000000000000028</v>
      </c>
      <c r="M16" s="887">
        <f t="shared" si="2"/>
        <v>4.7000000000000028</v>
      </c>
      <c r="N16" s="887">
        <f>'OCS Sch 1 CC &amp; Energy Charge'!C23</f>
        <v>5</v>
      </c>
      <c r="O16" s="887">
        <f>'OCS Sch 1 CC &amp; Energy Charge'!E23</f>
        <v>6</v>
      </c>
      <c r="P16" s="887">
        <f>'OCS Sch 1 CC &amp; Energy Charge'!Q23</f>
        <v>103.98</v>
      </c>
      <c r="Q16" s="887">
        <f>'OCS Sch 1 CC &amp; Energy Charge'!S23</f>
        <v>107.68</v>
      </c>
      <c r="R16" s="890">
        <f t="shared" si="3"/>
        <v>4.2999999999999997E-2</v>
      </c>
      <c r="S16" s="890">
        <f t="shared" si="4"/>
        <v>3.3416666666666664E-2</v>
      </c>
    </row>
    <row r="17" spans="1:19">
      <c r="A17" s="886">
        <f>'OCS Sch 1 CC &amp; Energy Charge'!A24</f>
        <v>1100</v>
      </c>
      <c r="B17" s="886"/>
      <c r="C17" s="916">
        <f>'OCS Sch 1 CC &amp; Energy Charge'!G24</f>
        <v>1</v>
      </c>
      <c r="D17" s="887">
        <f>'OCS Sch 1 CC &amp; Energy Charge'!M24</f>
        <v>1.5699999999999932</v>
      </c>
      <c r="E17" s="887">
        <f t="shared" si="0"/>
        <v>2.5699999999999932</v>
      </c>
      <c r="F17" s="888">
        <f>'OCS Sch 1 CC &amp; Energy Charge'!C24</f>
        <v>5</v>
      </c>
      <c r="G17" s="888">
        <f>'OCS Sch 1 CC &amp; Energy Charge'!E24</f>
        <v>6</v>
      </c>
      <c r="H17" s="889">
        <f>'OCS Sch 1 CC &amp; Energy Charge'!I24</f>
        <v>130.52000000000001</v>
      </c>
      <c r="I17" s="887">
        <f>'OCS Sch 1 CC &amp; Energy Charge'!K24</f>
        <v>132.09</v>
      </c>
      <c r="J17" s="890">
        <f t="shared" si="1"/>
        <v>1.9E-2</v>
      </c>
      <c r="K17" s="887">
        <f>'OCS Sch 1 CC &amp; Energy Charge'!G24</f>
        <v>1</v>
      </c>
      <c r="L17" s="887">
        <f>'OCS Sch 1 CC &amp; Energy Charge'!U24</f>
        <v>4.2400000000000091</v>
      </c>
      <c r="M17" s="887">
        <f t="shared" si="2"/>
        <v>5.2400000000000091</v>
      </c>
      <c r="N17" s="887">
        <f>'OCS Sch 1 CC &amp; Energy Charge'!C24</f>
        <v>5</v>
      </c>
      <c r="O17" s="887">
        <f>'OCS Sch 1 CC &amp; Energy Charge'!E24</f>
        <v>6</v>
      </c>
      <c r="P17" s="887">
        <f>'OCS Sch 1 CC &amp; Energy Charge'!Q24</f>
        <v>114.8</v>
      </c>
      <c r="Q17" s="887">
        <f>'OCS Sch 1 CC &amp; Energy Charge'!S24</f>
        <v>119.04</v>
      </c>
      <c r="R17" s="890">
        <f t="shared" si="3"/>
        <v>4.3999999999999997E-2</v>
      </c>
      <c r="S17" s="890">
        <f t="shared" si="4"/>
        <v>3.3583333333333333E-2</v>
      </c>
    </row>
    <row r="18" spans="1:19">
      <c r="A18" s="886">
        <f>'OCS Sch 1 CC &amp; Energy Charge'!A25</f>
        <v>1200</v>
      </c>
      <c r="B18" s="886"/>
      <c r="C18" s="916">
        <f>'OCS Sch 1 CC &amp; Energy Charge'!G25</f>
        <v>1</v>
      </c>
      <c r="D18" s="887">
        <f>'OCS Sch 1 CC &amp; Energy Charge'!M25</f>
        <v>1.7599999999999909</v>
      </c>
      <c r="E18" s="887">
        <f t="shared" si="0"/>
        <v>2.7599999999999909</v>
      </c>
      <c r="F18" s="888">
        <f>'OCS Sch 1 CC &amp; Energy Charge'!C25</f>
        <v>5</v>
      </c>
      <c r="G18" s="888">
        <f>'OCS Sch 1 CC &amp; Energy Charge'!E25</f>
        <v>6</v>
      </c>
      <c r="H18" s="889">
        <f>'OCS Sch 1 CC &amp; Energy Charge'!I25</f>
        <v>146.30000000000001</v>
      </c>
      <c r="I18" s="887">
        <f>'OCS Sch 1 CC &amp; Energy Charge'!K25</f>
        <v>148.06</v>
      </c>
      <c r="J18" s="890">
        <f t="shared" si="1"/>
        <v>1.7999999999999999E-2</v>
      </c>
      <c r="K18" s="887">
        <f>'OCS Sch 1 CC &amp; Energy Charge'!G25</f>
        <v>1</v>
      </c>
      <c r="L18" s="887">
        <f>'OCS Sch 1 CC &amp; Energy Charge'!U25</f>
        <v>4.7800000000000011</v>
      </c>
      <c r="M18" s="887">
        <f t="shared" si="2"/>
        <v>5.7800000000000011</v>
      </c>
      <c r="N18" s="887">
        <f>'OCS Sch 1 CC &amp; Energy Charge'!C25</f>
        <v>5</v>
      </c>
      <c r="O18" s="887">
        <f>'OCS Sch 1 CC &amp; Energy Charge'!E25</f>
        <v>6</v>
      </c>
      <c r="P18" s="887">
        <f>'OCS Sch 1 CC &amp; Energy Charge'!Q25</f>
        <v>125.63</v>
      </c>
      <c r="Q18" s="887">
        <f>'OCS Sch 1 CC &amp; Energy Charge'!S25</f>
        <v>130.41</v>
      </c>
      <c r="R18" s="890">
        <f t="shared" si="3"/>
        <v>4.3999999999999997E-2</v>
      </c>
      <c r="S18" s="890">
        <f t="shared" si="4"/>
        <v>3.3166666666666664E-2</v>
      </c>
    </row>
    <row r="19" spans="1:19">
      <c r="A19" s="886">
        <f>'OCS Sch 1 CC &amp; Energy Charge'!A26</f>
        <v>1300</v>
      </c>
      <c r="B19" s="886"/>
      <c r="C19" s="916">
        <f>'OCS Sch 1 CC &amp; Energy Charge'!G26</f>
        <v>1</v>
      </c>
      <c r="D19" s="887">
        <f>'OCS Sch 1 CC &amp; Energy Charge'!M26</f>
        <v>1.9499999999999886</v>
      </c>
      <c r="E19" s="887">
        <f t="shared" si="0"/>
        <v>2.9499999999999886</v>
      </c>
      <c r="F19" s="888">
        <f>'OCS Sch 1 CC &amp; Energy Charge'!C26</f>
        <v>5</v>
      </c>
      <c r="G19" s="888">
        <f>'OCS Sch 1 CC &amp; Energy Charge'!E26</f>
        <v>6</v>
      </c>
      <c r="H19" s="889">
        <f>'OCS Sch 1 CC &amp; Energy Charge'!I26</f>
        <v>162.08000000000001</v>
      </c>
      <c r="I19" s="887">
        <f>'OCS Sch 1 CC &amp; Energy Charge'!K26</f>
        <v>164.03</v>
      </c>
      <c r="J19" s="890">
        <f t="shared" si="1"/>
        <v>1.7999999999999999E-2</v>
      </c>
      <c r="K19" s="887">
        <f>'OCS Sch 1 CC &amp; Energy Charge'!G26</f>
        <v>1</v>
      </c>
      <c r="L19" s="887">
        <f>'OCS Sch 1 CC &amp; Energy Charge'!U26</f>
        <v>5.3200000000000216</v>
      </c>
      <c r="M19" s="887">
        <f t="shared" si="2"/>
        <v>6.3200000000000216</v>
      </c>
      <c r="N19" s="887">
        <f>'OCS Sch 1 CC &amp; Energy Charge'!C26</f>
        <v>5</v>
      </c>
      <c r="O19" s="887">
        <f>'OCS Sch 1 CC &amp; Energy Charge'!E26</f>
        <v>6</v>
      </c>
      <c r="P19" s="887">
        <f>'OCS Sch 1 CC &amp; Energy Charge'!Q26</f>
        <v>136.44999999999999</v>
      </c>
      <c r="Q19" s="887">
        <f>'OCS Sch 1 CC &amp; Energy Charge'!S26</f>
        <v>141.77000000000001</v>
      </c>
      <c r="R19" s="890">
        <f t="shared" si="3"/>
        <v>4.4999999999999998E-2</v>
      </c>
      <c r="S19" s="890">
        <f t="shared" si="4"/>
        <v>3.3750000000000002E-2</v>
      </c>
    </row>
    <row r="20" spans="1:19">
      <c r="A20" s="886">
        <f>'OCS Sch 1 CC &amp; Energy Charge'!A27</f>
        <v>1400</v>
      </c>
      <c r="B20" s="886"/>
      <c r="C20" s="916">
        <f>'OCS Sch 1 CC &amp; Energy Charge'!G27</f>
        <v>1</v>
      </c>
      <c r="D20" s="887">
        <f>'OCS Sch 1 CC &amp; Energy Charge'!M27</f>
        <v>2.1299999999999955</v>
      </c>
      <c r="E20" s="887">
        <f t="shared" si="0"/>
        <v>3.1299999999999955</v>
      </c>
      <c r="F20" s="888">
        <f>'OCS Sch 1 CC &amp; Energy Charge'!C27</f>
        <v>5</v>
      </c>
      <c r="G20" s="888">
        <f>'OCS Sch 1 CC &amp; Energy Charge'!E27</f>
        <v>6</v>
      </c>
      <c r="H20" s="889">
        <f>'OCS Sch 1 CC &amp; Energy Charge'!I27</f>
        <v>177.86</v>
      </c>
      <c r="I20" s="887">
        <f>'OCS Sch 1 CC &amp; Energy Charge'!K27</f>
        <v>179.99</v>
      </c>
      <c r="J20" s="890">
        <f t="shared" si="1"/>
        <v>1.7000000000000001E-2</v>
      </c>
      <c r="K20" s="887">
        <f>'OCS Sch 1 CC &amp; Energy Charge'!G27</f>
        <v>1</v>
      </c>
      <c r="L20" s="887">
        <f>'OCS Sch 1 CC &amp; Energy Charge'!U27</f>
        <v>5.8599999999999852</v>
      </c>
      <c r="M20" s="887">
        <f t="shared" si="2"/>
        <v>6.8599999999999852</v>
      </c>
      <c r="N20" s="887">
        <f>'OCS Sch 1 CC &amp; Energy Charge'!C27</f>
        <v>5</v>
      </c>
      <c r="O20" s="887">
        <f>'OCS Sch 1 CC &amp; Energy Charge'!E27</f>
        <v>6</v>
      </c>
      <c r="P20" s="887">
        <f>'OCS Sch 1 CC &amp; Energy Charge'!Q27</f>
        <v>147.28</v>
      </c>
      <c r="Q20" s="887">
        <f>'OCS Sch 1 CC &amp; Energy Charge'!S27</f>
        <v>153.13999999999999</v>
      </c>
      <c r="R20" s="890">
        <f t="shared" si="3"/>
        <v>4.4999999999999998E-2</v>
      </c>
      <c r="S20" s="890">
        <f t="shared" si="4"/>
        <v>3.3333333333333333E-2</v>
      </c>
    </row>
    <row r="21" spans="1:19">
      <c r="A21" s="886">
        <f>'OCS Sch 1 CC &amp; Energy Charge'!A28</f>
        <v>1500</v>
      </c>
      <c r="B21" s="886"/>
      <c r="C21" s="916">
        <f>'OCS Sch 1 CC &amp; Energy Charge'!G28</f>
        <v>1</v>
      </c>
      <c r="D21" s="887">
        <f>'OCS Sch 1 CC &amp; Energy Charge'!M28</f>
        <v>2.3200000000000216</v>
      </c>
      <c r="E21" s="887">
        <f t="shared" si="0"/>
        <v>3.3200000000000216</v>
      </c>
      <c r="F21" s="888">
        <f>'OCS Sch 1 CC &amp; Energy Charge'!C28</f>
        <v>5</v>
      </c>
      <c r="G21" s="888">
        <f>'OCS Sch 1 CC &amp; Energy Charge'!E28</f>
        <v>6</v>
      </c>
      <c r="H21" s="889">
        <f>'OCS Sch 1 CC &amp; Energy Charge'!I28</f>
        <v>193.64</v>
      </c>
      <c r="I21" s="887">
        <f>'OCS Sch 1 CC &amp; Energy Charge'!K28</f>
        <v>195.96</v>
      </c>
      <c r="J21" s="890">
        <f t="shared" si="1"/>
        <v>1.7000000000000001E-2</v>
      </c>
      <c r="K21" s="887">
        <f>'OCS Sch 1 CC &amp; Energy Charge'!G28</f>
        <v>1</v>
      </c>
      <c r="L21" s="887">
        <f>'OCS Sch 1 CC &amp; Energy Charge'!U28</f>
        <v>6.4000000000000057</v>
      </c>
      <c r="M21" s="887">
        <f t="shared" si="2"/>
        <v>7.4000000000000057</v>
      </c>
      <c r="N21" s="887">
        <f>'OCS Sch 1 CC &amp; Energy Charge'!C28</f>
        <v>5</v>
      </c>
      <c r="O21" s="887">
        <f>'OCS Sch 1 CC &amp; Energy Charge'!E28</f>
        <v>6</v>
      </c>
      <c r="P21" s="887">
        <f>'OCS Sch 1 CC &amp; Energy Charge'!Q28</f>
        <v>158.1</v>
      </c>
      <c r="Q21" s="887">
        <f>'OCS Sch 1 CC &amp; Energy Charge'!S28</f>
        <v>164.5</v>
      </c>
      <c r="R21" s="890">
        <f t="shared" si="3"/>
        <v>4.4999999999999998E-2</v>
      </c>
      <c r="S21" s="890">
        <f t="shared" si="4"/>
        <v>3.3333333333333333E-2</v>
      </c>
    </row>
    <row r="22" spans="1:19">
      <c r="A22" s="886">
        <f>'OCS Sch 1 CC &amp; Energy Charge'!A29</f>
        <v>2000</v>
      </c>
      <c r="B22" s="886"/>
      <c r="C22" s="916">
        <f>'OCS Sch 1 CC &amp; Energy Charge'!G29</f>
        <v>1</v>
      </c>
      <c r="D22" s="887">
        <f>'OCS Sch 1 CC &amp; Energy Charge'!M29</f>
        <v>3.2700000000000387</v>
      </c>
      <c r="E22" s="887">
        <f t="shared" si="0"/>
        <v>4.2700000000000387</v>
      </c>
      <c r="F22" s="888">
        <f>'OCS Sch 1 CC &amp; Energy Charge'!C29</f>
        <v>5</v>
      </c>
      <c r="G22" s="888">
        <f>'OCS Sch 1 CC &amp; Energy Charge'!E29</f>
        <v>6</v>
      </c>
      <c r="H22" s="889">
        <f>'OCS Sch 1 CC &amp; Energy Charge'!I29</f>
        <v>272.52999999999997</v>
      </c>
      <c r="I22" s="887">
        <f>'OCS Sch 1 CC &amp; Energy Charge'!K29</f>
        <v>275.8</v>
      </c>
      <c r="J22" s="890">
        <f t="shared" si="1"/>
        <v>1.4999999999999999E-2</v>
      </c>
      <c r="K22" s="887">
        <f>'OCS Sch 1 CC &amp; Energy Charge'!G29</f>
        <v>1</v>
      </c>
      <c r="L22" s="887">
        <f>'OCS Sch 1 CC &amp; Energy Charge'!U29</f>
        <v>9.0999999999999943</v>
      </c>
      <c r="M22" s="887">
        <f t="shared" si="2"/>
        <v>10.099999999999994</v>
      </c>
      <c r="N22" s="887">
        <f>'OCS Sch 1 CC &amp; Energy Charge'!C29</f>
        <v>5</v>
      </c>
      <c r="O22" s="887">
        <f>'OCS Sch 1 CC &amp; Energy Charge'!E29</f>
        <v>6</v>
      </c>
      <c r="P22" s="887">
        <f>'OCS Sch 1 CC &amp; Energy Charge'!Q29</f>
        <v>212.22</v>
      </c>
      <c r="Q22" s="887">
        <f>'OCS Sch 1 CC &amp; Energy Charge'!S29</f>
        <v>221.32</v>
      </c>
      <c r="R22" s="890">
        <f t="shared" si="3"/>
        <v>4.5999999999999999E-2</v>
      </c>
      <c r="S22" s="890">
        <f t="shared" si="4"/>
        <v>3.3083333333333333E-2</v>
      </c>
    </row>
    <row r="23" spans="1:19">
      <c r="A23" s="886">
        <f>'OCS Sch 1 CC &amp; Energy Charge'!A30</f>
        <v>3000</v>
      </c>
      <c r="B23" s="886"/>
      <c r="C23" s="916">
        <f>'OCS Sch 1 CC &amp; Energy Charge'!G30</f>
        <v>1</v>
      </c>
      <c r="D23" s="887">
        <f>'OCS Sch 1 CC &amp; Energy Charge'!M30</f>
        <v>5.1500000000000341</v>
      </c>
      <c r="E23" s="887">
        <f t="shared" si="0"/>
        <v>6.1500000000000341</v>
      </c>
      <c r="F23" s="888">
        <f>'OCS Sch 1 CC &amp; Energy Charge'!C30</f>
        <v>5</v>
      </c>
      <c r="G23" s="888">
        <f>'OCS Sch 1 CC &amp; Energy Charge'!E30</f>
        <v>6</v>
      </c>
      <c r="H23" s="889">
        <f>'OCS Sch 1 CC &amp; Energy Charge'!I30</f>
        <v>430.32</v>
      </c>
      <c r="I23" s="887">
        <f>'OCS Sch 1 CC &amp; Energy Charge'!K30</f>
        <v>435.47</v>
      </c>
      <c r="J23" s="890">
        <f t="shared" si="1"/>
        <v>1.4E-2</v>
      </c>
      <c r="K23" s="887">
        <f>'OCS Sch 1 CC &amp; Energy Charge'!G30</f>
        <v>1</v>
      </c>
      <c r="L23" s="887">
        <f>'OCS Sch 1 CC &amp; Energy Charge'!U30</f>
        <v>14.489999999999952</v>
      </c>
      <c r="M23" s="887">
        <f t="shared" si="2"/>
        <v>15.489999999999952</v>
      </c>
      <c r="N23" s="887">
        <f>'OCS Sch 1 CC &amp; Energy Charge'!C30</f>
        <v>5</v>
      </c>
      <c r="O23" s="887">
        <f>'OCS Sch 1 CC &amp; Energy Charge'!E30</f>
        <v>6</v>
      </c>
      <c r="P23" s="887">
        <f>'OCS Sch 1 CC &amp; Energy Charge'!Q30</f>
        <v>320.47000000000003</v>
      </c>
      <c r="Q23" s="887">
        <f>'OCS Sch 1 CC &amp; Energy Charge'!S30</f>
        <v>334.96</v>
      </c>
      <c r="R23" s="890">
        <f t="shared" si="3"/>
        <v>4.8000000000000001E-2</v>
      </c>
      <c r="S23" s="890">
        <f t="shared" si="4"/>
        <v>3.383333333333334E-2</v>
      </c>
    </row>
    <row r="24" spans="1:19">
      <c r="A24" s="886">
        <f>'OCS Sch 1 CC &amp; Energy Charge'!A31</f>
        <v>4000</v>
      </c>
      <c r="B24" s="886"/>
      <c r="C24" s="916">
        <f>'OCS Sch 1 CC &amp; Energy Charge'!G31</f>
        <v>1</v>
      </c>
      <c r="D24" s="887">
        <f>'OCS Sch 1 CC &amp; Energy Charge'!M31</f>
        <v>7.0399999999999636</v>
      </c>
      <c r="E24" s="887">
        <f t="shared" si="0"/>
        <v>8.0399999999999636</v>
      </c>
      <c r="F24" s="888">
        <f>'OCS Sch 1 CC &amp; Energy Charge'!C31</f>
        <v>5</v>
      </c>
      <c r="G24" s="888">
        <f>'OCS Sch 1 CC &amp; Energy Charge'!E31</f>
        <v>6</v>
      </c>
      <c r="H24" s="889">
        <f>'OCS Sch 1 CC &amp; Energy Charge'!I31</f>
        <v>588.1</v>
      </c>
      <c r="I24" s="887">
        <f>'OCS Sch 1 CC &amp; Energy Charge'!K31</f>
        <v>595.14</v>
      </c>
      <c r="J24" s="890">
        <f t="shared" si="1"/>
        <v>1.4E-2</v>
      </c>
      <c r="K24" s="887">
        <f>'OCS Sch 1 CC &amp; Energy Charge'!G31</f>
        <v>1</v>
      </c>
      <c r="L24" s="887">
        <f>'OCS Sch 1 CC &amp; Energy Charge'!U31</f>
        <v>19.879999999999995</v>
      </c>
      <c r="M24" s="887">
        <f t="shared" si="2"/>
        <v>20.879999999999995</v>
      </c>
      <c r="N24" s="887">
        <f>'OCS Sch 1 CC &amp; Energy Charge'!C31</f>
        <v>5</v>
      </c>
      <c r="O24" s="887">
        <f>'OCS Sch 1 CC &amp; Energy Charge'!E31</f>
        <v>6</v>
      </c>
      <c r="P24" s="887">
        <f>'OCS Sch 1 CC &amp; Energy Charge'!Q31</f>
        <v>428.71</v>
      </c>
      <c r="Q24" s="887">
        <f>'OCS Sch 1 CC &amp; Energy Charge'!S31</f>
        <v>448.59</v>
      </c>
      <c r="R24" s="890">
        <f t="shared" si="3"/>
        <v>4.8000000000000001E-2</v>
      </c>
      <c r="S24" s="890">
        <f t="shared" si="4"/>
        <v>3.383333333333334E-2</v>
      </c>
    </row>
    <row r="25" spans="1:19">
      <c r="A25" s="886">
        <f>'OCS Sch 1 CC &amp; Energy Charge'!A32</f>
        <v>5000</v>
      </c>
      <c r="B25" s="886"/>
      <c r="C25" s="916">
        <f>'OCS Sch 1 CC &amp; Energy Charge'!G32</f>
        <v>1</v>
      </c>
      <c r="D25" s="887">
        <f>'OCS Sch 1 CC &amp; Energy Charge'!M32</f>
        <v>8.9199999999999591</v>
      </c>
      <c r="E25" s="887">
        <f t="shared" si="0"/>
        <v>9.9199999999999591</v>
      </c>
      <c r="F25" s="888">
        <f>'OCS Sch 1 CC &amp; Energy Charge'!C32</f>
        <v>5</v>
      </c>
      <c r="G25" s="888">
        <f>'OCS Sch 1 CC &amp; Energy Charge'!E32</f>
        <v>6</v>
      </c>
      <c r="H25" s="889">
        <f>'OCS Sch 1 CC &amp; Energy Charge'!I32</f>
        <v>745.89</v>
      </c>
      <c r="I25" s="887">
        <f>'OCS Sch 1 CC &amp; Energy Charge'!K32</f>
        <v>754.81</v>
      </c>
      <c r="J25" s="890">
        <f t="shared" si="1"/>
        <v>1.2999999999999999E-2</v>
      </c>
      <c r="K25" s="887">
        <f>'OCS Sch 1 CC &amp; Energy Charge'!G32</f>
        <v>1</v>
      </c>
      <c r="L25" s="887">
        <f>'OCS Sch 1 CC &amp; Energy Charge'!U32</f>
        <v>25.269999999999982</v>
      </c>
      <c r="M25" s="887">
        <f t="shared" si="2"/>
        <v>26.269999999999982</v>
      </c>
      <c r="N25" s="887">
        <f>'OCS Sch 1 CC &amp; Energy Charge'!C32</f>
        <v>5</v>
      </c>
      <c r="O25" s="887">
        <f>'OCS Sch 1 CC &amp; Energy Charge'!E32</f>
        <v>6</v>
      </c>
      <c r="P25" s="887">
        <f>'OCS Sch 1 CC &amp; Energy Charge'!Q32</f>
        <v>536.96</v>
      </c>
      <c r="Q25" s="887">
        <f>'OCS Sch 1 CC &amp; Energy Charge'!S32</f>
        <v>562.23</v>
      </c>
      <c r="R25" s="890">
        <f t="shared" si="3"/>
        <v>4.8000000000000001E-2</v>
      </c>
      <c r="S25" s="890">
        <f t="shared" si="4"/>
        <v>3.3416666666666671E-2</v>
      </c>
    </row>
    <row r="26" spans="1:19">
      <c r="A26" s="886"/>
      <c r="B26" s="891"/>
      <c r="C26" s="916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Q26" s="891"/>
      <c r="R26" s="891"/>
      <c r="S26" s="890"/>
    </row>
    <row r="27" spans="1:19">
      <c r="A27" s="886"/>
      <c r="B27" s="891"/>
      <c r="C27" s="916"/>
      <c r="D27" s="891"/>
      <c r="E27" s="891"/>
      <c r="F27" s="891"/>
      <c r="G27" s="891"/>
      <c r="H27" s="891"/>
      <c r="I27" s="891"/>
      <c r="J27" s="891"/>
      <c r="K27" s="891"/>
      <c r="L27" s="891"/>
      <c r="M27" s="891"/>
      <c r="N27" s="891"/>
      <c r="O27" s="891"/>
      <c r="P27" s="891"/>
      <c r="Q27" s="891"/>
      <c r="R27" s="891"/>
      <c r="S27" s="890"/>
    </row>
    <row r="28" spans="1:19">
      <c r="A28" s="886">
        <v>663</v>
      </c>
      <c r="B28" s="886" t="s">
        <v>448</v>
      </c>
      <c r="C28" s="916"/>
      <c r="D28" s="887"/>
      <c r="E28" s="887"/>
      <c r="F28" s="888"/>
      <c r="G28" s="888"/>
      <c r="H28" s="889"/>
      <c r="I28" s="887"/>
      <c r="J28" s="890"/>
      <c r="K28" s="887">
        <f>'OCS Sch 1 CC &amp; Energy Charge'!G17</f>
        <v>1</v>
      </c>
      <c r="L28" s="887">
        <f>'OCS Sch 1 CC &amp; Energy Charge'!U17</f>
        <v>1.8900000000000006</v>
      </c>
      <c r="M28" s="887">
        <f>K28+L28</f>
        <v>2.8900000000000006</v>
      </c>
      <c r="N28" s="887">
        <f>'OCS Sch 1 CC &amp; Energy Charge'!C17</f>
        <v>5</v>
      </c>
      <c r="O28" s="887">
        <f>'OCS Sch 1 CC &amp; Energy Charge'!E17</f>
        <v>6</v>
      </c>
      <c r="P28" s="887">
        <f>'OCS Sch 1 CC &amp; Energy Charge'!Q17</f>
        <v>67.5</v>
      </c>
      <c r="Q28" s="887">
        <f>'OCS Sch 1 CC &amp; Energy Charge'!S17</f>
        <v>69.39</v>
      </c>
      <c r="R28" s="890">
        <f>ROUND(((Q28+O28)/(P28+N28)-1),3)</f>
        <v>0.04</v>
      </c>
      <c r="S28" s="890">
        <f t="shared" si="4"/>
        <v>2.3333333333333334E-2</v>
      </c>
    </row>
    <row r="29" spans="1:19">
      <c r="A29" s="886">
        <v>698</v>
      </c>
      <c r="B29" s="886" t="s">
        <v>450</v>
      </c>
      <c r="C29" s="916">
        <f>'OCS Sch 1 CC &amp; Energy Charge'!G18</f>
        <v>1</v>
      </c>
      <c r="D29" s="887">
        <f>'OCS Sch 1 CC &amp; Energy Charge'!M18</f>
        <v>0.92000000000000171</v>
      </c>
      <c r="E29" s="887">
        <f>C29+D29</f>
        <v>1.9200000000000017</v>
      </c>
      <c r="F29" s="888">
        <f>'OCS Sch 1 CC &amp; Energy Charge'!C18</f>
        <v>5</v>
      </c>
      <c r="G29" s="888">
        <f>'OCS Sch 1 CC &amp; Energy Charge'!E19</f>
        <v>6</v>
      </c>
      <c r="H29" s="889">
        <f>'OCS Sch 1 CC &amp; Energy Charge'!I18</f>
        <v>76.64</v>
      </c>
      <c r="I29" s="887">
        <f>'OCS Sch 1 CC &amp; Energy Charge'!K18</f>
        <v>77.56</v>
      </c>
      <c r="J29" s="890">
        <f>ROUND(((I29+G29)/(H29+F29)-1),3)</f>
        <v>2.4E-2</v>
      </c>
      <c r="K29" s="887">
        <f>'OCS Sch 1 CC &amp; Energy Charge'!G18</f>
        <v>1</v>
      </c>
      <c r="L29" s="887">
        <f>'OCS Sch 1 CC &amp; Energy Charge'!U18</f>
        <v>2.0699999999999932</v>
      </c>
      <c r="M29" s="887">
        <f>K29+L29</f>
        <v>3.0699999999999932</v>
      </c>
      <c r="N29" s="887">
        <f>'OCS Sch 1 CC &amp; Energy Charge'!C18</f>
        <v>5</v>
      </c>
      <c r="O29" s="887">
        <f>'OCS Sch 1 CC &amp; Energy Charge'!E18</f>
        <v>6</v>
      </c>
      <c r="P29" s="887">
        <f>'OCS Sch 1 CC &amp; Energy Charge'!Q18</f>
        <v>71.290000000000006</v>
      </c>
      <c r="Q29" s="887">
        <f>'OCS Sch 1 CC &amp; Energy Charge'!S18</f>
        <v>73.36</v>
      </c>
      <c r="R29" s="890">
        <f>ROUND(((Q29+O29)/(P29+N29)-1),3)</f>
        <v>0.04</v>
      </c>
      <c r="S29" s="890">
        <f t="shared" si="4"/>
        <v>3.3333333333333333E-2</v>
      </c>
    </row>
    <row r="30" spans="1:19">
      <c r="A30" s="886">
        <v>747</v>
      </c>
      <c r="B30" s="886" t="s">
        <v>451</v>
      </c>
      <c r="C30" s="916">
        <f>'OCS Sch 1 CC &amp; Energy Charge'!G20</f>
        <v>1</v>
      </c>
      <c r="D30" s="887">
        <f>'OCS Sch 1 CC &amp; Energy Charge'!M20</f>
        <v>0.99000000000000909</v>
      </c>
      <c r="E30" s="887">
        <f>C30+D30</f>
        <v>1.9900000000000091</v>
      </c>
      <c r="F30" s="888">
        <f>'OCS Sch 1 CC &amp; Energy Charge'!C20</f>
        <v>5</v>
      </c>
      <c r="G30" s="888">
        <f>'OCS Sch 1 CC &amp; Energy Charge'!E20</f>
        <v>6</v>
      </c>
      <c r="H30" s="889">
        <f>'OCS Sch 1 CC &amp; Energy Charge'!I20</f>
        <v>82.82</v>
      </c>
      <c r="I30" s="887">
        <f>'OCS Sch 1 CC &amp; Energy Charge'!K20</f>
        <v>83.81</v>
      </c>
      <c r="J30" s="890">
        <f>ROUND(((I30+G30)/(H30+F30)-1),3)</f>
        <v>2.3E-2</v>
      </c>
      <c r="K30" s="887"/>
      <c r="L30" s="887"/>
      <c r="M30" s="887"/>
      <c r="N30" s="887"/>
      <c r="O30" s="887"/>
      <c r="P30" s="887"/>
      <c r="Q30" s="887"/>
      <c r="R30" s="890"/>
      <c r="S30" s="890">
        <f t="shared" si="4"/>
        <v>9.5833333333333343E-3</v>
      </c>
    </row>
    <row r="32" spans="1:19">
      <c r="A32" s="435" t="s">
        <v>457</v>
      </c>
    </row>
  </sheetData>
  <pageMargins left="0.7" right="0.7" top="0.75" bottom="0.75" header="0.3" footer="0.3"/>
  <pageSetup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14" sqref="F14"/>
    </sheetView>
  </sheetViews>
  <sheetFormatPr defaultRowHeight="15.75"/>
  <cols>
    <col min="1" max="1" width="24.125" bestFit="1" customWidth="1"/>
    <col min="3" max="3" width="1.75" bestFit="1" customWidth="1"/>
    <col min="5" max="5" width="1.75" customWidth="1"/>
    <col min="6" max="6" width="10.625" bestFit="1" customWidth="1"/>
  </cols>
  <sheetData>
    <row r="1" spans="1:7">
      <c r="A1" s="1103"/>
      <c r="B1" s="1106"/>
      <c r="C1" s="1106"/>
      <c r="D1" s="1106"/>
      <c r="E1" s="1106"/>
      <c r="F1" s="1106" t="s">
        <v>217</v>
      </c>
      <c r="G1" s="1106" t="s">
        <v>685</v>
      </c>
    </row>
    <row r="2" spans="1:7">
      <c r="A2" s="1103"/>
      <c r="B2" s="1106" t="s">
        <v>688</v>
      </c>
      <c r="C2" s="1106"/>
      <c r="D2" s="1106" t="s">
        <v>8</v>
      </c>
      <c r="E2" s="1106"/>
      <c r="F2" s="1106" t="s">
        <v>48</v>
      </c>
      <c r="G2" s="1106" t="s">
        <v>689</v>
      </c>
    </row>
    <row r="3" spans="1:7">
      <c r="A3" s="1104" t="s">
        <v>105</v>
      </c>
      <c r="B3" s="928">
        <f>'OCS Schedule 1 Proposal'!F20</f>
        <v>5</v>
      </c>
      <c r="C3" s="928"/>
      <c r="D3" s="928">
        <f>'OCS Schedule 1 Proposal'!J20</f>
        <v>6</v>
      </c>
      <c r="E3" s="1103"/>
      <c r="F3" s="1109">
        <f>'OCS Schedule 1 Proposal'!L20</f>
        <v>0.19999999999999996</v>
      </c>
      <c r="G3" s="1109">
        <f>'OCS Schedule 1 Proposal'!M20</f>
        <v>0.37597556258366016</v>
      </c>
    </row>
    <row r="4" spans="1:7">
      <c r="A4" s="1104" t="s">
        <v>106</v>
      </c>
      <c r="B4" s="928">
        <f>'OCS Schedule 1 Proposal'!F21</f>
        <v>10</v>
      </c>
      <c r="C4" s="928"/>
      <c r="D4" s="928">
        <f>'OCS Schedule 1 Proposal'!J21</f>
        <v>12</v>
      </c>
      <c r="E4" s="1103"/>
      <c r="F4" s="1109">
        <f>'OCS Schedule 1 Proposal'!L21</f>
        <v>0.19999999999999996</v>
      </c>
      <c r="G4" s="1109">
        <f>'OCS Schedule 1 Proposal'!M21</f>
        <v>1.2307211004264043E-3</v>
      </c>
    </row>
    <row r="5" spans="1:7">
      <c r="A5" s="1104" t="s">
        <v>620</v>
      </c>
      <c r="B5" s="928">
        <f>'OCS Schedule 1 Proposal'!F22</f>
        <v>0</v>
      </c>
      <c r="C5" s="1107"/>
      <c r="D5" s="928">
        <f>'OCS Schedule 1 Proposal'!J22</f>
        <v>4.82</v>
      </c>
      <c r="E5" s="1103"/>
      <c r="F5" s="1109">
        <f>'OCS Schedule 1 Proposal'!L22</f>
        <v>0</v>
      </c>
      <c r="G5" s="1109">
        <f>'OCS Schedule 1 Proposal'!M22</f>
        <v>5.1911371786642823E-3</v>
      </c>
    </row>
    <row r="6" spans="1:7">
      <c r="A6" s="1104" t="s">
        <v>107</v>
      </c>
      <c r="B6" s="1113">
        <f>'OCS Schedule 1 Proposal'!F23</f>
        <v>8.8854000000000006</v>
      </c>
      <c r="C6" s="1108" t="s">
        <v>108</v>
      </c>
      <c r="D6" s="892">
        <f>'OCS Schedule 1 Proposal'!J23</f>
        <v>8.9929000000000006</v>
      </c>
      <c r="E6" s="1108" t="s">
        <v>108</v>
      </c>
      <c r="F6" s="1109">
        <f>'OCS Schedule 1 Proposal'!L23</f>
        <v>1.2098498660724433E-2</v>
      </c>
      <c r="G6" s="1109">
        <f>'OCS Schedule 1 Proposal'!M23</f>
        <v>6.0941190767044719E-2</v>
      </c>
    </row>
    <row r="7" spans="1:7">
      <c r="A7" s="1104" t="s">
        <v>110</v>
      </c>
      <c r="B7" s="1113">
        <f>'OCS Schedule 1 Proposal'!F24</f>
        <v>11.5785</v>
      </c>
      <c r="C7" s="1108" t="s">
        <v>108</v>
      </c>
      <c r="D7" s="892">
        <f>'OCS Schedule 1 Proposal'!J24</f>
        <v>11.7186</v>
      </c>
      <c r="E7" s="1108" t="s">
        <v>108</v>
      </c>
      <c r="F7" s="1109">
        <f>'OCS Schedule 1 Proposal'!L24</f>
        <v>1.2100012955045925E-2</v>
      </c>
      <c r="G7" s="1109">
        <f>'OCS Schedule 1 Proposal'!M24</f>
        <v>6.4421015872751786E-2</v>
      </c>
    </row>
    <row r="8" spans="1:7">
      <c r="A8" s="1104" t="s">
        <v>112</v>
      </c>
      <c r="B8" s="1113">
        <f>'OCS Schedule 1 Proposal'!F25</f>
        <v>14.4864</v>
      </c>
      <c r="C8" s="1108" t="s">
        <v>108</v>
      </c>
      <c r="D8" s="892">
        <f>'OCS Schedule 1 Proposal'!J25</f>
        <v>14.66</v>
      </c>
      <c r="E8" s="1108" t="s">
        <v>108</v>
      </c>
      <c r="F8" s="1109">
        <f>'OCS Schedule 1 Proposal'!L25</f>
        <v>1.1983653633752978E-2</v>
      </c>
      <c r="G8" s="1109">
        <f>'OCS Schedule 1 Proposal'!M25</f>
        <v>2.7740192897587512E-2</v>
      </c>
    </row>
    <row r="9" spans="1:7">
      <c r="A9" s="1104" t="s">
        <v>114</v>
      </c>
      <c r="C9" s="1108"/>
      <c r="D9" s="892"/>
      <c r="E9" s="1108"/>
      <c r="F9" s="1109"/>
      <c r="G9" s="1109"/>
    </row>
    <row r="10" spans="1:7">
      <c r="A10" s="1105" t="s">
        <v>621</v>
      </c>
      <c r="B10" s="1113">
        <f>'OCS Schedule 1 Proposal'!F26</f>
        <v>8.8854000000000006</v>
      </c>
      <c r="C10" s="1108" t="s">
        <v>108</v>
      </c>
      <c r="D10" s="892">
        <f>'OCS Schedule 1 Proposal'!J26</f>
        <v>8.9929000000000006</v>
      </c>
      <c r="E10" s="1108" t="s">
        <v>108</v>
      </c>
      <c r="F10" s="1109">
        <f>'OCS Schedule 1 Proposal'!L26</f>
        <v>1.2098498660724433E-2</v>
      </c>
      <c r="G10" s="1109">
        <f>'OCS Schedule 1 Proposal'!M26</f>
        <v>7.7333639434221613E-2</v>
      </c>
    </row>
    <row r="11" spans="1:7">
      <c r="A11" s="1105" t="s">
        <v>622</v>
      </c>
      <c r="B11" s="1113">
        <f>'OCS Schedule 1 Proposal'!F27</f>
        <v>9.9268999999999998</v>
      </c>
      <c r="C11" s="1108" t="s">
        <v>108</v>
      </c>
      <c r="D11" s="892">
        <f>'OCS Schedule 1 Proposal'!J27</f>
        <v>10.4232</v>
      </c>
      <c r="E11" s="1108" t="s">
        <v>108</v>
      </c>
      <c r="F11" s="1109">
        <f>'OCS Schedule 1 Proposal'!L27</f>
        <v>4.9995466862766902E-2</v>
      </c>
      <c r="G11" s="1109">
        <f>'OCS Schedule 1 Proposal'!M27</f>
        <v>0.3743225663317809</v>
      </c>
    </row>
    <row r="12" spans="1:7">
      <c r="A12" s="1104" t="s">
        <v>116</v>
      </c>
      <c r="B12" s="928">
        <v>7</v>
      </c>
      <c r="C12" s="928"/>
      <c r="D12" s="928">
        <f>'OCS Schedule 1 Proposal'!J28</f>
        <v>10</v>
      </c>
      <c r="E12" s="928"/>
      <c r="F12" s="1109">
        <f>'OCS Schedule 1 Proposal'!L28</f>
        <v>0.4285714285714286</v>
      </c>
      <c r="G12" s="1109">
        <f>'OCS Schedule 1 Proposal'!M28</f>
        <v>1.2801266070779027E-2</v>
      </c>
    </row>
    <row r="13" spans="1:7">
      <c r="A13" s="1104" t="s">
        <v>118</v>
      </c>
      <c r="B13" s="928">
        <v>14</v>
      </c>
      <c r="C13" s="928"/>
      <c r="D13" s="928">
        <f>'OCS Schedule 1 Proposal'!J29</f>
        <v>20</v>
      </c>
      <c r="E13" s="928"/>
      <c r="F13" s="1109">
        <f>'OCS Schedule 1 Proposal'!L29</f>
        <v>0.4285714285714286</v>
      </c>
      <c r="G13" s="1109">
        <f>'OCS Schedule 1 Proposal'!M29</f>
        <v>4.270776308357253E-5</v>
      </c>
    </row>
    <row r="14" spans="1:7">
      <c r="A14" s="1104"/>
      <c r="B14" s="928"/>
      <c r="C14" s="928"/>
      <c r="D14" s="936"/>
      <c r="E14" s="928"/>
      <c r="F14" s="1109"/>
      <c r="G14" s="1103"/>
    </row>
    <row r="15" spans="1:7">
      <c r="A15" s="1110" t="s">
        <v>686</v>
      </c>
      <c r="B15" s="1103" t="s">
        <v>687</v>
      </c>
      <c r="C15" s="1102"/>
      <c r="D15" s="1102"/>
      <c r="E15" s="1102"/>
      <c r="F15" s="1102"/>
      <c r="G15" s="1102"/>
    </row>
    <row r="16" spans="1:7">
      <c r="A16" s="1102"/>
      <c r="B16" s="1111" t="s">
        <v>690</v>
      </c>
      <c r="C16" s="1102"/>
      <c r="D16" s="1102"/>
      <c r="E16" s="1102"/>
      <c r="F16" s="1102"/>
      <c r="G16" s="1102"/>
    </row>
    <row r="17" spans="1:7">
      <c r="A17" s="1102"/>
      <c r="B17" s="1103" t="s">
        <v>691</v>
      </c>
      <c r="C17" s="1112"/>
      <c r="D17" s="1102"/>
      <c r="E17" s="1102"/>
      <c r="F17" s="1102"/>
      <c r="G17" s="1102"/>
    </row>
    <row r="18" spans="1:7">
      <c r="A18" s="1102"/>
      <c r="B18" s="1103" t="s">
        <v>692</v>
      </c>
      <c r="C18" s="1112"/>
      <c r="D18" s="1102"/>
      <c r="E18" s="1102"/>
      <c r="F18" s="1102"/>
      <c r="G18" s="1102"/>
    </row>
    <row r="19" spans="1:7">
      <c r="A19" s="1102"/>
      <c r="B19" s="1103" t="s">
        <v>693</v>
      </c>
      <c r="C19" s="1102"/>
      <c r="D19" s="1102"/>
      <c r="E19" s="1102"/>
      <c r="F19" s="1102"/>
      <c r="G19" s="1102"/>
    </row>
    <row r="20" spans="1:7">
      <c r="A20" s="1102"/>
      <c r="B20" s="1102"/>
      <c r="C20" s="1102"/>
      <c r="D20" s="1102"/>
      <c r="E20" s="1102"/>
      <c r="F20" s="1102"/>
      <c r="G20" s="110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topLeftCell="A10" zoomScale="60" zoomScaleNormal="70" workbookViewId="0">
      <selection activeCell="S13" sqref="S13"/>
    </sheetView>
  </sheetViews>
  <sheetFormatPr defaultRowHeight="15.75"/>
  <cols>
    <col min="1" max="1" width="4.625" style="1018" customWidth="1"/>
    <col min="2" max="2" width="1.625" style="1018" customWidth="1"/>
    <col min="3" max="3" width="35.625" style="1018" customWidth="1"/>
    <col min="4" max="4" width="1.5" style="1035" customWidth="1"/>
    <col min="5" max="5" width="7.5" style="1018" bestFit="1" customWidth="1"/>
    <col min="6" max="6" width="0.75" style="1035" customWidth="1"/>
    <col min="7" max="7" width="10.625" style="1035" customWidth="1"/>
    <col min="8" max="8" width="0.75" style="1035" customWidth="1"/>
    <col min="9" max="9" width="12.25" style="1035" customWidth="1"/>
    <col min="10" max="10" width="1.75" style="1035" customWidth="1"/>
    <col min="11" max="11" width="12.25" style="1035" customWidth="1"/>
    <col min="12" max="12" width="1.75" style="1035" customWidth="1"/>
    <col min="13" max="13" width="13.625" style="1035" customWidth="1"/>
    <col min="14" max="14" width="1.75" style="1035" customWidth="1"/>
    <col min="15" max="15" width="13.625" style="1035" bestFit="1" customWidth="1"/>
    <col min="16" max="16" width="1.75" style="1035" customWidth="1"/>
    <col min="17" max="17" width="8.75" style="1036" bestFit="1" customWidth="1"/>
    <col min="18" max="16384" width="9" style="1018"/>
  </cols>
  <sheetData>
    <row r="1" spans="1:17">
      <c r="A1" s="1014" t="s">
        <v>0</v>
      </c>
      <c r="B1" s="1014"/>
      <c r="C1" s="1014"/>
      <c r="D1" s="1015"/>
      <c r="E1" s="1014"/>
      <c r="F1" s="1015"/>
      <c r="G1" s="1015"/>
      <c r="H1" s="1015"/>
      <c r="I1" s="1015"/>
      <c r="J1" s="1015"/>
      <c r="K1" s="1016"/>
      <c r="L1" s="1015"/>
      <c r="M1" s="1016"/>
      <c r="N1" s="1015"/>
      <c r="O1" s="1016"/>
      <c r="P1" s="1015"/>
      <c r="Q1" s="1017"/>
    </row>
    <row r="2" spans="1:17" s="1020" customFormat="1">
      <c r="A2" s="1014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</row>
    <row r="3" spans="1:17" s="1020" customFormat="1">
      <c r="A3" s="1014" t="s">
        <v>2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</row>
    <row r="4" spans="1:17" s="1020" customFormat="1">
      <c r="A4" s="1014" t="s">
        <v>3</v>
      </c>
      <c r="B4" s="1019"/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</row>
    <row r="5" spans="1:17" s="1020" customFormat="1">
      <c r="A5" s="1014" t="s">
        <v>646</v>
      </c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</row>
    <row r="6" spans="1:17">
      <c r="A6" s="1014" t="s">
        <v>647</v>
      </c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6"/>
      <c r="M6" s="1021"/>
      <c r="N6" s="1021"/>
      <c r="O6" s="1021"/>
      <c r="P6" s="1021"/>
      <c r="Q6" s="1021"/>
    </row>
    <row r="7" spans="1:17">
      <c r="A7" s="1014"/>
      <c r="B7" s="1014"/>
      <c r="C7" s="1014"/>
      <c r="D7" s="1015"/>
      <c r="E7" s="1014"/>
      <c r="F7" s="1015"/>
      <c r="G7" s="1015"/>
      <c r="H7" s="1015"/>
      <c r="I7" s="1015"/>
      <c r="J7" s="1015"/>
      <c r="K7" s="1016"/>
      <c r="L7" s="1015"/>
      <c r="M7" s="1016"/>
      <c r="N7" s="1015"/>
      <c r="O7" s="1016"/>
      <c r="P7" s="1015"/>
      <c r="Q7" s="1017"/>
    </row>
    <row r="8" spans="1:17" ht="12" customHeight="1">
      <c r="A8" s="1014"/>
      <c r="B8" s="1014"/>
      <c r="C8" s="1014"/>
      <c r="D8" s="1015"/>
      <c r="E8" s="1014"/>
      <c r="F8" s="1015"/>
      <c r="G8" s="1015"/>
      <c r="H8" s="1015"/>
      <c r="I8" s="1015"/>
      <c r="J8" s="1015"/>
      <c r="K8" s="1016"/>
      <c r="L8" s="1015"/>
      <c r="M8" s="1016"/>
      <c r="N8" s="1015"/>
      <c r="O8" s="1016"/>
      <c r="P8" s="1015"/>
      <c r="Q8" s="1017"/>
    </row>
    <row r="9" spans="1:17">
      <c r="D9" s="1022"/>
      <c r="E9" s="1023"/>
      <c r="F9" s="1022"/>
      <c r="G9" s="1022" t="s">
        <v>6</v>
      </c>
      <c r="H9" s="1022"/>
      <c r="I9" s="1022"/>
      <c r="J9" s="1022"/>
      <c r="K9" s="1024" t="s">
        <v>7</v>
      </c>
      <c r="L9" s="1022"/>
      <c r="M9" s="1024" t="s">
        <v>8</v>
      </c>
      <c r="N9" s="1025"/>
      <c r="O9" s="1025"/>
      <c r="P9" s="1025"/>
      <c r="Q9" s="1025"/>
    </row>
    <row r="10" spans="1:17" s="1026" customFormat="1">
      <c r="A10" s="1026" t="s">
        <v>9</v>
      </c>
      <c r="D10" s="1022"/>
      <c r="E10" s="1023" t="s">
        <v>10</v>
      </c>
      <c r="F10" s="1022"/>
      <c r="G10" s="1024" t="s">
        <v>11</v>
      </c>
      <c r="H10" s="1022"/>
      <c r="I10" s="1022" t="s">
        <v>12</v>
      </c>
      <c r="J10" s="1024"/>
      <c r="K10" s="1022" t="s">
        <v>13</v>
      </c>
      <c r="L10" s="1024"/>
      <c r="M10" s="1024" t="s">
        <v>13</v>
      </c>
      <c r="N10" s="1024"/>
      <c r="O10" s="1025"/>
      <c r="P10" s="1025"/>
      <c r="Q10" s="1027"/>
    </row>
    <row r="11" spans="1:17" s="1026" customFormat="1">
      <c r="A11" s="1026" t="s">
        <v>15</v>
      </c>
      <c r="C11" s="1023" t="s">
        <v>16</v>
      </c>
      <c r="E11" s="1028" t="s">
        <v>15</v>
      </c>
      <c r="G11" s="1029" t="s">
        <v>17</v>
      </c>
      <c r="I11" s="1029" t="s">
        <v>17</v>
      </c>
      <c r="K11" s="1030" t="s">
        <v>18</v>
      </c>
      <c r="M11" s="1030" t="s">
        <v>18</v>
      </c>
      <c r="O11" s="1029" t="s">
        <v>19</v>
      </c>
      <c r="Q11" s="1031" t="s">
        <v>20</v>
      </c>
    </row>
    <row r="12" spans="1:17" s="1026" customFormat="1">
      <c r="C12" s="1032">
        <v>-1</v>
      </c>
      <c r="D12" s="1033"/>
      <c r="E12" s="1032">
        <v>-2</v>
      </c>
      <c r="F12" s="1033"/>
      <c r="G12" s="1032">
        <v>-3</v>
      </c>
      <c r="H12" s="1033"/>
      <c r="I12" s="1032">
        <v>-4</v>
      </c>
      <c r="J12" s="1033"/>
      <c r="K12" s="1032">
        <v>-5</v>
      </c>
      <c r="L12" s="1033"/>
      <c r="M12" s="1032">
        <v>-6</v>
      </c>
      <c r="N12" s="1033"/>
      <c r="O12" s="1032">
        <v>-7</v>
      </c>
      <c r="P12" s="1033"/>
      <c r="Q12" s="1032">
        <v>-8</v>
      </c>
    </row>
    <row r="13" spans="1:17" s="1026" customFormat="1">
      <c r="D13" s="1034"/>
      <c r="F13" s="1034"/>
      <c r="G13" s="1034"/>
      <c r="H13" s="1034"/>
      <c r="I13" s="1034"/>
      <c r="J13" s="1034"/>
      <c r="K13" s="1034"/>
      <c r="L13" s="1034"/>
      <c r="M13" s="1034"/>
      <c r="N13" s="1034"/>
      <c r="O13" s="1022" t="s">
        <v>658</v>
      </c>
      <c r="P13" s="1034"/>
      <c r="Q13" s="1022" t="s">
        <v>659</v>
      </c>
    </row>
    <row r="14" spans="1:17" ht="18.75" customHeight="1">
      <c r="C14" s="1026" t="s">
        <v>23</v>
      </c>
    </row>
    <row r="15" spans="1:17">
      <c r="A15" s="1018">
        <v>1</v>
      </c>
      <c r="C15" s="1018" t="s">
        <v>23</v>
      </c>
      <c r="E15" s="1037" t="s">
        <v>24</v>
      </c>
      <c r="G15" s="1038">
        <v>740189</v>
      </c>
      <c r="I15" s="1038">
        <v>6200666.1794248829</v>
      </c>
      <c r="K15" s="1039">
        <v>661256.86499999999</v>
      </c>
      <c r="L15" s="1040"/>
      <c r="M15" s="1039">
        <v>694923.14399999997</v>
      </c>
      <c r="N15" s="1040"/>
      <c r="O15" s="1039">
        <v>33666.279000000002</v>
      </c>
      <c r="P15" s="1041"/>
      <c r="Q15" s="1042">
        <v>5.0912558970277418E-2</v>
      </c>
    </row>
    <row r="16" spans="1:17">
      <c r="A16" s="1018">
        <v>2</v>
      </c>
      <c r="C16" s="1018" t="s">
        <v>25</v>
      </c>
      <c r="E16" s="1037">
        <v>2</v>
      </c>
      <c r="G16" s="1038">
        <v>447</v>
      </c>
      <c r="I16" s="1038">
        <v>3185.6706103628849</v>
      </c>
      <c r="K16" s="1039">
        <v>338.47300000000001</v>
      </c>
      <c r="L16" s="1040"/>
      <c r="M16" s="1039">
        <v>355.70600000000002</v>
      </c>
      <c r="N16" s="1040"/>
      <c r="O16" s="1039">
        <v>17.233000000000001</v>
      </c>
      <c r="P16" s="1041"/>
      <c r="Q16" s="1042">
        <v>5.0912558970277418E-2</v>
      </c>
    </row>
    <row r="17" spans="1:17">
      <c r="A17" s="1018">
        <v>3</v>
      </c>
      <c r="C17" s="1018" t="s">
        <v>26</v>
      </c>
      <c r="E17" s="1043" t="s">
        <v>27</v>
      </c>
      <c r="G17" s="1044"/>
      <c r="I17" s="1044"/>
      <c r="K17" s="1045">
        <v>33.04027</v>
      </c>
      <c r="L17" s="1040"/>
      <c r="M17" s="1045">
        <v>33.04027</v>
      </c>
      <c r="N17" s="1040"/>
      <c r="O17" s="1045">
        <v>0</v>
      </c>
      <c r="Q17" s="1046">
        <v>0</v>
      </c>
    </row>
    <row r="18" spans="1:17">
      <c r="A18" s="1018">
        <v>4</v>
      </c>
      <c r="C18" s="1026" t="s">
        <v>28</v>
      </c>
      <c r="G18" s="1038">
        <v>740636</v>
      </c>
      <c r="I18" s="1038">
        <v>6203851.8500352455</v>
      </c>
      <c r="K18" s="1039">
        <v>661628.37826999999</v>
      </c>
      <c r="L18" s="1040"/>
      <c r="M18" s="1039">
        <v>695311.89026999997</v>
      </c>
      <c r="N18" s="1040"/>
      <c r="O18" s="1039">
        <v>33683.512000000002</v>
      </c>
      <c r="Q18" s="1042">
        <v>5.0910017022054485E-2</v>
      </c>
    </row>
    <row r="19" spans="1:17" ht="24.75" customHeight="1">
      <c r="C19" s="1026" t="s">
        <v>29</v>
      </c>
      <c r="G19" s="1038"/>
      <c r="I19" s="1038"/>
      <c r="K19" s="1047"/>
      <c r="L19" s="1040"/>
      <c r="M19" s="1039"/>
      <c r="N19" s="1040"/>
      <c r="O19" s="1039"/>
      <c r="Q19" s="1042"/>
    </row>
    <row r="20" spans="1:17">
      <c r="A20" s="1018">
        <v>5</v>
      </c>
      <c r="C20" s="1018" t="s">
        <v>30</v>
      </c>
      <c r="E20" s="1048">
        <v>6</v>
      </c>
      <c r="G20" s="1038">
        <v>13072</v>
      </c>
      <c r="I20" s="1038">
        <v>5783806.2612344306</v>
      </c>
      <c r="K20" s="1039">
        <v>486920.87699999998</v>
      </c>
      <c r="L20" s="1040"/>
      <c r="M20" s="1039">
        <v>497103.63899999997</v>
      </c>
      <c r="N20" s="1040"/>
      <c r="O20" s="1039">
        <v>10182.762000000001</v>
      </c>
      <c r="P20" s="1041"/>
      <c r="Q20" s="1042">
        <v>2.0912558970277415E-2</v>
      </c>
    </row>
    <row r="21" spans="1:17">
      <c r="A21" s="1018">
        <v>6</v>
      </c>
      <c r="C21" s="1018" t="s">
        <v>31</v>
      </c>
      <c r="E21" s="1037" t="s">
        <v>32</v>
      </c>
      <c r="G21" s="1038">
        <v>2276</v>
      </c>
      <c r="I21" s="1038">
        <v>292031.09985016566</v>
      </c>
      <c r="K21" s="1039">
        <v>33689.550999999999</v>
      </c>
      <c r="L21" s="1040"/>
      <c r="M21" s="1039">
        <v>34394.086000000003</v>
      </c>
      <c r="N21" s="1040"/>
      <c r="O21" s="1039">
        <v>704.53499999999997</v>
      </c>
      <c r="Q21" s="1042">
        <v>2.0912558970277415E-2</v>
      </c>
    </row>
    <row r="22" spans="1:17">
      <c r="A22" s="1018">
        <v>7</v>
      </c>
      <c r="C22" s="1018" t="s">
        <v>33</v>
      </c>
      <c r="E22" s="1037" t="s">
        <v>34</v>
      </c>
      <c r="G22" s="1049">
        <v>37</v>
      </c>
      <c r="I22" s="1049">
        <v>3907.4969999999998</v>
      </c>
      <c r="K22" s="1045">
        <v>340.60899999999998</v>
      </c>
      <c r="L22" s="1040"/>
      <c r="M22" s="1045">
        <v>347.73199999999997</v>
      </c>
      <c r="N22" s="1040"/>
      <c r="O22" s="1045">
        <v>7.1230000000000002</v>
      </c>
      <c r="Q22" s="1046">
        <v>2.0912558970277415E-2</v>
      </c>
    </row>
    <row r="23" spans="1:17">
      <c r="A23" s="1018">
        <v>8</v>
      </c>
      <c r="C23" s="1050" t="s">
        <v>35</v>
      </c>
      <c r="G23" s="1038">
        <v>15385</v>
      </c>
      <c r="I23" s="1038">
        <v>6079744.8580845967</v>
      </c>
      <c r="K23" s="1039">
        <v>520951.03699999995</v>
      </c>
      <c r="L23" s="1040"/>
      <c r="M23" s="1039">
        <v>531845.45699999994</v>
      </c>
      <c r="N23" s="1040"/>
      <c r="O23" s="1039">
        <v>10894.42</v>
      </c>
      <c r="Q23" s="1042">
        <v>2.0912560348737726E-2</v>
      </c>
    </row>
    <row r="24" spans="1:17" ht="23.1" customHeight="1">
      <c r="A24" s="1018">
        <v>9</v>
      </c>
      <c r="C24" s="1018" t="s">
        <v>36</v>
      </c>
      <c r="E24" s="1018">
        <v>8</v>
      </c>
      <c r="F24" s="1038"/>
      <c r="G24" s="1038">
        <v>274</v>
      </c>
      <c r="I24" s="1038">
        <v>2187047.3255884075</v>
      </c>
      <c r="K24" s="1039">
        <v>162435.073</v>
      </c>
      <c r="L24" s="1040"/>
      <c r="M24" s="1039">
        <v>169080.70800000001</v>
      </c>
      <c r="N24" s="1040"/>
      <c r="O24" s="1039">
        <v>6645.6350000000002</v>
      </c>
      <c r="Q24" s="1042">
        <v>4.0912558970277416E-2</v>
      </c>
    </row>
    <row r="25" spans="1:17" ht="23.1" customHeight="1">
      <c r="A25" s="1018">
        <v>10</v>
      </c>
      <c r="C25" s="1018" t="s">
        <v>37</v>
      </c>
      <c r="E25" s="1018">
        <v>9</v>
      </c>
      <c r="G25" s="1038">
        <v>149</v>
      </c>
      <c r="I25" s="1038">
        <v>5027435.5407653069</v>
      </c>
      <c r="K25" s="1039">
        <v>271735.00799999997</v>
      </c>
      <c r="L25" s="1040"/>
      <c r="M25" s="1039">
        <v>288287.08299999998</v>
      </c>
      <c r="N25" s="1040"/>
      <c r="O25" s="1039">
        <v>16552.075000000001</v>
      </c>
      <c r="Q25" s="1042">
        <v>6.091255897027742E-2</v>
      </c>
    </row>
    <row r="26" spans="1:17">
      <c r="A26" s="1018">
        <v>11</v>
      </c>
      <c r="C26" s="1018" t="s">
        <v>38</v>
      </c>
      <c r="E26" s="1037" t="s">
        <v>39</v>
      </c>
      <c r="G26" s="1049">
        <v>9</v>
      </c>
      <c r="I26" s="1049">
        <v>42590.781425473026</v>
      </c>
      <c r="K26" s="1045">
        <v>3139.413</v>
      </c>
      <c r="L26" s="1040"/>
      <c r="M26" s="1045">
        <v>3330.643</v>
      </c>
      <c r="N26" s="1040"/>
      <c r="O26" s="1045">
        <v>191.23</v>
      </c>
      <c r="Q26" s="1046">
        <v>6.091255897027742E-2</v>
      </c>
    </row>
    <row r="27" spans="1:17">
      <c r="A27" s="1018">
        <v>12</v>
      </c>
      <c r="C27" s="1050" t="s">
        <v>40</v>
      </c>
      <c r="G27" s="1038">
        <v>158</v>
      </c>
      <c r="I27" s="1038">
        <v>5070026.3221907802</v>
      </c>
      <c r="K27" s="1039">
        <v>274874.42099999997</v>
      </c>
      <c r="L27" s="1040"/>
      <c r="M27" s="1039">
        <v>291617.72599999997</v>
      </c>
      <c r="N27" s="1040"/>
      <c r="O27" s="1039">
        <v>16743.305</v>
      </c>
      <c r="Q27" s="1042">
        <v>6.0912561231006655E-2</v>
      </c>
    </row>
    <row r="28" spans="1:17" ht="23.1" customHeight="1">
      <c r="A28" s="1018">
        <v>13</v>
      </c>
      <c r="C28" s="1018" t="s">
        <v>41</v>
      </c>
      <c r="E28" s="1037">
        <v>10</v>
      </c>
      <c r="G28" s="1038">
        <v>2784.3333333333335</v>
      </c>
      <c r="I28" s="1038">
        <v>173133.39199999999</v>
      </c>
      <c r="K28" s="1039">
        <v>12709.311</v>
      </c>
      <c r="L28" s="1040"/>
      <c r="M28" s="1039">
        <v>13483.467999999999</v>
      </c>
      <c r="N28" s="1040"/>
      <c r="O28" s="1039">
        <v>774.15700000000004</v>
      </c>
      <c r="Q28" s="1042">
        <v>6.091255897027742E-2</v>
      </c>
    </row>
    <row r="29" spans="1:17">
      <c r="A29" s="1018">
        <v>14</v>
      </c>
      <c r="C29" s="1018" t="s">
        <v>42</v>
      </c>
      <c r="E29" s="1037" t="s">
        <v>43</v>
      </c>
      <c r="G29" s="1049">
        <v>261</v>
      </c>
      <c r="I29" s="1049">
        <v>16756.608</v>
      </c>
      <c r="K29" s="1045">
        <v>1239.4849999999999</v>
      </c>
      <c r="L29" s="1040"/>
      <c r="M29" s="1045">
        <v>1314.9849999999999</v>
      </c>
      <c r="N29" s="1040"/>
      <c r="O29" s="1045">
        <v>75.5</v>
      </c>
      <c r="Q29" s="1046">
        <v>6.091255897027742E-2</v>
      </c>
    </row>
    <row r="30" spans="1:17">
      <c r="A30" s="1018">
        <v>15</v>
      </c>
      <c r="C30" s="1050" t="s">
        <v>44</v>
      </c>
      <c r="G30" s="1038">
        <v>3045.3333333333335</v>
      </c>
      <c r="I30" s="1038">
        <v>189890</v>
      </c>
      <c r="K30" s="1039">
        <v>13948.796</v>
      </c>
      <c r="L30" s="1040"/>
      <c r="M30" s="1039">
        <v>14798.453</v>
      </c>
      <c r="N30" s="1040"/>
      <c r="O30" s="1039">
        <v>849.65700000000004</v>
      </c>
      <c r="Q30" s="1042">
        <v>6.091256908481564E-2</v>
      </c>
    </row>
    <row r="31" spans="1:17" ht="23.1" customHeight="1">
      <c r="A31" s="1018">
        <v>16</v>
      </c>
      <c r="C31" s="1018" t="s">
        <v>45</v>
      </c>
      <c r="E31" s="1018">
        <v>21</v>
      </c>
      <c r="G31" s="1038">
        <v>5</v>
      </c>
      <c r="I31" s="1038">
        <v>4048.7003377015881</v>
      </c>
      <c r="K31" s="1039">
        <v>453.78500000000003</v>
      </c>
      <c r="L31" s="1040"/>
      <c r="M31" s="1039">
        <v>481.42600000000004</v>
      </c>
      <c r="N31" s="1040"/>
      <c r="O31" s="1039">
        <v>27.640999999999998</v>
      </c>
      <c r="Q31" s="1042">
        <v>6.091255897027742E-2</v>
      </c>
    </row>
    <row r="32" spans="1:17">
      <c r="A32" s="1018">
        <v>17</v>
      </c>
      <c r="C32" s="1018" t="s">
        <v>46</v>
      </c>
      <c r="E32" s="1048">
        <v>23</v>
      </c>
      <c r="G32" s="1038">
        <v>82668</v>
      </c>
      <c r="I32" s="1038">
        <v>1390888.2107534346</v>
      </c>
      <c r="K32" s="1039">
        <v>137738.93700000001</v>
      </c>
      <c r="L32" s="1040"/>
      <c r="M32" s="1039">
        <v>141996.80000000002</v>
      </c>
      <c r="N32" s="1040"/>
      <c r="O32" s="1039">
        <v>4257.8630000000003</v>
      </c>
      <c r="Q32" s="1042">
        <v>3.0912558970277414E-2</v>
      </c>
    </row>
    <row r="33" spans="1:17">
      <c r="A33" s="1018">
        <v>18</v>
      </c>
      <c r="C33" s="1018" t="s">
        <v>49</v>
      </c>
      <c r="E33" s="1018">
        <v>31</v>
      </c>
      <c r="G33" s="1038">
        <v>4</v>
      </c>
      <c r="I33" s="1038">
        <v>56282.44502511515</v>
      </c>
      <c r="K33" s="1039">
        <v>4219.4679999999998</v>
      </c>
      <c r="L33" s="1040"/>
      <c r="M33" s="1039">
        <v>4476.4870000000001</v>
      </c>
      <c r="N33" s="1040"/>
      <c r="O33" s="1039">
        <v>257.01900000000001</v>
      </c>
      <c r="Q33" s="1042">
        <v>6.091255897027742E-2</v>
      </c>
    </row>
    <row r="34" spans="1:17">
      <c r="A34" s="1018">
        <v>19</v>
      </c>
      <c r="C34" s="1018" t="s">
        <v>50</v>
      </c>
      <c r="E34" s="1037" t="s">
        <v>27</v>
      </c>
      <c r="G34" s="1038">
        <v>1</v>
      </c>
      <c r="I34" s="1038">
        <v>535721.17000000004</v>
      </c>
      <c r="K34" s="1039">
        <v>27176.952000000001</v>
      </c>
      <c r="L34" s="1040"/>
      <c r="M34" s="1039">
        <v>28276.836000000003</v>
      </c>
      <c r="N34" s="1040"/>
      <c r="O34" s="1039">
        <v>1099.884</v>
      </c>
      <c r="Q34" s="1042">
        <v>4.0471205976924905E-2</v>
      </c>
    </row>
    <row r="35" spans="1:17">
      <c r="A35" s="1018">
        <v>20</v>
      </c>
      <c r="C35" s="1018" t="s">
        <v>51</v>
      </c>
      <c r="E35" s="1037" t="s">
        <v>27</v>
      </c>
      <c r="G35" s="1038">
        <v>1</v>
      </c>
      <c r="I35" s="1038">
        <v>795798.67578575748</v>
      </c>
      <c r="K35" s="1039">
        <v>35062.89</v>
      </c>
      <c r="L35" s="1040"/>
      <c r="M35" s="1039">
        <v>35062.89</v>
      </c>
      <c r="N35" s="1040"/>
      <c r="O35" s="1039">
        <v>0</v>
      </c>
      <c r="Q35" s="1042">
        <v>0</v>
      </c>
    </row>
    <row r="36" spans="1:17">
      <c r="A36" s="1018">
        <v>21</v>
      </c>
      <c r="C36" s="1018" t="s">
        <v>52</v>
      </c>
      <c r="E36" s="1037" t="s">
        <v>27</v>
      </c>
      <c r="G36" s="1038">
        <v>1</v>
      </c>
      <c r="I36" s="1038">
        <v>621809.33325000003</v>
      </c>
      <c r="K36" s="1039">
        <v>28644.834999999999</v>
      </c>
      <c r="L36" s="1040"/>
      <c r="M36" s="1039">
        <v>30389.665000000001</v>
      </c>
      <c r="N36" s="1040"/>
      <c r="O36" s="1039">
        <v>1744.83</v>
      </c>
      <c r="Q36" s="1042">
        <v>6.091255897027742E-2</v>
      </c>
    </row>
    <row r="37" spans="1:17">
      <c r="A37" s="1018">
        <v>22</v>
      </c>
      <c r="C37" s="1018" t="s">
        <v>26</v>
      </c>
      <c r="E37" s="1043" t="s">
        <v>27</v>
      </c>
      <c r="G37" s="1044"/>
      <c r="I37" s="1044"/>
      <c r="K37" s="1045">
        <v>2927.6937100000005</v>
      </c>
      <c r="L37" s="1040"/>
      <c r="M37" s="1045">
        <v>2927.6937100000005</v>
      </c>
      <c r="N37" s="1040"/>
      <c r="O37" s="1045">
        <v>0</v>
      </c>
      <c r="Q37" s="1046">
        <v>0</v>
      </c>
    </row>
    <row r="38" spans="1:17">
      <c r="A38" s="1018">
        <v>23</v>
      </c>
      <c r="C38" s="1026" t="s">
        <v>88</v>
      </c>
      <c r="G38" s="1038">
        <v>101542.33333333333</v>
      </c>
      <c r="I38" s="1038">
        <v>16931257.041015793</v>
      </c>
      <c r="K38" s="1039">
        <v>1208433.8877099999</v>
      </c>
      <c r="L38" s="1040">
        <v>0</v>
      </c>
      <c r="M38" s="1039">
        <v>1250954.1417099996</v>
      </c>
      <c r="N38" s="1040">
        <v>0</v>
      </c>
      <c r="O38" s="1039">
        <v>42520.254000000008</v>
      </c>
      <c r="Q38" s="1042">
        <v>3.5186247615561758E-2</v>
      </c>
    </row>
    <row r="39" spans="1:17" ht="31.5">
      <c r="A39" s="1018">
        <v>24</v>
      </c>
      <c r="C39" s="1051" t="s">
        <v>660</v>
      </c>
      <c r="G39" s="1038">
        <v>101541.33333333333</v>
      </c>
      <c r="I39" s="1038">
        <v>16135458.365230035</v>
      </c>
      <c r="K39" s="1039">
        <v>1170443.304</v>
      </c>
      <c r="L39" s="1040">
        <v>0</v>
      </c>
      <c r="M39" s="1039">
        <v>1212963.5579999997</v>
      </c>
      <c r="N39" s="1040">
        <v>0</v>
      </c>
      <c r="O39" s="1039">
        <v>42520.254000000008</v>
      </c>
      <c r="Q39" s="1042">
        <v>3.6328332910006554E-2</v>
      </c>
    </row>
    <row r="40" spans="1:17" ht="28.5" customHeight="1">
      <c r="C40" s="1026" t="s">
        <v>56</v>
      </c>
      <c r="G40" s="1038"/>
      <c r="I40" s="1038"/>
      <c r="K40" s="1039"/>
      <c r="L40" s="1040"/>
      <c r="M40" s="1039"/>
      <c r="N40" s="1040"/>
      <c r="O40" s="1039"/>
      <c r="Q40" s="1042"/>
    </row>
    <row r="41" spans="1:17">
      <c r="A41" s="1018">
        <v>25</v>
      </c>
      <c r="C41" s="1018" t="s">
        <v>57</v>
      </c>
      <c r="E41" s="1018">
        <v>7</v>
      </c>
      <c r="G41" s="1038">
        <v>8046</v>
      </c>
      <c r="I41" s="1038">
        <v>12440.930563737753</v>
      </c>
      <c r="K41" s="1039">
        <v>2999.06</v>
      </c>
      <c r="L41" s="1040"/>
      <c r="M41" s="1039">
        <v>2999.06</v>
      </c>
      <c r="N41" s="1040"/>
      <c r="O41" s="1039">
        <v>0</v>
      </c>
      <c r="Q41" s="1042">
        <v>0</v>
      </c>
    </row>
    <row r="42" spans="1:17">
      <c r="A42" s="1018">
        <v>26</v>
      </c>
      <c r="C42" s="1018" t="s">
        <v>58</v>
      </c>
      <c r="E42" s="1018">
        <v>11</v>
      </c>
      <c r="G42" s="1038">
        <v>809.41666666666663</v>
      </c>
      <c r="I42" s="1038">
        <v>16496.197391013095</v>
      </c>
      <c r="K42" s="1039">
        <v>4979.3900000000003</v>
      </c>
      <c r="L42" s="1040"/>
      <c r="M42" s="1039">
        <v>4979.3900000000003</v>
      </c>
      <c r="N42" s="1040"/>
      <c r="O42" s="1039">
        <v>0</v>
      </c>
      <c r="Q42" s="1042">
        <v>0</v>
      </c>
    </row>
    <row r="43" spans="1:17">
      <c r="A43" s="1018">
        <v>27</v>
      </c>
      <c r="C43" s="1018" t="s">
        <v>59</v>
      </c>
      <c r="E43" s="1018">
        <v>12</v>
      </c>
      <c r="G43" s="1038">
        <v>839</v>
      </c>
      <c r="I43" s="1052">
        <v>56516.774129293255</v>
      </c>
      <c r="K43" s="1039">
        <v>4144.8670000000002</v>
      </c>
      <c r="L43" s="1040"/>
      <c r="M43" s="1039">
        <v>4144.8670000000002</v>
      </c>
      <c r="N43" s="1040"/>
      <c r="O43" s="1039">
        <v>0</v>
      </c>
      <c r="Q43" s="1042">
        <v>0</v>
      </c>
    </row>
    <row r="44" spans="1:17">
      <c r="A44" s="1018">
        <v>28</v>
      </c>
      <c r="C44" s="1018" t="s">
        <v>61</v>
      </c>
      <c r="E44" s="1018">
        <v>15</v>
      </c>
      <c r="G44" s="1038">
        <v>2466</v>
      </c>
      <c r="I44" s="1052">
        <v>6177.9471587633907</v>
      </c>
      <c r="K44" s="1039">
        <v>682.02800000000002</v>
      </c>
      <c r="L44" s="1053"/>
      <c r="M44" s="1054">
        <v>730.39200000000005</v>
      </c>
      <c r="N44" s="1053"/>
      <c r="O44" s="1054">
        <v>48.363999999999997</v>
      </c>
      <c r="P44" s="1055"/>
      <c r="Q44" s="1056">
        <v>7.0912558970277415E-2</v>
      </c>
    </row>
    <row r="45" spans="1:17">
      <c r="A45" s="1018">
        <v>29</v>
      </c>
      <c r="C45" s="1018" t="s">
        <v>60</v>
      </c>
      <c r="E45" s="1018">
        <v>15</v>
      </c>
      <c r="G45" s="1049">
        <v>515</v>
      </c>
      <c r="I45" s="1049">
        <v>17536.444611929484</v>
      </c>
      <c r="K45" s="1045">
        <v>1234.6020000000001</v>
      </c>
      <c r="L45" s="1040"/>
      <c r="M45" s="1045">
        <v>1234.6020000000001</v>
      </c>
      <c r="N45" s="1040"/>
      <c r="O45" s="1045">
        <v>0</v>
      </c>
      <c r="Q45" s="1046">
        <v>0</v>
      </c>
    </row>
    <row r="46" spans="1:17">
      <c r="A46" s="1018">
        <v>30</v>
      </c>
      <c r="C46" s="1050" t="s">
        <v>62</v>
      </c>
      <c r="D46" s="1057"/>
      <c r="F46" s="1057"/>
      <c r="G46" s="1038">
        <v>12675.416666666666</v>
      </c>
      <c r="H46" s="1057"/>
      <c r="I46" s="1038">
        <v>109168.29385473697</v>
      </c>
      <c r="J46" s="1057"/>
      <c r="K46" s="1039">
        <v>14039.947000000002</v>
      </c>
      <c r="L46" s="1039"/>
      <c r="M46" s="1039">
        <v>14088.311000000002</v>
      </c>
      <c r="N46" s="1039"/>
      <c r="O46" s="1039">
        <v>48.363999999999997</v>
      </c>
      <c r="P46" s="1057"/>
      <c r="Q46" s="1042">
        <v>3.4447423483863573E-3</v>
      </c>
    </row>
    <row r="47" spans="1:17" ht="23.1" customHeight="1">
      <c r="A47" s="1018">
        <v>31</v>
      </c>
      <c r="C47" s="1018" t="s">
        <v>63</v>
      </c>
      <c r="E47" s="1037" t="s">
        <v>27</v>
      </c>
      <c r="G47" s="1038">
        <v>5</v>
      </c>
      <c r="I47" s="1038">
        <v>7.7366128294616923</v>
      </c>
      <c r="K47" s="1039">
        <v>0.58299999999999996</v>
      </c>
      <c r="L47" s="1040"/>
      <c r="M47" s="1039">
        <v>0.58299999999999996</v>
      </c>
      <c r="N47" s="1040"/>
      <c r="O47" s="1039">
        <v>0</v>
      </c>
      <c r="Q47" s="1042">
        <v>0</v>
      </c>
    </row>
    <row r="48" spans="1:17">
      <c r="A48" s="1018">
        <v>32</v>
      </c>
      <c r="C48" s="1018" t="s">
        <v>26</v>
      </c>
      <c r="D48" s="1058"/>
      <c r="E48" s="1043" t="s">
        <v>27</v>
      </c>
      <c r="F48" s="1058"/>
      <c r="G48" s="1059"/>
      <c r="H48" s="1058"/>
      <c r="I48" s="1059"/>
      <c r="J48" s="1058"/>
      <c r="K48" s="1045">
        <v>4.6616400000000002</v>
      </c>
      <c r="L48" s="1040"/>
      <c r="M48" s="1045">
        <v>4.6616400000000002</v>
      </c>
      <c r="N48" s="1040"/>
      <c r="O48" s="1045">
        <v>0</v>
      </c>
      <c r="P48" s="1058"/>
      <c r="Q48" s="1046">
        <v>0</v>
      </c>
    </row>
    <row r="49" spans="1:17">
      <c r="A49" s="1018">
        <v>33</v>
      </c>
      <c r="C49" s="1026" t="s">
        <v>65</v>
      </c>
      <c r="E49" s="1060"/>
      <c r="G49" s="1049">
        <v>12680.416666666666</v>
      </c>
      <c r="I49" s="1049">
        <v>109176.03046756644</v>
      </c>
      <c r="K49" s="1045">
        <v>14045.191640000003</v>
      </c>
      <c r="L49" s="1040"/>
      <c r="M49" s="1061">
        <v>14093.555640000002</v>
      </c>
      <c r="N49" s="1040"/>
      <c r="O49" s="1061">
        <v>48.363999999999997</v>
      </c>
      <c r="Q49" s="1046">
        <v>3.4434560410170371E-3</v>
      </c>
    </row>
    <row r="50" spans="1:17" ht="27.75" customHeight="1" thickBot="1">
      <c r="A50" s="1018">
        <v>34</v>
      </c>
      <c r="C50" s="1026" t="s">
        <v>66</v>
      </c>
      <c r="E50" s="1060"/>
      <c r="G50" s="1062">
        <v>854858.75</v>
      </c>
      <c r="I50" s="1062">
        <v>23244284.921518605</v>
      </c>
      <c r="K50" s="1063">
        <v>1884107.45762</v>
      </c>
      <c r="L50" s="1040"/>
      <c r="M50" s="1063">
        <v>1960359.5876199994</v>
      </c>
      <c r="N50" s="1040"/>
      <c r="O50" s="1063">
        <v>76252.13</v>
      </c>
      <c r="Q50" s="1064">
        <v>4.0471221368828671E-2</v>
      </c>
    </row>
    <row r="51" spans="1:17" ht="39.75" customHeight="1" thickTop="1" thickBot="1">
      <c r="A51" s="1018">
        <v>35</v>
      </c>
      <c r="C51" s="1065" t="s">
        <v>661</v>
      </c>
      <c r="E51" s="1060"/>
      <c r="G51" s="1062">
        <v>854852.75</v>
      </c>
      <c r="I51" s="1062">
        <v>22448478.509120017</v>
      </c>
      <c r="K51" s="1063">
        <v>1846078.5889999999</v>
      </c>
      <c r="L51" s="1040"/>
      <c r="M51" s="1063">
        <v>1922330.7189999998</v>
      </c>
      <c r="N51" s="1040"/>
      <c r="O51" s="1063">
        <v>76252.13</v>
      </c>
      <c r="Q51" s="1064">
        <v>4.1304920849174101E-2</v>
      </c>
    </row>
    <row r="52" spans="1:17" ht="16.5" thickTop="1">
      <c r="M52" s="1066"/>
      <c r="O52" s="1067"/>
      <c r="Q52" s="1068"/>
    </row>
    <row r="53" spans="1:17">
      <c r="O53" s="1042"/>
    </row>
    <row r="54" spans="1:17">
      <c r="O54" s="1042"/>
    </row>
  </sheetData>
  <printOptions horizontalCentered="1"/>
  <pageMargins left="0.25" right="0.25" top="1" bottom="0.5" header="0.25" footer="0.25"/>
  <pageSetup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view="pageBreakPreview" topLeftCell="A28" zoomScale="60" zoomScaleNormal="70" workbookViewId="0">
      <selection activeCell="O54" sqref="O54"/>
    </sheetView>
  </sheetViews>
  <sheetFormatPr defaultRowHeight="15.75"/>
  <cols>
    <col min="1" max="1" width="4.625" style="89" customWidth="1"/>
    <col min="2" max="2" width="1.625" style="89" customWidth="1"/>
    <col min="3" max="3" width="35.625" style="89" customWidth="1"/>
    <col min="4" max="4" width="1.5" style="91" customWidth="1"/>
    <col min="5" max="5" width="7.5" style="89" bestFit="1" customWidth="1"/>
    <col min="6" max="6" width="0.75" style="91" customWidth="1"/>
    <col min="7" max="7" width="10.625" style="91" customWidth="1"/>
    <col min="8" max="8" width="0.75" style="91" customWidth="1"/>
    <col min="9" max="9" width="13.875" style="91" bestFit="1" customWidth="1"/>
    <col min="10" max="10" width="1.75" style="91" customWidth="1"/>
    <col min="11" max="11" width="13.25" style="91" bestFit="1" customWidth="1"/>
    <col min="12" max="12" width="1.75" style="91" customWidth="1"/>
    <col min="13" max="13" width="13.625" style="91" customWidth="1"/>
    <col min="14" max="14" width="1.75" style="91" customWidth="1"/>
    <col min="15" max="15" width="13.625" style="91" bestFit="1" customWidth="1"/>
    <col min="16" max="16" width="1.75" style="91" customWidth="1"/>
    <col min="17" max="17" width="8.75" style="27" bestFit="1" customWidth="1"/>
    <col min="18" max="18" width="1.75" style="91" customWidth="1"/>
    <col min="19" max="19" width="6.875" style="28" bestFit="1" customWidth="1"/>
    <col min="20" max="16384" width="9" style="89"/>
  </cols>
  <sheetData>
    <row r="1" spans="1:19">
      <c r="A1" s="85" t="s">
        <v>0</v>
      </c>
      <c r="B1" s="85"/>
      <c r="C1" s="85"/>
      <c r="D1" s="86"/>
      <c r="E1" s="85"/>
      <c r="F1" s="86"/>
      <c r="G1" s="86"/>
      <c r="H1" s="86"/>
      <c r="I1" s="86"/>
      <c r="J1" s="86"/>
      <c r="K1" s="87"/>
      <c r="L1" s="86"/>
      <c r="M1" s="87"/>
      <c r="N1" s="86"/>
      <c r="O1" s="87"/>
      <c r="P1" s="86"/>
      <c r="Q1" s="4"/>
      <c r="R1" s="86"/>
      <c r="S1" s="5"/>
    </row>
    <row r="2" spans="1:19" s="1071" customFormat="1">
      <c r="A2" s="85" t="s">
        <v>1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</row>
    <row r="3" spans="1:19" s="1071" customFormat="1">
      <c r="A3" s="85" t="s">
        <v>2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</row>
    <row r="4" spans="1:19" s="1071" customFormat="1">
      <c r="A4" s="85" t="s">
        <v>3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</row>
    <row r="5" spans="1:19" s="1071" customFormat="1">
      <c r="A5" s="85" t="s">
        <v>646</v>
      </c>
      <c r="B5" s="1070"/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</row>
    <row r="6" spans="1:19">
      <c r="A6" s="85" t="s">
        <v>647</v>
      </c>
      <c r="B6" s="1070"/>
      <c r="C6" s="1070"/>
      <c r="D6" s="1070"/>
      <c r="E6" s="1070"/>
      <c r="F6" s="1070"/>
      <c r="G6" s="1070"/>
      <c r="H6" s="1070"/>
      <c r="I6" s="1070"/>
      <c r="J6" s="1070"/>
      <c r="K6" s="1070"/>
      <c r="L6" s="87"/>
      <c r="M6" s="93"/>
      <c r="N6" s="93"/>
      <c r="O6" s="93"/>
      <c r="P6" s="93"/>
      <c r="Q6" s="93"/>
      <c r="R6" s="93"/>
      <c r="S6" s="93"/>
    </row>
    <row r="7" spans="1:19">
      <c r="A7" s="85"/>
      <c r="B7" s="85"/>
      <c r="C7" s="85"/>
      <c r="D7" s="86"/>
      <c r="E7" s="85"/>
      <c r="F7" s="86"/>
      <c r="G7" s="86"/>
      <c r="H7" s="86"/>
      <c r="I7" s="86"/>
      <c r="J7" s="86"/>
      <c r="K7" s="87"/>
      <c r="L7" s="86"/>
      <c r="M7" s="87"/>
      <c r="N7" s="86"/>
      <c r="O7" s="87"/>
      <c r="P7" s="86"/>
      <c r="Q7" s="4"/>
      <c r="R7" s="86"/>
      <c r="S7" s="5"/>
    </row>
    <row r="8" spans="1:19" ht="12" customHeight="1">
      <c r="A8" s="85"/>
      <c r="B8" s="85"/>
      <c r="C8" s="85"/>
      <c r="D8" s="86"/>
      <c r="E8" s="85"/>
      <c r="F8" s="86"/>
      <c r="G8" s="86"/>
      <c r="H8" s="86"/>
      <c r="I8" s="86"/>
      <c r="J8" s="86"/>
      <c r="K8" s="87"/>
      <c r="L8" s="86"/>
      <c r="M8" s="87"/>
      <c r="N8" s="86"/>
      <c r="O8" s="87"/>
      <c r="P8" s="86"/>
      <c r="Q8" s="4"/>
      <c r="R8" s="86"/>
      <c r="S8" s="5"/>
    </row>
    <row r="9" spans="1:19">
      <c r="D9" s="96"/>
      <c r="E9" s="99"/>
      <c r="F9" s="96"/>
      <c r="G9" s="96" t="s">
        <v>6</v>
      </c>
      <c r="H9" s="96"/>
      <c r="I9" s="96"/>
      <c r="J9" s="96"/>
      <c r="K9" s="98" t="s">
        <v>7</v>
      </c>
      <c r="L9" s="96"/>
      <c r="M9" s="98" t="s">
        <v>8</v>
      </c>
      <c r="N9" s="1072"/>
      <c r="O9" s="1072"/>
      <c r="P9" s="1072"/>
      <c r="Q9" s="1072"/>
      <c r="R9" s="1072"/>
      <c r="S9" s="14"/>
    </row>
    <row r="10" spans="1:19" s="103" customFormat="1">
      <c r="A10" s="103" t="s">
        <v>9</v>
      </c>
      <c r="D10" s="96"/>
      <c r="E10" s="99" t="s">
        <v>10</v>
      </c>
      <c r="F10" s="96"/>
      <c r="G10" s="98" t="s">
        <v>11</v>
      </c>
      <c r="H10" s="96"/>
      <c r="I10" s="96" t="s">
        <v>12</v>
      </c>
      <c r="J10" s="98"/>
      <c r="K10" s="96" t="s">
        <v>13</v>
      </c>
      <c r="L10" s="98"/>
      <c r="M10" s="98" t="s">
        <v>13</v>
      </c>
      <c r="N10" s="98"/>
      <c r="O10" s="1072"/>
      <c r="P10" s="1072"/>
      <c r="Q10" s="16"/>
      <c r="R10" s="98"/>
      <c r="S10" s="17" t="s">
        <v>14</v>
      </c>
    </row>
    <row r="11" spans="1:19" s="103" customFormat="1">
      <c r="A11" s="103" t="s">
        <v>15</v>
      </c>
      <c r="C11" s="99" t="s">
        <v>16</v>
      </c>
      <c r="E11" s="106" t="s">
        <v>15</v>
      </c>
      <c r="G11" s="107" t="s">
        <v>17</v>
      </c>
      <c r="I11" s="107" t="s">
        <v>17</v>
      </c>
      <c r="K11" s="108" t="s">
        <v>18</v>
      </c>
      <c r="M11" s="108" t="s">
        <v>18</v>
      </c>
      <c r="O11" s="107" t="s">
        <v>19</v>
      </c>
      <c r="Q11" s="21" t="s">
        <v>20</v>
      </c>
      <c r="S11" s="22" t="s">
        <v>21</v>
      </c>
    </row>
    <row r="12" spans="1:19" s="103" customFormat="1">
      <c r="C12" s="23">
        <v>-1</v>
      </c>
      <c r="D12" s="24"/>
      <c r="E12" s="23">
        <f>MIN($A12:D12)-1</f>
        <v>-2</v>
      </c>
      <c r="F12" s="24"/>
      <c r="G12" s="23">
        <f>MIN($A12:F12)-1</f>
        <v>-3</v>
      </c>
      <c r="H12" s="24"/>
      <c r="I12" s="23">
        <f>MIN($A12:H12)-1</f>
        <v>-4</v>
      </c>
      <c r="J12" s="24"/>
      <c r="K12" s="23">
        <f>MIN($A12:J12)-1</f>
        <v>-5</v>
      </c>
      <c r="L12" s="24"/>
      <c r="M12" s="23">
        <f>MIN($A12:L12)-1</f>
        <v>-6</v>
      </c>
      <c r="N12" s="24"/>
      <c r="O12" s="23">
        <f>MIN($A12:N12)-1</f>
        <v>-7</v>
      </c>
      <c r="P12" s="24"/>
      <c r="Q12" s="23">
        <f>MIN($A12:P12)-1</f>
        <v>-8</v>
      </c>
      <c r="R12" s="24"/>
      <c r="S12" s="23">
        <f>MIN($A12:R12)-1</f>
        <v>-9</v>
      </c>
    </row>
    <row r="13" spans="1:19" s="103" customFormat="1">
      <c r="D13" s="105"/>
      <c r="F13" s="105"/>
      <c r="G13" s="105"/>
      <c r="H13" s="105"/>
      <c r="I13" s="105"/>
      <c r="J13" s="105"/>
      <c r="K13" s="105"/>
      <c r="L13" s="105"/>
      <c r="M13" s="105"/>
      <c r="N13" s="105"/>
      <c r="O13" s="96" t="str">
        <f>"(" &amp; -M12&amp; ")-(" &amp; -K12 &amp; ")"</f>
        <v>(6)-(5)</v>
      </c>
      <c r="P13" s="105"/>
      <c r="Q13" s="96" t="str">
        <f>"(" &amp; -O12 &amp; ")/(" &amp; -K12 &amp; ")"</f>
        <v>(7)/(5)</v>
      </c>
      <c r="R13" s="105"/>
      <c r="S13" s="96" t="str">
        <f>"(" &amp; -M12 &amp; ")/(" &amp; -I12 &amp; ")"</f>
        <v>(6)/(4)</v>
      </c>
    </row>
    <row r="14" spans="1:19" ht="18.75" customHeight="1">
      <c r="C14" s="103" t="s">
        <v>23</v>
      </c>
    </row>
    <row r="15" spans="1:19">
      <c r="A15" s="89">
        <v>1</v>
      </c>
      <c r="C15" s="89" t="s">
        <v>23</v>
      </c>
      <c r="E15" s="124" t="s">
        <v>24</v>
      </c>
      <c r="G15" s="30">
        <f>ROUND(('[35]Exhibit RMP(JRS-5)'!E11+'[35]Exhibit RMP(JRS-5)'!E31)/12,0)</f>
        <v>740189</v>
      </c>
      <c r="I15" s="30">
        <f>('[35]Exhibit RMP(JRS-5)'!E28+'[35]Exhibit RMP(JRS-5)'!E48)/1000</f>
        <v>6200666.1794248829</v>
      </c>
      <c r="K15" s="31">
        <f>('[35]Exhibit RMP(JRS-5)'!K28+'[35]Exhibit RMP(JRS-5)'!K48)/1000</f>
        <v>661256.86499999999</v>
      </c>
      <c r="L15" s="32"/>
      <c r="M15" s="31">
        <f>K15+O15</f>
        <v>686785.40899999999</v>
      </c>
      <c r="N15" s="32"/>
      <c r="O15" s="31">
        <f>ROUND(K15*Q15,3)</f>
        <v>25528.544000000002</v>
      </c>
      <c r="P15" s="1073"/>
      <c r="Q15" s="1042">
        <f>$O$57</f>
        <v>3.8606092547098299E-2</v>
      </c>
      <c r="S15" s="28">
        <f>ROUND(100*M15/I15,2)</f>
        <v>11.08</v>
      </c>
    </row>
    <row r="16" spans="1:19">
      <c r="A16" s="89">
        <f>MAX(A$14:A15)+1</f>
        <v>2</v>
      </c>
      <c r="C16" s="89" t="s">
        <v>25</v>
      </c>
      <c r="E16" s="130">
        <v>2</v>
      </c>
      <c r="G16" s="30">
        <f>ROUND('[35]Exhibit RMP(JRS-5)'!E51/12,0)</f>
        <v>447</v>
      </c>
      <c r="I16" s="30">
        <f>'[35]Exhibit RMP(JRS-5)'!E70/1000</f>
        <v>3185.6706103628849</v>
      </c>
      <c r="K16" s="31">
        <f>('[35]Exhibit RMP(JRS-5)'!K70)/1000</f>
        <v>338.47300000000001</v>
      </c>
      <c r="L16" s="32"/>
      <c r="M16" s="31">
        <f>K16+O16</f>
        <v>351.54</v>
      </c>
      <c r="N16" s="32"/>
      <c r="O16" s="31">
        <f>ROUND(K16*Q16,3)</f>
        <v>13.067</v>
      </c>
      <c r="P16" s="1073"/>
      <c r="Q16" s="1042">
        <f>$O$57</f>
        <v>3.8606092547098299E-2</v>
      </c>
      <c r="S16" s="28">
        <f>ROUND(100*M16/I16,2)</f>
        <v>11.04</v>
      </c>
    </row>
    <row r="17" spans="1:19">
      <c r="A17" s="89">
        <f>MAX(A$14:A16)+1</f>
        <v>3</v>
      </c>
      <c r="C17" s="131" t="s">
        <v>26</v>
      </c>
      <c r="E17" s="132" t="s">
        <v>27</v>
      </c>
      <c r="G17" s="134"/>
      <c r="I17" s="134"/>
      <c r="K17" s="40">
        <f>'[35]Exhibit RMP(JRS-5)'!K1110/1000</f>
        <v>33.04027</v>
      </c>
      <c r="L17" s="32"/>
      <c r="M17" s="40">
        <f>K17+O17</f>
        <v>33.04027</v>
      </c>
      <c r="N17" s="32"/>
      <c r="O17" s="41">
        <v>0</v>
      </c>
      <c r="Q17" s="1074">
        <v>0</v>
      </c>
      <c r="S17" s="43"/>
    </row>
    <row r="18" spans="1:19">
      <c r="A18" s="89">
        <f>MAX(A$14:A17)+1</f>
        <v>4</v>
      </c>
      <c r="C18" s="103" t="s">
        <v>28</v>
      </c>
      <c r="G18" s="30">
        <f>SUM(G15:G17)</f>
        <v>740636</v>
      </c>
      <c r="I18" s="30">
        <f>SUM(I15:I17)</f>
        <v>6203851.8500352455</v>
      </c>
      <c r="K18" s="31">
        <f>SUM(K15:K17)</f>
        <v>661628.37826999999</v>
      </c>
      <c r="L18" s="32"/>
      <c r="M18" s="31">
        <f>SUM(M15:M17)</f>
        <v>687169.98927000002</v>
      </c>
      <c r="N18" s="32"/>
      <c r="O18" s="31">
        <f>SUM(O15:O17)</f>
        <v>25541.611000000001</v>
      </c>
      <c r="Q18" s="1042">
        <f t="shared" ref="Q18" si="0">O18/K18</f>
        <v>3.8604164873920925E-2</v>
      </c>
      <c r="S18" s="28">
        <f>ROUND(100*M18/I18,2)</f>
        <v>11.08</v>
      </c>
    </row>
    <row r="19" spans="1:19" ht="24.75" customHeight="1">
      <c r="C19" s="103" t="s">
        <v>29</v>
      </c>
      <c r="G19" s="30"/>
      <c r="I19" s="30"/>
      <c r="K19" s="139"/>
      <c r="L19" s="32"/>
      <c r="M19" s="31"/>
      <c r="N19" s="32"/>
      <c r="O19" s="31"/>
      <c r="Q19" s="45"/>
    </row>
    <row r="20" spans="1:19">
      <c r="A20" s="89">
        <f>MAX(A$14:A19)+1</f>
        <v>5</v>
      </c>
      <c r="C20" s="89" t="s">
        <v>30</v>
      </c>
      <c r="E20" s="140">
        <v>6</v>
      </c>
      <c r="G20" s="30">
        <f>ROUND('[35]Exhibit RMP(JRS-5)'!E73/12,0)</f>
        <v>13072</v>
      </c>
      <c r="I20" s="30">
        <f>SUM('[35]Exhibit RMP(JRS-5)'!E82)/1000</f>
        <v>5783806.2612344306</v>
      </c>
      <c r="K20" s="31">
        <f>('[35]Exhibit RMP(JRS-5)'!K82)/1000</f>
        <v>486920.87699999998</v>
      </c>
      <c r="L20" s="32"/>
      <c r="M20" s="31">
        <f>K20+O20</f>
        <v>495980.57199999999</v>
      </c>
      <c r="N20" s="32"/>
      <c r="O20" s="31">
        <f>ROUND(K20*Q20,3)</f>
        <v>9059.6949999999997</v>
      </c>
      <c r="P20" s="1073"/>
      <c r="Q20" s="1042">
        <f>$O$58</f>
        <v>1.8606092547098298E-2</v>
      </c>
      <c r="S20" s="28">
        <f t="shared" ref="S20:S36" si="1">ROUND(100*M20/I20,2)</f>
        <v>8.58</v>
      </c>
    </row>
    <row r="21" spans="1:19">
      <c r="A21" s="89">
        <f>MAX(A$14:A20)+1</f>
        <v>6</v>
      </c>
      <c r="C21" s="89" t="s">
        <v>31</v>
      </c>
      <c r="E21" s="130" t="s">
        <v>32</v>
      </c>
      <c r="G21" s="30">
        <f>ROUND('[35]Exhibit RMP(JRS-5)'!E157/12,0)</f>
        <v>2276</v>
      </c>
      <c r="I21" s="30">
        <f>SUM('[35]Exhibit RMP(JRS-5)'!E166)/1000</f>
        <v>292031.09985016566</v>
      </c>
      <c r="K21" s="31">
        <f>('[35]Exhibit RMP(JRS-5)'!K166)/1000</f>
        <v>33689.550999999999</v>
      </c>
      <c r="L21" s="32"/>
      <c r="M21" s="31">
        <f>K21+O21</f>
        <v>34316.381999999998</v>
      </c>
      <c r="N21" s="32"/>
      <c r="O21" s="31">
        <f t="shared" ref="O21:O22" si="2">ROUND(K21*Q21,3)</f>
        <v>626.83100000000002</v>
      </c>
      <c r="Q21" s="1042">
        <f t="shared" ref="Q21:Q22" si="3">$O$58</f>
        <v>1.8606092547098298E-2</v>
      </c>
      <c r="S21" s="28">
        <f t="shared" si="1"/>
        <v>11.75</v>
      </c>
    </row>
    <row r="22" spans="1:19">
      <c r="A22" s="89">
        <f>MAX(A$14:A21)+1</f>
        <v>7</v>
      </c>
      <c r="C22" s="89" t="s">
        <v>33</v>
      </c>
      <c r="E22" s="130" t="s">
        <v>34</v>
      </c>
      <c r="G22" s="47">
        <f>ROUND('[35]Exhibit RMP(JRS-5)'!E121/12,0)</f>
        <v>37</v>
      </c>
      <c r="I22" s="47">
        <f>'[35]Exhibit RMP(JRS-5)'!E130/1000</f>
        <v>3907.4969999999998</v>
      </c>
      <c r="K22" s="40">
        <f>'[35]Exhibit RMP(JRS-5)'!K130/1000</f>
        <v>340.60899999999998</v>
      </c>
      <c r="L22" s="32"/>
      <c r="M22" s="40">
        <f>K22+O22</f>
        <v>346.94599999999997</v>
      </c>
      <c r="N22" s="32"/>
      <c r="O22" s="40">
        <f t="shared" si="2"/>
        <v>6.3369999999999997</v>
      </c>
      <c r="Q22" s="1046">
        <f t="shared" si="3"/>
        <v>1.8606092547098298E-2</v>
      </c>
      <c r="S22" s="43">
        <f t="shared" si="1"/>
        <v>8.8800000000000008</v>
      </c>
    </row>
    <row r="23" spans="1:19">
      <c r="A23" s="89">
        <f>MAX(A$14:A22)+1</f>
        <v>8</v>
      </c>
      <c r="C23" s="141" t="s">
        <v>35</v>
      </c>
      <c r="G23" s="30">
        <f>SUM(G20:G22)</f>
        <v>15385</v>
      </c>
      <c r="I23" s="30">
        <f>SUM(I20:I22)</f>
        <v>6079744.8580845967</v>
      </c>
      <c r="K23" s="31">
        <f>SUM(K20:K22)</f>
        <v>520951.03699999995</v>
      </c>
      <c r="L23" s="32"/>
      <c r="M23" s="31">
        <f>SUM(M20:M22)</f>
        <v>530643.9</v>
      </c>
      <c r="N23" s="32"/>
      <c r="O23" s="31">
        <f>SUM(O20:O22)</f>
        <v>9692.8629999999994</v>
      </c>
      <c r="Q23" s="1042">
        <f t="shared" ref="Q23:Q39" si="4">O23/K23</f>
        <v>1.8606092149884713E-2</v>
      </c>
      <c r="S23" s="28">
        <f t="shared" si="1"/>
        <v>8.73</v>
      </c>
    </row>
    <row r="24" spans="1:19" ht="23.1" customHeight="1">
      <c r="A24" s="89">
        <f>MAX(A$14:A23)+1</f>
        <v>9</v>
      </c>
      <c r="C24" s="131" t="s">
        <v>36</v>
      </c>
      <c r="E24" s="89">
        <v>8</v>
      </c>
      <c r="F24" s="30"/>
      <c r="G24" s="30">
        <f>ROUND('[35]Exhibit RMP(JRS-5)'!E405/12,0)</f>
        <v>274</v>
      </c>
      <c r="I24" s="30">
        <f>'[35]Exhibit RMP(JRS-5)'!E414/1000</f>
        <v>2187047.3255884075</v>
      </c>
      <c r="K24" s="31">
        <f>('[35]Exhibit RMP(JRS-5)'!K414)/1000</f>
        <v>162435.073</v>
      </c>
      <c r="L24" s="32"/>
      <c r="M24" s="31">
        <f>K24+O24</f>
        <v>168706.05600000001</v>
      </c>
      <c r="N24" s="32"/>
      <c r="O24" s="31">
        <f t="shared" ref="O24:O26" si="5">ROUND(K24*Q24,3)</f>
        <v>6270.9830000000002</v>
      </c>
      <c r="Q24" s="1042">
        <f>$O$59</f>
        <v>3.8606092547098299E-2</v>
      </c>
      <c r="S24" s="28">
        <f t="shared" si="1"/>
        <v>7.71</v>
      </c>
    </row>
    <row r="25" spans="1:19" ht="23.1" customHeight="1">
      <c r="A25" s="89">
        <f>MAX(A$14:A24)+1</f>
        <v>10</v>
      </c>
      <c r="C25" s="89" t="s">
        <v>37</v>
      </c>
      <c r="E25" s="89">
        <v>9</v>
      </c>
      <c r="G25" s="30">
        <f>ROUND('[35]Exhibit RMP(JRS-5)'!E441/12,0)</f>
        <v>149</v>
      </c>
      <c r="I25" s="30">
        <f>('[35]Exhibit RMP(JRS-5)'!E449)/1000</f>
        <v>5027435.5407653069</v>
      </c>
      <c r="K25" s="31">
        <f>('[35]Exhibit RMP(JRS-5)'!K449)/1000</f>
        <v>271735.00799999997</v>
      </c>
      <c r="L25" s="32"/>
      <c r="M25" s="31">
        <f>K25+O25</f>
        <v>293095.03499999997</v>
      </c>
      <c r="N25" s="32"/>
      <c r="O25" s="31">
        <f t="shared" si="5"/>
        <v>21360.026999999998</v>
      </c>
      <c r="Q25" s="1042">
        <f>$O$60</f>
        <v>7.86060925470983E-2</v>
      </c>
      <c r="S25" s="28">
        <f t="shared" si="1"/>
        <v>5.83</v>
      </c>
    </row>
    <row r="26" spans="1:19">
      <c r="A26" s="89">
        <f>MAX(A$14:A25)+1</f>
        <v>11</v>
      </c>
      <c r="C26" s="89" t="s">
        <v>38</v>
      </c>
      <c r="E26" s="130" t="s">
        <v>39</v>
      </c>
      <c r="G26" s="47">
        <f>ROUND('[35]Exhibit RMP(JRS-5)'!E485/12,0)</f>
        <v>9</v>
      </c>
      <c r="I26" s="47">
        <f>'[35]Exhibit RMP(JRS-5)'!E490/1000</f>
        <v>42590.781425473026</v>
      </c>
      <c r="K26" s="40">
        <f>'[35]Exhibit RMP(JRS-5)'!K490/1000</f>
        <v>3139.413</v>
      </c>
      <c r="L26" s="32"/>
      <c r="M26" s="40">
        <f>K26+O26</f>
        <v>3386.19</v>
      </c>
      <c r="N26" s="32"/>
      <c r="O26" s="40">
        <f t="shared" si="5"/>
        <v>246.77699999999999</v>
      </c>
      <c r="Q26" s="1046">
        <f>$O$60</f>
        <v>7.86060925470983E-2</v>
      </c>
      <c r="S26" s="43">
        <f t="shared" si="1"/>
        <v>7.95</v>
      </c>
    </row>
    <row r="27" spans="1:19">
      <c r="A27" s="89">
        <f>MAX(A$14:A26)+1</f>
        <v>12</v>
      </c>
      <c r="C27" s="141" t="s">
        <v>40</v>
      </c>
      <c r="G27" s="30">
        <f>SUM(G25:G26)</f>
        <v>158</v>
      </c>
      <c r="I27" s="30">
        <f>SUM(I25:I26)</f>
        <v>5070026.3221907802</v>
      </c>
      <c r="K27" s="31">
        <f>SUM(K25:K26)</f>
        <v>274874.42099999997</v>
      </c>
      <c r="L27" s="32"/>
      <c r="M27" s="31">
        <f>SUM(M25:M26)</f>
        <v>296481.22499999998</v>
      </c>
      <c r="N27" s="32"/>
      <c r="O27" s="31">
        <f>SUM(O25:O26)</f>
        <v>21606.803999999996</v>
      </c>
      <c r="Q27" s="1042">
        <f t="shared" si="4"/>
        <v>7.8606091906965755E-2</v>
      </c>
      <c r="S27" s="28">
        <f t="shared" si="1"/>
        <v>5.85</v>
      </c>
    </row>
    <row r="28" spans="1:19" ht="23.1" customHeight="1">
      <c r="A28" s="89">
        <f>MAX(A$14:A27)+1</f>
        <v>13</v>
      </c>
      <c r="C28" s="89" t="s">
        <v>41</v>
      </c>
      <c r="E28" s="130">
        <v>10</v>
      </c>
      <c r="G28" s="30">
        <f>'[35]Exhibit RMP(JRS-5)'!E509+'[35]Exhibit RMP(JRS-5)'!E510</f>
        <v>2784.3333333333335</v>
      </c>
      <c r="I28" s="30">
        <f>'[35]Exhibit RMP(JRS-5)'!E522/1000</f>
        <v>173133.39199999999</v>
      </c>
      <c r="K28" s="31">
        <f>('[35]Exhibit RMP(JRS-5)'!K522)/1000</f>
        <v>12709.311</v>
      </c>
      <c r="L28" s="32"/>
      <c r="M28" s="31">
        <f>K28+O28</f>
        <v>13263.513999999999</v>
      </c>
      <c r="N28" s="32"/>
      <c r="O28" s="31">
        <f t="shared" ref="O28:O29" si="6">ROUND(K28*Q28,3)</f>
        <v>554.20299999999997</v>
      </c>
      <c r="Q28" s="1042">
        <f>$O$61</f>
        <v>4.3606092547098296E-2</v>
      </c>
      <c r="S28" s="28">
        <f t="shared" si="1"/>
        <v>7.66</v>
      </c>
    </row>
    <row r="29" spans="1:19">
      <c r="A29" s="89">
        <f>MAX(A$14:A28)+1</f>
        <v>14</v>
      </c>
      <c r="C29" s="89" t="s">
        <v>42</v>
      </c>
      <c r="E29" s="130" t="s">
        <v>43</v>
      </c>
      <c r="G29" s="47">
        <f>'[35]Exhibit RMP(JRS-5)'!E525+'[35]Exhibit RMP(JRS-5)'!E526</f>
        <v>261</v>
      </c>
      <c r="I29" s="47">
        <f>'[35]Exhibit RMP(JRS-5)'!E538/1000</f>
        <v>16756.608</v>
      </c>
      <c r="K29" s="40">
        <f>('[35]Exhibit RMP(JRS-5)'!K538)/1000</f>
        <v>1239.4849999999999</v>
      </c>
      <c r="L29" s="32"/>
      <c r="M29" s="40">
        <f>K29+O29</f>
        <v>1293.5339999999999</v>
      </c>
      <c r="N29" s="32"/>
      <c r="O29" s="40">
        <f t="shared" si="6"/>
        <v>54.048999999999999</v>
      </c>
      <c r="Q29" s="1046">
        <f>$O$61</f>
        <v>4.3606092547098296E-2</v>
      </c>
      <c r="S29" s="43">
        <f t="shared" si="1"/>
        <v>7.72</v>
      </c>
    </row>
    <row r="30" spans="1:19">
      <c r="A30" s="89">
        <f>MAX(A$14:A29)+1</f>
        <v>15</v>
      </c>
      <c r="C30" s="141" t="s">
        <v>44</v>
      </c>
      <c r="G30" s="30">
        <f>SUM(G28:G29)</f>
        <v>3045.3333333333335</v>
      </c>
      <c r="I30" s="30">
        <f>SUM(I28:I29)</f>
        <v>189890</v>
      </c>
      <c r="K30" s="31">
        <f>SUM(K28:K29)</f>
        <v>13948.796</v>
      </c>
      <c r="L30" s="32"/>
      <c r="M30" s="31">
        <f>SUM(M28:M29)</f>
        <v>14557.047999999999</v>
      </c>
      <c r="N30" s="32"/>
      <c r="O30" s="31">
        <f>SUM(O28:O29)</f>
        <v>608.25199999999995</v>
      </c>
      <c r="Q30" s="1042">
        <f t="shared" si="4"/>
        <v>4.3606057469046069E-2</v>
      </c>
      <c r="S30" s="28">
        <f t="shared" si="1"/>
        <v>7.67</v>
      </c>
    </row>
    <row r="31" spans="1:19" ht="23.1" customHeight="1">
      <c r="A31" s="89">
        <f>MAX(A$14:A30)+1</f>
        <v>16</v>
      </c>
      <c r="C31" s="89" t="s">
        <v>45</v>
      </c>
      <c r="E31" s="89">
        <v>21</v>
      </c>
      <c r="G31" s="30">
        <f>ROUND(('[35]Exhibit RMP(JRS-5)'!E737+'[35]Exhibit RMP(JRS-5)'!E744)/12,0)</f>
        <v>5</v>
      </c>
      <c r="I31" s="30">
        <f>'[35]Exhibit RMP(JRS-5)'!E750/1000</f>
        <v>4048.7003377015881</v>
      </c>
      <c r="K31" s="31">
        <f>('[35]Exhibit RMP(JRS-5)'!K750)/1000</f>
        <v>453.78500000000003</v>
      </c>
      <c r="L31" s="32"/>
      <c r="M31" s="31">
        <f t="shared" ref="M31:M37" si="7">K31+O31</f>
        <v>489.45500000000004</v>
      </c>
      <c r="N31" s="32"/>
      <c r="O31" s="31">
        <f t="shared" ref="O31:O36" si="8">ROUND(K31*Q31,3)</f>
        <v>35.67</v>
      </c>
      <c r="Q31" s="1042">
        <f>$O$60</f>
        <v>7.86060925470983E-2</v>
      </c>
      <c r="S31" s="28">
        <f t="shared" si="1"/>
        <v>12.09</v>
      </c>
    </row>
    <row r="32" spans="1:19">
      <c r="A32" s="89">
        <f>MAX(A$14:A31)+1</f>
        <v>17</v>
      </c>
      <c r="C32" s="89" t="s">
        <v>46</v>
      </c>
      <c r="E32" s="140">
        <v>23</v>
      </c>
      <c r="G32" s="30">
        <f>ROUND('[35]Exhibit RMP(JRS-5)'!E753/12,0)</f>
        <v>82668</v>
      </c>
      <c r="I32" s="30">
        <f>SUM('[35]Exhibit RMP(JRS-5)'!E763)/1000</f>
        <v>1390888.2107534346</v>
      </c>
      <c r="K32" s="31">
        <f>('[35]Exhibit RMP(JRS-5)'!K763)/1000</f>
        <v>137738.93700000001</v>
      </c>
      <c r="L32" s="32"/>
      <c r="M32" s="31">
        <f t="shared" si="7"/>
        <v>141679.11000000002</v>
      </c>
      <c r="N32" s="32"/>
      <c r="O32" s="31">
        <f t="shared" si="8"/>
        <v>3940.1729999999998</v>
      </c>
      <c r="Q32" s="1042">
        <f>$O$63</f>
        <v>2.8606092547098297E-2</v>
      </c>
      <c r="S32" s="28">
        <f t="shared" si="1"/>
        <v>10.19</v>
      </c>
    </row>
    <row r="33" spans="1:19">
      <c r="A33" s="89">
        <f>MAX(A$14:A32)+1</f>
        <v>18</v>
      </c>
      <c r="C33" s="89" t="s">
        <v>49</v>
      </c>
      <c r="E33" s="89">
        <v>31</v>
      </c>
      <c r="G33" s="30">
        <f>ROUND(('[35]Exhibit RMP(JRS-5)'!E806+'[35]Exhibit RMP(JRS-5)'!E819+'[35]Exhibit RMP(JRS-5)'!E832)/12,0)</f>
        <v>4</v>
      </c>
      <c r="I33" s="30">
        <f>'[35]Exhibit RMP(JRS-5)'!E863/1000</f>
        <v>56282.44502511515</v>
      </c>
      <c r="K33" s="31">
        <f>'[35]Exhibit RMP(JRS-5)'!K863/1000</f>
        <v>4219.4679999999998</v>
      </c>
      <c r="L33" s="32"/>
      <c r="M33" s="31">
        <f t="shared" si="7"/>
        <v>4551.1440000000002</v>
      </c>
      <c r="N33" s="32"/>
      <c r="O33" s="31">
        <f t="shared" si="8"/>
        <v>331.67599999999999</v>
      </c>
      <c r="Q33" s="1042">
        <f>$O$60</f>
        <v>7.86060925470983E-2</v>
      </c>
      <c r="S33" s="28">
        <f t="shared" si="1"/>
        <v>8.09</v>
      </c>
    </row>
    <row r="34" spans="1:19">
      <c r="A34" s="89">
        <f>MAX(A$14:A33)+1</f>
        <v>19</v>
      </c>
      <c r="C34" s="131" t="s">
        <v>50</v>
      </c>
      <c r="E34" s="130" t="s">
        <v>27</v>
      </c>
      <c r="G34" s="30">
        <f>ROUND('[35]Exhibit RMP(JRS-5)'!E1049/12,0)</f>
        <v>1</v>
      </c>
      <c r="I34" s="30">
        <f>'[35]Exhibit RMP(JRS-5)'!E1053/1000</f>
        <v>535721.17000000004</v>
      </c>
      <c r="K34" s="31">
        <f>('[35]Exhibit RMP(JRS-5)'!K1053)/1000</f>
        <v>27176.952000000001</v>
      </c>
      <c r="L34" s="32"/>
      <c r="M34" s="31">
        <f t="shared" si="7"/>
        <v>28205.463</v>
      </c>
      <c r="N34" s="32"/>
      <c r="O34" s="51">
        <f t="shared" si="8"/>
        <v>1028.511</v>
      </c>
      <c r="Q34" s="1042">
        <f>$O$54</f>
        <v>3.7844975195879239E-2</v>
      </c>
      <c r="S34" s="28">
        <f t="shared" si="1"/>
        <v>5.26</v>
      </c>
    </row>
    <row r="35" spans="1:19">
      <c r="A35" s="89">
        <f>MAX(A$14:A34)+1</f>
        <v>20</v>
      </c>
      <c r="C35" s="131" t="s">
        <v>51</v>
      </c>
      <c r="E35" s="130" t="s">
        <v>27</v>
      </c>
      <c r="G35" s="30">
        <f>ROUND('[35]Exhibit RMP(JRS-5)'!E1056/12,0)</f>
        <v>1</v>
      </c>
      <c r="I35" s="30">
        <f>'[35]Exhibit RMP(JRS-5)'!E1058/1000</f>
        <v>795798.67578575748</v>
      </c>
      <c r="K35" s="31">
        <f>'[35]Exhibit RMP(JRS-5)'!K1058/1000</f>
        <v>35062.89</v>
      </c>
      <c r="L35" s="32"/>
      <c r="M35" s="31">
        <f t="shared" si="7"/>
        <v>35062.89</v>
      </c>
      <c r="N35" s="32"/>
      <c r="O35" s="51">
        <f t="shared" si="8"/>
        <v>0</v>
      </c>
      <c r="Q35" s="1075">
        <f>O65</f>
        <v>0</v>
      </c>
      <c r="S35" s="28">
        <f t="shared" si="1"/>
        <v>4.41</v>
      </c>
    </row>
    <row r="36" spans="1:19">
      <c r="A36" s="89">
        <f>MAX(A$14:A35)+1</f>
        <v>21</v>
      </c>
      <c r="C36" s="131" t="s">
        <v>52</v>
      </c>
      <c r="E36" s="130" t="s">
        <v>27</v>
      </c>
      <c r="G36" s="30">
        <f>ROUND('[35]Exhibit RMP(JRS-5)'!E1061/12,0)</f>
        <v>1</v>
      </c>
      <c r="I36" s="30">
        <f>'[35]Exhibit RMP(JRS-5)'!E1080/1000</f>
        <v>621809.33325000003</v>
      </c>
      <c r="K36" s="31">
        <f>('[35]Exhibit RMP(JRS-5)'!K1080)/1000</f>
        <v>28644.834999999999</v>
      </c>
      <c r="L36" s="32"/>
      <c r="M36" s="31">
        <f t="shared" si="7"/>
        <v>30896.493999999999</v>
      </c>
      <c r="N36" s="32"/>
      <c r="O36" s="31">
        <f t="shared" si="8"/>
        <v>2251.6590000000001</v>
      </c>
      <c r="Q36" s="1042">
        <f>$O$60</f>
        <v>7.86060925470983E-2</v>
      </c>
      <c r="S36" s="28">
        <f t="shared" si="1"/>
        <v>4.97</v>
      </c>
    </row>
    <row r="37" spans="1:19">
      <c r="A37" s="89">
        <f>MAX(A$14:A36)+1</f>
        <v>22</v>
      </c>
      <c r="C37" s="131" t="s">
        <v>26</v>
      </c>
      <c r="E37" s="132" t="s">
        <v>27</v>
      </c>
      <c r="G37" s="134"/>
      <c r="I37" s="134"/>
      <c r="K37" s="40">
        <f>('[35]Exhibit RMP(JRS-5)'!K1111+'[35]Exhibit RMP(JRS-5)'!K1112+'[35]Exhibit RMP(JRS-5)'!K1113+'[35]Exhibit RMP(JRS-5)'!K1115)/1000</f>
        <v>2927.6937100000005</v>
      </c>
      <c r="L37" s="32"/>
      <c r="M37" s="40">
        <f t="shared" si="7"/>
        <v>2927.6937100000005</v>
      </c>
      <c r="N37" s="32"/>
      <c r="O37" s="1076">
        <v>0</v>
      </c>
      <c r="P37" s="1077"/>
      <c r="Q37" s="1074">
        <v>0</v>
      </c>
      <c r="S37" s="43"/>
    </row>
    <row r="38" spans="1:19">
      <c r="A38" s="89">
        <f>MAX(A$14:A37)+1</f>
        <v>23</v>
      </c>
      <c r="C38" s="103" t="s">
        <v>88</v>
      </c>
      <c r="G38" s="30">
        <f>SUM(G20:G22,G24:G26,G28:G29,G31:G37)</f>
        <v>101542.33333333333</v>
      </c>
      <c r="I38" s="30">
        <f>SUM(I20:I22,I24:I26,I28:I29,I31:I37)</f>
        <v>16931257.041015793</v>
      </c>
      <c r="K38" s="31">
        <f>SUM(K20:K22,K24:K26,K28:K29,K31:K37)</f>
        <v>1208433.8877099999</v>
      </c>
      <c r="L38" s="32">
        <f>SUM(L20:L22,L24:L26,L28:L29,L31:L37)</f>
        <v>0</v>
      </c>
      <c r="M38" s="31">
        <f>SUM(M20:M22,M24:M26,M28:M29,M31:M37)</f>
        <v>1254200.4787099997</v>
      </c>
      <c r="N38" s="32">
        <f>SUM(N20:N22,N24:N26,N28:N29,N31:N37)</f>
        <v>0</v>
      </c>
      <c r="O38" s="31">
        <f>SUM(O20:O22,O24:O26,O28:O29,O31:O37)</f>
        <v>45766.591</v>
      </c>
      <c r="Q38" s="1042">
        <f t="shared" si="4"/>
        <v>3.7872647784421509E-2</v>
      </c>
      <c r="S38" s="28">
        <f>ROUND(100*M38/I38,2)</f>
        <v>7.41</v>
      </c>
    </row>
    <row r="39" spans="1:19" ht="31.5">
      <c r="A39" s="89">
        <f>MAX(A$14:A38)+1</f>
        <v>24</v>
      </c>
      <c r="C39" s="142" t="s">
        <v>660</v>
      </c>
      <c r="G39" s="30">
        <f>G38-SUM(G35,G37)</f>
        <v>101541.33333333333</v>
      </c>
      <c r="I39" s="30">
        <f>I38-SUM(I35,I37)</f>
        <v>16135458.365230035</v>
      </c>
      <c r="K39" s="31">
        <f>K38-SUM(K35,K37)</f>
        <v>1170443.304</v>
      </c>
      <c r="L39" s="32">
        <f>L38-SUM(L34:L37)</f>
        <v>0</v>
      </c>
      <c r="M39" s="31">
        <f>M38-SUM(M35,M37)</f>
        <v>1216209.8949999998</v>
      </c>
      <c r="N39" s="32">
        <f>N38-SUM(N34:N37)</f>
        <v>0</v>
      </c>
      <c r="O39" s="31">
        <f>O38-SUM(O35,O37)</f>
        <v>45766.591</v>
      </c>
      <c r="Q39" s="1042">
        <f t="shared" si="4"/>
        <v>3.9101929024321198E-2</v>
      </c>
      <c r="S39" s="28">
        <f>ROUND(100*M39/I39,2)</f>
        <v>7.54</v>
      </c>
    </row>
    <row r="40" spans="1:19" ht="28.5" customHeight="1">
      <c r="C40" s="103" t="s">
        <v>56</v>
      </c>
      <c r="G40" s="30"/>
      <c r="I40" s="30"/>
      <c r="K40" s="31"/>
      <c r="L40" s="32"/>
      <c r="M40" s="31"/>
      <c r="N40" s="32"/>
      <c r="O40" s="31"/>
      <c r="Q40" s="45"/>
    </row>
    <row r="41" spans="1:19">
      <c r="A41" s="89">
        <f>MAX(A$14:A40)+1</f>
        <v>25</v>
      </c>
      <c r="C41" s="89" t="s">
        <v>57</v>
      </c>
      <c r="E41" s="89">
        <v>7</v>
      </c>
      <c r="G41" s="30">
        <f>'[35]Exhibit RMP(JRS-5)'!E241</f>
        <v>8046</v>
      </c>
      <c r="I41" s="30">
        <f>'[35]Exhibit RMP(JRS-5)'!E242/1000</f>
        <v>12440.930563737753</v>
      </c>
      <c r="K41" s="31">
        <f>('[35]Exhibit RMP(JRS-5)'!K242)/1000</f>
        <v>2999.06</v>
      </c>
      <c r="L41" s="32"/>
      <c r="M41" s="31">
        <f t="shared" ref="M41:M48" si="9">K41+O41</f>
        <v>3114.8420000000001</v>
      </c>
      <c r="N41" s="32"/>
      <c r="O41" s="31">
        <f t="shared" ref="O41:O45" si="10">ROUND(K41*Q41,3)</f>
        <v>115.782</v>
      </c>
      <c r="Q41" s="1042">
        <f>$O$66</f>
        <v>3.8606092547098299E-2</v>
      </c>
      <c r="S41" s="28">
        <f t="shared" ref="S41:S47" si="11">ROUND(100*M41/I41,2)</f>
        <v>25.04</v>
      </c>
    </row>
    <row r="42" spans="1:19">
      <c r="A42" s="89">
        <f>MAX(A$14:A41)+1</f>
        <v>26</v>
      </c>
      <c r="C42" s="89" t="s">
        <v>58</v>
      </c>
      <c r="E42" s="89">
        <v>11</v>
      </c>
      <c r="G42" s="30">
        <f>'[35]Exhibit RMP(JRS-5)'!E588</f>
        <v>809.41666666666663</v>
      </c>
      <c r="I42" s="30">
        <f>'[35]Exhibit RMP(JRS-5)'!E590/1000</f>
        <v>16496.197391013095</v>
      </c>
      <c r="K42" s="31">
        <f>('[35]Exhibit RMP(JRS-5)'!K590)/1000</f>
        <v>4979.3900000000003</v>
      </c>
      <c r="L42" s="32"/>
      <c r="M42" s="31">
        <f t="shared" si="9"/>
        <v>5171.625</v>
      </c>
      <c r="N42" s="32"/>
      <c r="O42" s="31">
        <f t="shared" si="10"/>
        <v>192.23500000000001</v>
      </c>
      <c r="Q42" s="1042">
        <f>$O$66</f>
        <v>3.8606092547098299E-2</v>
      </c>
      <c r="S42" s="28">
        <f t="shared" si="11"/>
        <v>31.35</v>
      </c>
    </row>
    <row r="43" spans="1:19">
      <c r="A43" s="89">
        <f>MAX(A$14:A42)+1</f>
        <v>27</v>
      </c>
      <c r="C43" s="89" t="s">
        <v>59</v>
      </c>
      <c r="E43" s="89">
        <v>12</v>
      </c>
      <c r="G43" s="30">
        <f>'[35]Exhibit RMP(JRS-5)'!E671</f>
        <v>839</v>
      </c>
      <c r="I43" s="53">
        <f>'[35]Exhibit RMP(JRS-5)'!E673/1000</f>
        <v>56516.774129293255</v>
      </c>
      <c r="K43" s="31">
        <f>('[35]Exhibit RMP(JRS-5)'!K673)/1000</f>
        <v>4144.8670000000002</v>
      </c>
      <c r="L43" s="32"/>
      <c r="M43" s="31">
        <f t="shared" si="9"/>
        <v>4304.884</v>
      </c>
      <c r="N43" s="32"/>
      <c r="O43" s="31">
        <f t="shared" si="10"/>
        <v>160.017</v>
      </c>
      <c r="Q43" s="1042">
        <f>$O$66</f>
        <v>3.8606092547098299E-2</v>
      </c>
      <c r="S43" s="28">
        <f t="shared" si="11"/>
        <v>7.62</v>
      </c>
    </row>
    <row r="44" spans="1:19">
      <c r="A44" s="89">
        <f>MAX(A$14:A43)+1</f>
        <v>28</v>
      </c>
      <c r="C44" s="89" t="s">
        <v>61</v>
      </c>
      <c r="E44" s="89">
        <v>15</v>
      </c>
      <c r="G44" s="30">
        <f>ROUND('[35]Exhibit RMP(JRS-5)'!E712/12,0)</f>
        <v>2466</v>
      </c>
      <c r="I44" s="53">
        <f>'[35]Exhibit RMP(JRS-5)'!E715/1000</f>
        <v>6177.9471587633907</v>
      </c>
      <c r="K44" s="31">
        <f>('[35]Exhibit RMP(JRS-5)'!K715)/1000</f>
        <v>682.02800000000002</v>
      </c>
      <c r="L44" s="56"/>
      <c r="M44" s="55">
        <f t="shared" si="9"/>
        <v>728.81899999999996</v>
      </c>
      <c r="N44" s="56"/>
      <c r="O44" s="55">
        <f t="shared" si="10"/>
        <v>46.790999999999997</v>
      </c>
      <c r="P44" s="133"/>
      <c r="Q44" s="1056">
        <f>$O$62</f>
        <v>6.8606092547098291E-2</v>
      </c>
      <c r="R44" s="133"/>
      <c r="S44" s="58">
        <f t="shared" si="11"/>
        <v>11.8</v>
      </c>
    </row>
    <row r="45" spans="1:19">
      <c r="A45" s="89">
        <f>MAX(A$14:A44)+1</f>
        <v>29</v>
      </c>
      <c r="C45" s="89" t="s">
        <v>60</v>
      </c>
      <c r="E45" s="89">
        <v>15</v>
      </c>
      <c r="G45" s="47">
        <f>ROUND('[35]Exhibit RMP(JRS-5)'!E679/12,0)</f>
        <v>515</v>
      </c>
      <c r="I45" s="47">
        <f>('[35]Exhibit RMP(JRS-5)'!E682)/1000</f>
        <v>17536.444611929484</v>
      </c>
      <c r="K45" s="40">
        <f>('[35]Exhibit RMP(JRS-5)'!K682)/1000</f>
        <v>1234.6020000000001</v>
      </c>
      <c r="L45" s="32"/>
      <c r="M45" s="40">
        <f>K45+O45</f>
        <v>1282.2650000000001</v>
      </c>
      <c r="N45" s="32"/>
      <c r="O45" s="40">
        <f t="shared" si="10"/>
        <v>47.662999999999997</v>
      </c>
      <c r="Q45" s="1046">
        <f>$O$66</f>
        <v>3.8606092547098299E-2</v>
      </c>
      <c r="S45" s="43">
        <f>ROUND(100*M45/I45,2)</f>
        <v>7.31</v>
      </c>
    </row>
    <row r="46" spans="1:19">
      <c r="A46" s="89">
        <f>MAX(A$14:A45)+1</f>
        <v>30</v>
      </c>
      <c r="C46" s="141" t="s">
        <v>62</v>
      </c>
      <c r="D46" s="60"/>
      <c r="F46" s="60"/>
      <c r="G46" s="30">
        <f>SUM(G41:G45)</f>
        <v>12675.416666666666</v>
      </c>
      <c r="H46" s="60"/>
      <c r="I46" s="30">
        <f>SUM(I41:I45)</f>
        <v>109168.29385473697</v>
      </c>
      <c r="J46" s="60"/>
      <c r="K46" s="31">
        <f>SUM(K41:K45)</f>
        <v>14039.947000000002</v>
      </c>
      <c r="L46" s="31"/>
      <c r="M46" s="31">
        <f>SUM(M41:N45)</f>
        <v>14602.434999999999</v>
      </c>
      <c r="N46" s="31"/>
      <c r="O46" s="31">
        <f>SUM(O41:P45)</f>
        <v>562.48800000000006</v>
      </c>
      <c r="P46" s="60"/>
      <c r="Q46" s="1042">
        <f t="shared" ref="Q46:Q49" si="12">O46/K46</f>
        <v>4.0063399099725942E-2</v>
      </c>
      <c r="R46" s="60"/>
      <c r="S46" s="28">
        <f t="shared" si="11"/>
        <v>13.38</v>
      </c>
    </row>
    <row r="47" spans="1:19" ht="23.1" customHeight="1">
      <c r="A47" s="89">
        <f>MAX(A$14:A46)+1</f>
        <v>31</v>
      </c>
      <c r="C47" s="131" t="s">
        <v>63</v>
      </c>
      <c r="E47" s="130" t="s">
        <v>27</v>
      </c>
      <c r="G47" s="30">
        <f>'[35]Exhibit RMP(JRS-5)'!E1087</f>
        <v>5</v>
      </c>
      <c r="I47" s="30">
        <f>'[35]Exhibit RMP(JRS-5)'!E1089/1000</f>
        <v>7.7366128294616923</v>
      </c>
      <c r="K47" s="31">
        <f>'[35]Exhibit RMP(JRS-5)'!K1089/1000</f>
        <v>0.58299999999999996</v>
      </c>
      <c r="L47" s="32"/>
      <c r="M47" s="31">
        <f t="shared" si="9"/>
        <v>0.58299999999999996</v>
      </c>
      <c r="N47" s="32"/>
      <c r="O47" s="1078">
        <v>0</v>
      </c>
      <c r="P47" s="1077"/>
      <c r="Q47" s="1075">
        <v>0</v>
      </c>
      <c r="S47" s="28">
        <f t="shared" si="11"/>
        <v>7.54</v>
      </c>
    </row>
    <row r="48" spans="1:19">
      <c r="A48" s="89">
        <f>MAX(A$14:A47)+1</f>
        <v>32</v>
      </c>
      <c r="C48" s="131" t="s">
        <v>26</v>
      </c>
      <c r="D48" s="62"/>
      <c r="E48" s="132" t="s">
        <v>27</v>
      </c>
      <c r="F48" s="62"/>
      <c r="G48" s="63"/>
      <c r="H48" s="62"/>
      <c r="I48" s="63"/>
      <c r="J48" s="62"/>
      <c r="K48" s="40">
        <f>'[35]Exhibit RMP(JRS-5)'!K1114/1000</f>
        <v>4.6616400000000002</v>
      </c>
      <c r="L48" s="32"/>
      <c r="M48" s="40">
        <f t="shared" si="9"/>
        <v>4.6616400000000002</v>
      </c>
      <c r="N48" s="32"/>
      <c r="O48" s="1076">
        <v>0</v>
      </c>
      <c r="P48" s="1079"/>
      <c r="Q48" s="1074">
        <v>0</v>
      </c>
      <c r="R48" s="62"/>
      <c r="S48" s="43"/>
    </row>
    <row r="49" spans="1:19">
      <c r="A49" s="89">
        <f>MAX(A$14:A48)+1</f>
        <v>33</v>
      </c>
      <c r="C49" s="103" t="s">
        <v>65</v>
      </c>
      <c r="E49" s="122"/>
      <c r="G49" s="47">
        <f>SUM(G47:G48)+G46</f>
        <v>12680.416666666666</v>
      </c>
      <c r="I49" s="47">
        <f>SUM(I47:I48)+I46</f>
        <v>109176.03046756644</v>
      </c>
      <c r="K49" s="40">
        <f>SUM(K47:K48)+K46</f>
        <v>14045.191640000003</v>
      </c>
      <c r="L49" s="32"/>
      <c r="M49" s="65">
        <f>SUM(M46:M48)</f>
        <v>14607.67964</v>
      </c>
      <c r="N49" s="32"/>
      <c r="O49" s="65">
        <f>SUM(O46:O48)</f>
        <v>562.48800000000006</v>
      </c>
      <c r="Q49" s="1046">
        <f t="shared" si="12"/>
        <v>4.0048438954585881E-2</v>
      </c>
      <c r="S49" s="43">
        <f>ROUND(100*M49/I49,2)</f>
        <v>13.38</v>
      </c>
    </row>
    <row r="50" spans="1:19" ht="27.75" customHeight="1" thickBot="1">
      <c r="A50" s="89">
        <f>MAX(A$14:A49)+1</f>
        <v>34</v>
      </c>
      <c r="C50" s="103" t="s">
        <v>66</v>
      </c>
      <c r="E50" s="122"/>
      <c r="G50" s="66">
        <f>G49+G38+G18</f>
        <v>854858.75</v>
      </c>
      <c r="I50" s="66">
        <f>I49+I38+I18</f>
        <v>23244284.921518605</v>
      </c>
      <c r="K50" s="67">
        <f>K49+K38+K18</f>
        <v>1884107.45762</v>
      </c>
      <c r="L50" s="32"/>
      <c r="M50" s="67">
        <f>M49+M38+M18</f>
        <v>1955978.1476199997</v>
      </c>
      <c r="N50" s="32"/>
      <c r="O50" s="67">
        <f>O49+O38+O18</f>
        <v>71870.69</v>
      </c>
      <c r="Q50" s="1064">
        <f>O50/K50</f>
        <v>3.8145748911151217E-2</v>
      </c>
      <c r="S50" s="69">
        <f>ROUND(100*M50/I50,2)</f>
        <v>8.41</v>
      </c>
    </row>
    <row r="51" spans="1:19" ht="39.75" customHeight="1" thickTop="1" thickBot="1">
      <c r="A51" s="89">
        <f>MAX(A$14:A50)+1</f>
        <v>35</v>
      </c>
      <c r="C51" s="147" t="s">
        <v>661</v>
      </c>
      <c r="E51" s="122"/>
      <c r="G51" s="66">
        <f>G46+G39+G18-G17</f>
        <v>854852.75</v>
      </c>
      <c r="I51" s="66">
        <f>I46+I39+I18-I17</f>
        <v>22448478.509120017</v>
      </c>
      <c r="K51" s="67">
        <f>K46+K39+K18-K17</f>
        <v>1846078.5889999999</v>
      </c>
      <c r="L51" s="32"/>
      <c r="M51" s="67">
        <f>M46+M39+M18-M17</f>
        <v>1917949.2789999999</v>
      </c>
      <c r="N51" s="32"/>
      <c r="O51" s="67">
        <f>O46+O39+O18-O17</f>
        <v>71870.69</v>
      </c>
      <c r="Q51" s="1064">
        <f>O51/K51</f>
        <v>3.8931544100152066E-2</v>
      </c>
      <c r="S51" s="69">
        <f>ROUND(100*M51/I51,2)</f>
        <v>8.5399999999999991</v>
      </c>
    </row>
    <row r="52" spans="1:19" ht="16.5" thickTop="1">
      <c r="C52" s="103"/>
      <c r="E52" s="122"/>
    </row>
    <row r="53" spans="1:19">
      <c r="A53" s="1080" t="s">
        <v>666</v>
      </c>
      <c r="B53" s="1081"/>
      <c r="C53" s="1081"/>
      <c r="I53" s="133"/>
      <c r="J53" s="1082"/>
      <c r="K53" s="1083"/>
      <c r="L53" s="1083"/>
      <c r="M53" s="1084" t="s">
        <v>70</v>
      </c>
      <c r="N53" s="1083"/>
      <c r="O53" s="1085">
        <v>71304</v>
      </c>
      <c r="P53" s="1083"/>
      <c r="Q53" s="1086"/>
    </row>
    <row r="54" spans="1:19">
      <c r="A54" s="89">
        <v>1</v>
      </c>
      <c r="C54" s="131" t="s">
        <v>667</v>
      </c>
      <c r="I54" s="133"/>
      <c r="J54" s="1087"/>
      <c r="K54" s="133"/>
      <c r="L54" s="133"/>
      <c r="M54" s="1088" t="s">
        <v>71</v>
      </c>
      <c r="N54" s="133"/>
      <c r="O54" s="1067">
        <f>O53/K50</f>
        <v>3.7844975195879239E-2</v>
      </c>
      <c r="P54" s="133"/>
      <c r="Q54" s="1089"/>
    </row>
    <row r="55" spans="1:19">
      <c r="A55" s="89">
        <v>2</v>
      </c>
      <c r="C55" s="131" t="s">
        <v>668</v>
      </c>
      <c r="I55" s="133"/>
      <c r="J55" s="1087"/>
      <c r="K55" s="133"/>
      <c r="L55" s="133"/>
      <c r="M55" s="1088" t="s">
        <v>669</v>
      </c>
      <c r="N55" s="133"/>
      <c r="O55" s="1067">
        <f>O53/K51</f>
        <v>3.8624574503420557E-2</v>
      </c>
      <c r="P55" s="133"/>
      <c r="Q55" s="1089"/>
    </row>
    <row r="56" spans="1:19">
      <c r="C56" s="131" t="s">
        <v>670</v>
      </c>
      <c r="I56" s="133"/>
      <c r="J56" s="1087"/>
      <c r="K56" s="133"/>
      <c r="L56" s="133"/>
      <c r="M56" s="1088" t="s">
        <v>671</v>
      </c>
      <c r="N56" s="133"/>
      <c r="O56" s="1090">
        <f>O53/(K51-K46+K44)</f>
        <v>3.89060925470983E-2</v>
      </c>
      <c r="P56" s="133"/>
      <c r="Q56" s="1091" t="s">
        <v>68</v>
      </c>
    </row>
    <row r="57" spans="1:19">
      <c r="A57" s="89">
        <v>3</v>
      </c>
      <c r="C57" s="131" t="s">
        <v>672</v>
      </c>
      <c r="I57" s="133"/>
      <c r="J57" s="1087"/>
      <c r="K57" s="133"/>
      <c r="L57" s="133"/>
      <c r="M57" s="1013" t="s">
        <v>109</v>
      </c>
      <c r="N57" s="133"/>
      <c r="O57" s="1067">
        <f>$O$59+Q57</f>
        <v>3.8606092547098299E-2</v>
      </c>
      <c r="P57" s="133"/>
      <c r="Q57" s="1092">
        <v>0</v>
      </c>
    </row>
    <row r="58" spans="1:19">
      <c r="A58" s="89">
        <v>4</v>
      </c>
      <c r="C58" s="131" t="s">
        <v>673</v>
      </c>
      <c r="I58" s="133"/>
      <c r="J58" s="1087"/>
      <c r="K58" s="133"/>
      <c r="L58" s="133"/>
      <c r="M58" s="1093" t="s">
        <v>674</v>
      </c>
      <c r="N58" s="133"/>
      <c r="O58" s="1067">
        <f>$O$59+Q58</f>
        <v>1.8606092547098298E-2</v>
      </c>
      <c r="P58" s="133"/>
      <c r="Q58" s="1092">
        <v>-0.02</v>
      </c>
      <c r="S58" s="80"/>
    </row>
    <row r="59" spans="1:19">
      <c r="A59" s="89">
        <v>5</v>
      </c>
      <c r="C59" s="131" t="s">
        <v>675</v>
      </c>
      <c r="I59" s="133"/>
      <c r="J59" s="1087"/>
      <c r="K59" s="133"/>
      <c r="L59" s="133"/>
      <c r="M59" s="1093" t="s">
        <v>665</v>
      </c>
      <c r="N59" s="133"/>
      <c r="O59" s="1090">
        <f>'OCS Rate Spread'!$O$56+Q59</f>
        <v>3.8606092547098299E-2</v>
      </c>
      <c r="P59" s="133"/>
      <c r="Q59" s="1094">
        <v>-2.9999999999999997E-4</v>
      </c>
    </row>
    <row r="60" spans="1:19">
      <c r="C60" s="131" t="s">
        <v>676</v>
      </c>
      <c r="I60" s="133"/>
      <c r="J60" s="1087"/>
      <c r="K60" s="133"/>
      <c r="L60" s="133"/>
      <c r="M60" s="1088" t="s">
        <v>662</v>
      </c>
      <c r="N60" s="133"/>
      <c r="O60" s="1067">
        <f t="shared" ref="O60:O62" si="13">$O$59+Q60</f>
        <v>7.86060925470983E-2</v>
      </c>
      <c r="P60" s="133"/>
      <c r="Q60" s="1092">
        <v>0.04</v>
      </c>
    </row>
    <row r="61" spans="1:19">
      <c r="A61" s="89">
        <v>6</v>
      </c>
      <c r="C61" s="131" t="s">
        <v>677</v>
      </c>
      <c r="I61" s="133"/>
      <c r="J61" s="1087"/>
      <c r="K61" s="133"/>
      <c r="L61" s="133"/>
      <c r="M61" s="1088">
        <v>10</v>
      </c>
      <c r="N61" s="133"/>
      <c r="O61" s="1067">
        <f t="shared" si="13"/>
        <v>4.3606092547098296E-2</v>
      </c>
      <c r="P61" s="133"/>
      <c r="Q61" s="1092">
        <v>5.0000000000000001E-3</v>
      </c>
    </row>
    <row r="62" spans="1:19">
      <c r="A62" s="89">
        <v>7</v>
      </c>
      <c r="C62" s="131" t="s">
        <v>678</v>
      </c>
      <c r="I62" s="133"/>
      <c r="J62" s="1087"/>
      <c r="K62" s="133"/>
      <c r="L62" s="133"/>
      <c r="M62" s="1013" t="s">
        <v>664</v>
      </c>
      <c r="N62" s="133"/>
      <c r="O62" s="1067">
        <f t="shared" si="13"/>
        <v>6.8606092547098291E-2</v>
      </c>
      <c r="P62" s="133"/>
      <c r="Q62" s="1092">
        <v>0.03</v>
      </c>
    </row>
    <row r="63" spans="1:19">
      <c r="A63" s="89">
        <v>8</v>
      </c>
      <c r="C63" s="131" t="s">
        <v>679</v>
      </c>
      <c r="I63" s="133"/>
      <c r="J63" s="1087"/>
      <c r="K63" s="133"/>
      <c r="L63" s="133"/>
      <c r="M63" s="1093" t="s">
        <v>680</v>
      </c>
      <c r="N63" s="133"/>
      <c r="O63" s="1067">
        <f>$O$59+Q63</f>
        <v>2.8606092547098297E-2</v>
      </c>
      <c r="P63" s="133"/>
      <c r="Q63" s="1092">
        <v>-0.01</v>
      </c>
      <c r="S63" s="80"/>
    </row>
    <row r="64" spans="1:19">
      <c r="C64" s="131" t="s">
        <v>681</v>
      </c>
      <c r="I64" s="133"/>
      <c r="J64" s="1087"/>
      <c r="K64" s="133"/>
      <c r="L64" s="133"/>
      <c r="M64" s="1088" t="s">
        <v>50</v>
      </c>
      <c r="N64" s="133"/>
      <c r="O64" s="1067">
        <f>O54</f>
        <v>3.7844975195879239E-2</v>
      </c>
      <c r="P64" s="133"/>
      <c r="Q64" s="1092">
        <v>0</v>
      </c>
    </row>
    <row r="65" spans="1:19">
      <c r="A65" s="89">
        <v>9</v>
      </c>
      <c r="C65" s="131" t="s">
        <v>682</v>
      </c>
      <c r="I65" s="133"/>
      <c r="J65" s="1087"/>
      <c r="K65" s="133"/>
      <c r="L65" s="133"/>
      <c r="M65" s="1088" t="s">
        <v>51</v>
      </c>
      <c r="N65" s="133"/>
      <c r="O65" s="1095">
        <v>0</v>
      </c>
      <c r="P65" s="133"/>
      <c r="Q65" s="1092">
        <v>0</v>
      </c>
    </row>
    <row r="66" spans="1:19">
      <c r="A66" s="89">
        <v>10</v>
      </c>
      <c r="C66" s="131" t="s">
        <v>683</v>
      </c>
      <c r="I66" s="133"/>
      <c r="J66" s="1096"/>
      <c r="K66" s="1097"/>
      <c r="L66" s="1097"/>
      <c r="M66" s="1098" t="s">
        <v>77</v>
      </c>
      <c r="N66" s="1097"/>
      <c r="O66" s="1067">
        <f>$O$59+Q66</f>
        <v>3.8606092547098299E-2</v>
      </c>
      <c r="P66" s="1097"/>
      <c r="Q66" s="1099">
        <v>0</v>
      </c>
      <c r="S66" s="82"/>
    </row>
    <row r="67" spans="1:19">
      <c r="A67" s="89">
        <v>11</v>
      </c>
      <c r="C67" s="131" t="s">
        <v>684</v>
      </c>
      <c r="M67" s="1100"/>
      <c r="O67" s="1067"/>
      <c r="Q67" s="1077"/>
    </row>
    <row r="68" spans="1:19">
      <c r="M68" s="1100"/>
      <c r="O68" s="1067"/>
      <c r="Q68" s="1101"/>
    </row>
    <row r="69" spans="1:19">
      <c r="O69" s="33"/>
      <c r="Q69" s="84"/>
    </row>
    <row r="70" spans="1:19">
      <c r="O70" s="33"/>
    </row>
  </sheetData>
  <printOptions horizontalCentered="1"/>
  <pageMargins left="0.75" right="0.75" top="1" bottom="1" header="0.5" footer="0.5"/>
  <pageSetup scale="50" orientation="portrait" r:id="rId1"/>
  <headerFooter alignWithMargins="0">
    <oddHeader>&amp;LUT 13-035-184
OCS 14.2&amp;R&amp;"Times New Roman,Bold"Confidential Attachment OCS 14.2</oddHeader>
    <oddFooter>&amp;L&amp;F&amp;CPage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75" workbookViewId="0">
      <selection activeCell="L3" sqref="L3"/>
    </sheetView>
  </sheetViews>
  <sheetFormatPr defaultRowHeight="15.75"/>
  <cols>
    <col min="1" max="1" width="43" customWidth="1"/>
    <col min="2" max="2" width="13.5" bestFit="1" customWidth="1"/>
    <col min="3" max="3" width="1.75" customWidth="1"/>
    <col min="4" max="4" width="13.5" bestFit="1" customWidth="1"/>
    <col min="5" max="5" width="1.125" customWidth="1"/>
    <col min="7" max="7" width="1.875" customWidth="1"/>
    <col min="8" max="8" width="12.75" bestFit="1" customWidth="1"/>
    <col min="9" max="9" width="1.125" customWidth="1"/>
    <col min="11" max="11" width="12.75" bestFit="1" customWidth="1"/>
    <col min="12" max="13" width="12.75" customWidth="1"/>
    <col min="14" max="14" width="1.75" customWidth="1"/>
    <col min="15" max="15" width="20.5" customWidth="1"/>
    <col min="16" max="16" width="12.75" bestFit="1" customWidth="1"/>
  </cols>
  <sheetData>
    <row r="1" spans="1:18" ht="18.75">
      <c r="A1" s="896" t="s">
        <v>615</v>
      </c>
    </row>
    <row r="2" spans="1:18" ht="20.25">
      <c r="A2" s="850"/>
      <c r="L2" s="870" t="s">
        <v>698</v>
      </c>
      <c r="M2" s="869"/>
    </row>
    <row r="3" spans="1:18" ht="20.25">
      <c r="A3" s="897" t="s">
        <v>616</v>
      </c>
      <c r="B3" s="882"/>
      <c r="C3" s="883"/>
      <c r="D3" s="883"/>
      <c r="E3" s="883"/>
      <c r="F3" s="884"/>
      <c r="G3" s="883"/>
      <c r="H3" s="883"/>
      <c r="I3" s="883"/>
      <c r="J3" s="883"/>
      <c r="K3" s="883"/>
      <c r="L3" s="883"/>
      <c r="M3" s="883"/>
    </row>
    <row r="4" spans="1:18" ht="16.5" thickBot="1">
      <c r="A4" s="851" t="s">
        <v>592</v>
      </c>
      <c r="B4" s="900">
        <f>'OCS Rate Spread'!M15*1000</f>
        <v>686785409</v>
      </c>
      <c r="D4" t="s">
        <v>697</v>
      </c>
    </row>
    <row r="5" spans="1:18" ht="16.5" thickTop="1">
      <c r="A5" s="852" t="s">
        <v>605</v>
      </c>
      <c r="B5" s="878">
        <v>6</v>
      </c>
    </row>
    <row r="6" spans="1:18">
      <c r="A6" s="852" t="s">
        <v>606</v>
      </c>
      <c r="B6" s="878">
        <v>12</v>
      </c>
    </row>
    <row r="7" spans="1:18">
      <c r="A7" s="852"/>
      <c r="B7" s="853"/>
    </row>
    <row r="8" spans="1:18">
      <c r="A8" s="852" t="s">
        <v>696</v>
      </c>
      <c r="B8" s="854"/>
      <c r="H8" s="881"/>
    </row>
    <row r="9" spans="1:18" ht="18.75">
      <c r="A9" s="852" t="s">
        <v>695</v>
      </c>
      <c r="B9" s="879">
        <v>1.21E-2</v>
      </c>
      <c r="C9" s="150"/>
      <c r="D9" s="149"/>
      <c r="E9" s="150"/>
      <c r="F9" s="151"/>
      <c r="G9" s="150"/>
      <c r="H9" s="149"/>
      <c r="I9" s="150"/>
      <c r="J9" s="149"/>
      <c r="K9" s="152"/>
      <c r="L9" s="152"/>
      <c r="M9" s="152"/>
      <c r="N9" s="153"/>
      <c r="O9" s="153"/>
      <c r="P9" s="154"/>
      <c r="Q9" s="155"/>
      <c r="R9" s="156"/>
    </row>
    <row r="10" spans="1:18" ht="18.75">
      <c r="A10" s="852" t="s">
        <v>593</v>
      </c>
      <c r="B10" s="879">
        <v>1.21E-2</v>
      </c>
      <c r="C10" s="150"/>
      <c r="D10" s="149"/>
      <c r="E10" s="150"/>
      <c r="F10" s="151"/>
      <c r="G10" s="150"/>
      <c r="H10" s="149"/>
      <c r="I10" s="150"/>
      <c r="J10" s="149"/>
      <c r="K10" s="152"/>
      <c r="L10" s="152"/>
      <c r="M10" s="152"/>
      <c r="N10" s="158"/>
      <c r="O10" s="158"/>
      <c r="P10" s="154"/>
      <c r="Q10" s="155"/>
      <c r="R10" s="156"/>
    </row>
    <row r="11" spans="1:18" ht="18.75">
      <c r="A11" s="852" t="s">
        <v>611</v>
      </c>
      <c r="B11" s="879">
        <v>1.21E-2</v>
      </c>
      <c r="C11" s="150"/>
      <c r="D11" s="149"/>
      <c r="E11" s="150"/>
      <c r="F11" s="151"/>
      <c r="G11" s="150"/>
      <c r="H11" s="149"/>
      <c r="I11" s="150"/>
      <c r="J11" s="149"/>
      <c r="K11" s="152"/>
      <c r="L11" s="152"/>
      <c r="M11" s="152"/>
      <c r="N11" s="158"/>
      <c r="O11" s="158"/>
      <c r="P11" s="154"/>
      <c r="Q11" s="155"/>
      <c r="R11" s="156"/>
    </row>
    <row r="12" spans="1:18" ht="18.75">
      <c r="A12" s="852" t="s">
        <v>612</v>
      </c>
      <c r="B12" s="879">
        <v>0.05</v>
      </c>
      <c r="C12" s="150"/>
      <c r="D12" s="149"/>
      <c r="E12" s="150"/>
      <c r="F12" s="151"/>
      <c r="G12" s="150"/>
      <c r="H12" s="149"/>
      <c r="I12" s="150"/>
      <c r="J12" s="149"/>
      <c r="K12" s="152"/>
      <c r="L12" s="152"/>
      <c r="M12" s="152"/>
      <c r="N12" s="158"/>
      <c r="O12" s="158"/>
      <c r="P12" s="154"/>
      <c r="Q12" s="155"/>
      <c r="R12" s="156"/>
    </row>
    <row r="13" spans="1:18" ht="18.75">
      <c r="B13" s="885"/>
      <c r="C13" s="150"/>
      <c r="D13" s="149"/>
      <c r="E13" s="150"/>
      <c r="F13" s="151"/>
      <c r="G13" s="150"/>
      <c r="H13" s="149"/>
      <c r="I13" s="150"/>
      <c r="J13" s="149"/>
      <c r="K13" s="152"/>
      <c r="L13" s="152"/>
      <c r="M13" s="152"/>
      <c r="N13" s="158"/>
      <c r="O13" s="158"/>
      <c r="P13" s="159"/>
      <c r="Q13" s="160"/>
      <c r="R13" s="156"/>
    </row>
    <row r="14" spans="1:18">
      <c r="A14" s="161"/>
      <c r="B14" s="167"/>
      <c r="C14" s="164"/>
      <c r="D14" s="167"/>
      <c r="E14" s="164"/>
      <c r="F14" s="161"/>
      <c r="G14" s="158"/>
      <c r="H14" s="168"/>
      <c r="I14" s="164"/>
      <c r="J14" s="274" t="s">
        <v>694</v>
      </c>
      <c r="K14" s="168"/>
      <c r="L14" s="168"/>
      <c r="M14" s="168"/>
      <c r="N14" s="168"/>
      <c r="O14" s="162"/>
      <c r="P14" s="157"/>
      <c r="Q14" s="157"/>
      <c r="R14" s="157"/>
    </row>
    <row r="15" spans="1:18">
      <c r="A15" s="161"/>
      <c r="B15" s="169"/>
      <c r="C15" s="164"/>
      <c r="D15" s="169"/>
      <c r="E15" s="164"/>
      <c r="F15" s="170"/>
      <c r="G15" s="158"/>
      <c r="H15" s="168" t="s">
        <v>96</v>
      </c>
      <c r="I15" s="164"/>
      <c r="J15" s="855"/>
      <c r="K15" s="855"/>
      <c r="M15" s="856" t="s">
        <v>594</v>
      </c>
      <c r="N15" s="168"/>
      <c r="O15" s="171"/>
      <c r="P15" s="172"/>
      <c r="Q15" s="157"/>
      <c r="R15" s="157"/>
    </row>
    <row r="16" spans="1:18">
      <c r="A16" s="161"/>
      <c r="B16" s="173" t="s">
        <v>97</v>
      </c>
      <c r="C16" s="164"/>
      <c r="D16" s="173" t="s">
        <v>96</v>
      </c>
      <c r="E16" s="164"/>
      <c r="F16" s="170" t="s">
        <v>7</v>
      </c>
      <c r="G16" s="158"/>
      <c r="H16" s="168" t="s">
        <v>98</v>
      </c>
      <c r="I16" s="164"/>
      <c r="J16" s="857" t="s">
        <v>101</v>
      </c>
      <c r="K16" s="855" t="s">
        <v>98</v>
      </c>
      <c r="L16" s="858" t="s">
        <v>595</v>
      </c>
      <c r="M16" s="856" t="s">
        <v>98</v>
      </c>
      <c r="N16" s="168"/>
      <c r="O16" s="174"/>
      <c r="P16" s="162"/>
      <c r="Q16" s="157"/>
      <c r="R16" s="157"/>
    </row>
    <row r="17" spans="1:18">
      <c r="A17" s="161"/>
      <c r="B17" s="175" t="s">
        <v>99</v>
      </c>
      <c r="C17" s="164"/>
      <c r="D17" s="175" t="s">
        <v>100</v>
      </c>
      <c r="E17" s="164"/>
      <c r="F17" s="176" t="s">
        <v>101</v>
      </c>
      <c r="G17" s="158"/>
      <c r="H17" s="177" t="s">
        <v>102</v>
      </c>
      <c r="I17" s="164"/>
      <c r="J17" s="859"/>
      <c r="K17" s="859"/>
      <c r="L17" s="859"/>
      <c r="M17" s="860" t="s">
        <v>596</v>
      </c>
      <c r="N17" s="158"/>
      <c r="O17" s="178"/>
      <c r="P17" s="179"/>
      <c r="Q17" s="180"/>
      <c r="R17" s="157"/>
    </row>
    <row r="18" spans="1:18">
      <c r="A18" s="181"/>
      <c r="B18" s="182"/>
      <c r="C18" s="164"/>
      <c r="D18" s="163"/>
      <c r="E18" s="164"/>
      <c r="F18" s="161"/>
      <c r="G18" s="164"/>
      <c r="H18" s="162"/>
      <c r="I18" s="164"/>
      <c r="J18" s="162"/>
      <c r="K18" s="162"/>
      <c r="L18" s="162"/>
      <c r="M18" s="162"/>
      <c r="N18" s="162"/>
      <c r="O18" s="162"/>
      <c r="P18" s="157"/>
      <c r="Q18" s="157"/>
      <c r="R18" s="157"/>
    </row>
    <row r="19" spans="1:18">
      <c r="A19" s="185" t="s">
        <v>104</v>
      </c>
      <c r="B19" s="278">
        <f>'Billing Determinants'!C11+'Billing Determinants'!C31</f>
        <v>8639212.4097431693</v>
      </c>
      <c r="C19" s="164"/>
      <c r="D19" s="278">
        <f>'Billing Determinants'!E11+'Billing Determinants'!E31</f>
        <v>8882265.0101599023</v>
      </c>
      <c r="E19" s="164"/>
      <c r="F19" s="187"/>
      <c r="G19" s="188"/>
      <c r="H19" s="172"/>
      <c r="I19" s="164"/>
      <c r="J19" s="187"/>
      <c r="K19" s="172"/>
      <c r="L19" s="861"/>
      <c r="M19" s="861"/>
      <c r="N19" s="172"/>
      <c r="O19" s="162"/>
      <c r="P19" s="190"/>
      <c r="Q19" s="157"/>
      <c r="R19" s="190"/>
    </row>
    <row r="20" spans="1:18">
      <c r="A20" s="185" t="s">
        <v>105</v>
      </c>
      <c r="B20" s="278">
        <f>'Billing Determinants'!C12+'Billing Determinants'!C32</f>
        <v>8528197.1034932472</v>
      </c>
      <c r="C20" s="164"/>
      <c r="D20" s="278">
        <f>'Billing Determinants'!E12+'Billing Determinants'!E32</f>
        <v>8768234</v>
      </c>
      <c r="E20" s="164"/>
      <c r="F20" s="875">
        <f>'Billing Determinants'!G12</f>
        <v>5</v>
      </c>
      <c r="G20" s="188"/>
      <c r="H20" s="172">
        <f>ROUND($F20*D20,0)</f>
        <v>43841170</v>
      </c>
      <c r="I20" s="164"/>
      <c r="J20" s="242">
        <f>B5</f>
        <v>6</v>
      </c>
      <c r="K20" s="172">
        <f>ROUND(J20*$D20,0)</f>
        <v>52609404</v>
      </c>
      <c r="L20" s="276">
        <f t="shared" ref="L20:L21" si="0">J20/F20-1</f>
        <v>0.19999999999999996</v>
      </c>
      <c r="M20" s="276">
        <f t="shared" ref="M20:M21" si="1">(K20-H20)/($K$35-$H$35)</f>
        <v>0.37597556258366016</v>
      </c>
      <c r="N20" s="172"/>
      <c r="O20" s="162"/>
      <c r="P20" s="190"/>
      <c r="Q20" s="157"/>
      <c r="R20" s="190"/>
    </row>
    <row r="21" spans="1:18">
      <c r="A21" s="185" t="s">
        <v>106</v>
      </c>
      <c r="B21" s="278">
        <f>'Billing Determinants'!C13+'Billing Determinants'!C33</f>
        <v>13967.991500000002</v>
      </c>
      <c r="C21" s="164"/>
      <c r="D21" s="278">
        <f>'Billing Determinants'!E13+'Billing Determinants'!E33</f>
        <v>14351</v>
      </c>
      <c r="E21" s="164"/>
      <c r="F21" s="875">
        <f>'Billing Determinants'!G13</f>
        <v>10</v>
      </c>
      <c r="G21" s="188"/>
      <c r="H21" s="172">
        <f>ROUND($F21*D21,0)</f>
        <v>143510</v>
      </c>
      <c r="I21" s="164"/>
      <c r="J21" s="242">
        <f>B6</f>
        <v>12</v>
      </c>
      <c r="K21" s="172">
        <f>ROUND(J21*$D21,0)</f>
        <v>172212</v>
      </c>
      <c r="L21" s="276">
        <f t="shared" si="0"/>
        <v>0.19999999999999996</v>
      </c>
      <c r="M21" s="276">
        <f t="shared" si="1"/>
        <v>1.2307211004264043E-3</v>
      </c>
      <c r="N21" s="172"/>
      <c r="O21" s="162"/>
      <c r="P21" s="894"/>
      <c r="Q21" s="184"/>
      <c r="R21" s="190"/>
    </row>
    <row r="22" spans="1:18">
      <c r="A22" s="185" t="s">
        <v>613</v>
      </c>
      <c r="B22" s="278">
        <f>'Billing Determinants'!C14+'Billing Determinants'!C34+'Billing Determinants'!C54</f>
        <v>16026.9815</v>
      </c>
      <c r="C22" s="164"/>
      <c r="D22" s="278">
        <f>'Billing Determinants'!E14+'Billing Determinants'!E34+'Billing Determinants'!E54</f>
        <v>25117</v>
      </c>
      <c r="E22" s="164"/>
      <c r="F22" s="875"/>
      <c r="G22" s="188"/>
      <c r="H22" s="172"/>
      <c r="I22" s="164"/>
      <c r="J22" s="242">
        <v>4.82</v>
      </c>
      <c r="K22" s="172">
        <f>ROUND(J22*$D22,0)</f>
        <v>121064</v>
      </c>
      <c r="L22" s="276"/>
      <c r="M22" s="276">
        <f t="shared" ref="M22" si="2">(K22-H22)/($K$35-$H$35)</f>
        <v>5.1911371786642823E-3</v>
      </c>
      <c r="N22" s="172"/>
      <c r="O22" s="162"/>
      <c r="P22" s="190"/>
      <c r="Q22" s="184"/>
      <c r="R22" s="190"/>
    </row>
    <row r="23" spans="1:18">
      <c r="A23" s="185" t="s">
        <v>107</v>
      </c>
      <c r="B23" s="874">
        <f>'Billing Determinants'!C15+'Billing Determinants'!C35</f>
        <v>1300631565</v>
      </c>
      <c r="C23" s="164"/>
      <c r="D23" s="278">
        <f>'Billing Determinants'!E15+'Billing Determinants'!E35</f>
        <v>1322071859</v>
      </c>
      <c r="E23" s="164"/>
      <c r="F23" s="876">
        <f>'Billing Determinants'!G15+'OCS Sch 1 CC &amp; Energy Charge'!Z28</f>
        <v>8.8854000000000006</v>
      </c>
      <c r="G23" s="193" t="s">
        <v>108</v>
      </c>
      <c r="H23" s="172">
        <f t="shared" ref="H23:H27" si="3">ROUND($F23*D23/100,0)</f>
        <v>117471373</v>
      </c>
      <c r="I23" s="164"/>
      <c r="J23" s="192">
        <f>ROUND(F23*(1+B9),4)</f>
        <v>8.9929000000000006</v>
      </c>
      <c r="K23" s="172">
        <f>ROUND(J23*$D23/100,0)</f>
        <v>118892600</v>
      </c>
      <c r="L23" s="276">
        <f t="shared" ref="L23:L30" si="4">J23/F23-1</f>
        <v>1.2098498660724433E-2</v>
      </c>
      <c r="M23" s="276">
        <f t="shared" ref="M23:M30" si="5">(K23-H23)/($K$35-$H$35)</f>
        <v>6.0941190767044719E-2</v>
      </c>
      <c r="N23" s="172"/>
      <c r="O23" s="162"/>
      <c r="P23" s="184"/>
      <c r="Q23" s="184"/>
      <c r="R23" s="190"/>
    </row>
    <row r="24" spans="1:18">
      <c r="A24" s="185" t="s">
        <v>110</v>
      </c>
      <c r="B24" s="874">
        <f>'Billing Determinants'!C16+'Billing Determinants'!C36</f>
        <v>1085051591</v>
      </c>
      <c r="C24" s="164"/>
      <c r="D24" s="278">
        <f>'Billing Determinants'!E16+'Billing Determinants'!E36</f>
        <v>1072363320</v>
      </c>
      <c r="E24" s="164"/>
      <c r="F24" s="876">
        <f>'Billing Determinants'!G16+'OCS Sch 1 CC &amp; Energy Charge'!Z28</f>
        <v>11.5785</v>
      </c>
      <c r="G24" s="193" t="s">
        <v>108</v>
      </c>
      <c r="H24" s="172">
        <f t="shared" si="3"/>
        <v>124163587</v>
      </c>
      <c r="I24" s="164"/>
      <c r="J24" s="192">
        <f>ROUND(F24*(1+B10),4)</f>
        <v>11.7186</v>
      </c>
      <c r="K24" s="172">
        <f>ROUND(J24*$D24/100,0)</f>
        <v>125665968</v>
      </c>
      <c r="L24" s="276">
        <f t="shared" si="4"/>
        <v>1.2100012955045925E-2</v>
      </c>
      <c r="M24" s="276">
        <f t="shared" si="5"/>
        <v>6.4421015872751786E-2</v>
      </c>
      <c r="N24" s="172"/>
      <c r="O24" s="162"/>
      <c r="P24" s="218"/>
      <c r="Q24" s="184"/>
      <c r="R24" s="190"/>
    </row>
    <row r="25" spans="1:18">
      <c r="A25" s="185" t="s">
        <v>112</v>
      </c>
      <c r="B25" s="874">
        <f>'Billing Determinants'!C17+'Billing Determinants'!C37</f>
        <v>492943505.17504323</v>
      </c>
      <c r="C25" s="164"/>
      <c r="D25" s="278">
        <f>'Billing Determinants'!E17+'Billing Determinants'!E37</f>
        <v>369079646</v>
      </c>
      <c r="E25" s="164"/>
      <c r="F25" s="876">
        <f>'Billing Determinants'!G17+'OCS Sch 1 CC &amp; Energy Charge'!Z28</f>
        <v>14.4864</v>
      </c>
      <c r="G25" s="193" t="s">
        <v>108</v>
      </c>
      <c r="H25" s="172">
        <f t="shared" si="3"/>
        <v>53466354</v>
      </c>
      <c r="I25" s="164"/>
      <c r="J25" s="192">
        <f>ROUND(K25/D25,4)*100</f>
        <v>14.66</v>
      </c>
      <c r="K25" s="172">
        <f>B4-SUM(K20:K24, K26:K34)</f>
        <v>54113291</v>
      </c>
      <c r="L25" s="276">
        <f t="shared" si="4"/>
        <v>1.1983653633752978E-2</v>
      </c>
      <c r="M25" s="276">
        <f t="shared" si="5"/>
        <v>2.7740192897587512E-2</v>
      </c>
      <c r="N25" s="172"/>
      <c r="O25" s="162"/>
      <c r="P25" s="218"/>
      <c r="Q25" s="184"/>
      <c r="R25" s="190"/>
    </row>
    <row r="26" spans="1:18">
      <c r="A26" s="185" t="s">
        <v>609</v>
      </c>
      <c r="B26" s="874">
        <f>'Billing Determinants'!C19+'Billing Determinants'!C39</f>
        <v>1753936796.9341631</v>
      </c>
      <c r="C26" s="164"/>
      <c r="D26" s="278">
        <f>'Billing Determinants'!E19+'Billing Determinants'!E39</f>
        <v>1677692653</v>
      </c>
      <c r="E26" s="164"/>
      <c r="F26" s="877">
        <f>'Billing Determinants'!G19+'OCS Sch 1 CC &amp; Energy Charge'!Z28</f>
        <v>8.8854000000000006</v>
      </c>
      <c r="G26" s="193" t="s">
        <v>108</v>
      </c>
      <c r="H26" s="172">
        <f t="shared" si="3"/>
        <v>149069703</v>
      </c>
      <c r="I26" s="164"/>
      <c r="J26" s="192">
        <f>ROUND(F26*(1+B11),4)</f>
        <v>8.9929000000000006</v>
      </c>
      <c r="K26" s="172">
        <f>ROUND(J26*$D26/100,0)</f>
        <v>150873223</v>
      </c>
      <c r="L26" s="276">
        <f t="shared" si="4"/>
        <v>1.2098498660724433E-2</v>
      </c>
      <c r="M26" s="276">
        <f t="shared" si="5"/>
        <v>7.7333639434221613E-2</v>
      </c>
      <c r="N26" s="172"/>
      <c r="O26" s="162"/>
      <c r="P26" s="218"/>
      <c r="Q26" s="184"/>
      <c r="R26" s="190"/>
    </row>
    <row r="27" spans="1:18">
      <c r="A27" s="185" t="s">
        <v>610</v>
      </c>
      <c r="B27" s="874">
        <f>'Billing Determinants'!C20+'Billing Determinants'!C40</f>
        <v>1838881782.9882686</v>
      </c>
      <c r="C27" s="164"/>
      <c r="D27" s="278">
        <f>'Billing Determinants'!E20+'Billing Determinants'!E40</f>
        <v>1758952980</v>
      </c>
      <c r="E27" s="164"/>
      <c r="F27" s="877">
        <f>'Billing Determinants'!G20+'OCS Sch 1 CC &amp; Energy Charge'!Z28</f>
        <v>9.9268999999999998</v>
      </c>
      <c r="G27" s="193" t="s">
        <v>108</v>
      </c>
      <c r="H27" s="172">
        <f t="shared" si="3"/>
        <v>174609503</v>
      </c>
      <c r="I27" s="164"/>
      <c r="J27" s="192">
        <f>ROUND(F27*(1+B12),4)</f>
        <v>10.4232</v>
      </c>
      <c r="K27" s="172">
        <f>ROUND(J27*$D27/100,0)</f>
        <v>183339187</v>
      </c>
      <c r="L27" s="276">
        <f t="shared" ref="L27" si="6">J27/F27-1</f>
        <v>4.9995466862766902E-2</v>
      </c>
      <c r="M27" s="276">
        <f t="shared" ref="M27" si="7">(K27-H27)/($K$35-$H$35)</f>
        <v>0.3743225663317809</v>
      </c>
      <c r="N27" s="172"/>
      <c r="O27" s="162"/>
      <c r="P27" s="218"/>
      <c r="Q27" s="184"/>
      <c r="R27" s="190"/>
    </row>
    <row r="28" spans="1:18">
      <c r="A28" s="185" t="s">
        <v>116</v>
      </c>
      <c r="B28" s="874">
        <f>'Billing Determinants'!C21+'Billing Determinants'!C41</f>
        <v>96885.61650000191</v>
      </c>
      <c r="C28" s="164"/>
      <c r="D28" s="278">
        <f>'Billing Determinants'!E21+'Billing Determinants'!E41</f>
        <v>99514</v>
      </c>
      <c r="E28" s="164"/>
      <c r="F28" s="1012">
        <f>'Billing Determinants'!G21</f>
        <v>7</v>
      </c>
      <c r="G28" s="188"/>
      <c r="H28" s="172">
        <f>ROUND($F28*D28,0)</f>
        <v>696598</v>
      </c>
      <c r="I28" s="164"/>
      <c r="J28" s="187">
        <v>10</v>
      </c>
      <c r="K28" s="172">
        <f>ROUND(J28*$D28,0)</f>
        <v>995140</v>
      </c>
      <c r="L28" s="276">
        <f t="shared" si="4"/>
        <v>0.4285714285714286</v>
      </c>
      <c r="M28" s="276">
        <f t="shared" si="5"/>
        <v>1.2801266070779027E-2</v>
      </c>
      <c r="N28" s="172"/>
      <c r="O28" s="162"/>
      <c r="P28" s="204"/>
      <c r="Q28" s="184"/>
      <c r="R28" s="190"/>
    </row>
    <row r="29" spans="1:18">
      <c r="A29" s="185" t="s">
        <v>118</v>
      </c>
      <c r="B29" s="874">
        <f>'Billing Determinants'!C22+'Billing Determinants'!C42</f>
        <v>161.69825</v>
      </c>
      <c r="C29" s="164"/>
      <c r="D29" s="278">
        <f>'Billing Determinants'!E22+'Billing Determinants'!E42</f>
        <v>166.01015990227461</v>
      </c>
      <c r="E29" s="164"/>
      <c r="F29" s="1012">
        <f>'Billing Determinants'!G22</f>
        <v>14</v>
      </c>
      <c r="G29" s="212"/>
      <c r="H29" s="172">
        <f>ROUND($F29*D29,0)</f>
        <v>2324</v>
      </c>
      <c r="I29" s="164"/>
      <c r="J29" s="187">
        <v>20</v>
      </c>
      <c r="K29" s="172">
        <f>ROUND(J29*$D29,0)</f>
        <v>3320</v>
      </c>
      <c r="L29" s="276">
        <f t="shared" si="4"/>
        <v>0.4285714285714286</v>
      </c>
      <c r="M29" s="276">
        <f t="shared" si="5"/>
        <v>4.270776308357253E-5</v>
      </c>
      <c r="N29" s="172"/>
      <c r="O29" s="162"/>
      <c r="P29" s="204"/>
      <c r="Q29" s="184"/>
      <c r="R29" s="190"/>
    </row>
    <row r="30" spans="1:18">
      <c r="A30" s="185" t="s">
        <v>120</v>
      </c>
      <c r="B30" s="874">
        <f>'Billing Determinants'!C23+'Billing Determinants'!C43</f>
        <v>0</v>
      </c>
      <c r="C30" s="164"/>
      <c r="D30" s="278">
        <f>'Billing Determinants'!E23+'Billing Determinants'!E43</f>
        <v>0</v>
      </c>
      <c r="E30" s="164"/>
      <c r="F30" s="1012">
        <f>'Billing Determinants'!G23</f>
        <v>84</v>
      </c>
      <c r="G30" s="217"/>
      <c r="H30" s="172">
        <f>ROUND($F30*D30,0)</f>
        <v>0</v>
      </c>
      <c r="I30" s="164"/>
      <c r="J30" s="187">
        <f>F30</f>
        <v>84</v>
      </c>
      <c r="K30" s="218">
        <f>ROUND(J30*$D30,0)</f>
        <v>0</v>
      </c>
      <c r="L30" s="276">
        <f t="shared" si="4"/>
        <v>0</v>
      </c>
      <c r="M30" s="276">
        <f t="shared" si="5"/>
        <v>0</v>
      </c>
      <c r="N30" s="172"/>
      <c r="O30" s="162"/>
      <c r="P30" s="862"/>
      <c r="Q30" s="184"/>
      <c r="R30" s="190"/>
    </row>
    <row r="31" spans="1:18">
      <c r="A31" s="220" t="s">
        <v>122</v>
      </c>
      <c r="B31" s="874">
        <f>'Billing Determinants'!C24+'Billing Determinants'!C44</f>
        <v>527473</v>
      </c>
      <c r="C31" s="164"/>
      <c r="D31" s="278">
        <f>'Billing Determinants'!E24+'Billing Determinants'!E44</f>
        <v>505721</v>
      </c>
      <c r="E31" s="164"/>
      <c r="F31" s="205"/>
      <c r="G31" s="193"/>
      <c r="H31" s="218"/>
      <c r="I31" s="164"/>
      <c r="J31" s="205"/>
      <c r="K31" s="218"/>
      <c r="L31" s="861"/>
      <c r="M31" s="218"/>
      <c r="N31" s="172"/>
      <c r="O31" s="162"/>
      <c r="P31" s="863"/>
      <c r="Q31" s="184"/>
      <c r="R31" s="223"/>
    </row>
    <row r="32" spans="1:18">
      <c r="A32" s="220" t="s">
        <v>124</v>
      </c>
      <c r="B32" s="874">
        <f>'Billing Determinants'!C25+'Billing Determinants'!C45</f>
        <v>234724</v>
      </c>
      <c r="C32" s="164"/>
      <c r="D32" s="278">
        <f>'Billing Determinants'!E25+'Billing Determinants'!E45</f>
        <v>225528</v>
      </c>
      <c r="E32" s="164"/>
      <c r="F32" s="205">
        <v>0</v>
      </c>
      <c r="G32" s="193"/>
      <c r="H32" s="172"/>
      <c r="I32" s="164"/>
      <c r="J32" s="205">
        <v>0</v>
      </c>
      <c r="K32" s="172">
        <f>ROUND(J32*$D32/100,0)</f>
        <v>0</v>
      </c>
      <c r="L32" s="861"/>
      <c r="M32" s="172"/>
      <c r="N32" s="172"/>
      <c r="O32" s="162"/>
      <c r="P32" s="204"/>
      <c r="Q32" s="184"/>
      <c r="R32" s="190"/>
    </row>
    <row r="33" spans="1:18">
      <c r="A33" s="220" t="s">
        <v>126</v>
      </c>
      <c r="B33" s="874">
        <f>'Billing Determinants'!C26+'Billing Determinants'!C46</f>
        <v>292749</v>
      </c>
      <c r="C33" s="164"/>
      <c r="D33" s="278">
        <f>'Billing Determinants'!E26+'Billing Determinants'!E46</f>
        <v>280193</v>
      </c>
      <c r="E33" s="164"/>
      <c r="F33" s="205">
        <v>0</v>
      </c>
      <c r="G33" s="193"/>
      <c r="H33" s="172"/>
      <c r="I33" s="164"/>
      <c r="J33" s="205">
        <v>0</v>
      </c>
      <c r="K33" s="172">
        <f>ROUND(J33*$D33/100,0)</f>
        <v>0</v>
      </c>
      <c r="L33" s="861"/>
      <c r="M33" s="172"/>
      <c r="N33" s="172"/>
      <c r="O33" s="162"/>
      <c r="P33" s="204"/>
      <c r="Q33" s="183"/>
      <c r="R33" s="190"/>
    </row>
    <row r="34" spans="1:18">
      <c r="A34" s="185" t="s">
        <v>132</v>
      </c>
      <c r="B34" s="1011">
        <f>'Billing Determinants'!C27+'Billing Determinants'!C47</f>
        <v>-10178281</v>
      </c>
      <c r="C34" s="164"/>
      <c r="D34" s="278">
        <f>'Billing Determinants'!E27+'Billing Determinants'!E47</f>
        <v>0</v>
      </c>
      <c r="E34" s="164"/>
      <c r="F34" s="161"/>
      <c r="G34" s="164"/>
      <c r="H34" s="229">
        <v>0</v>
      </c>
      <c r="I34" s="164"/>
      <c r="J34" s="162"/>
      <c r="K34" s="229">
        <v>0</v>
      </c>
      <c r="L34" s="867"/>
      <c r="M34" s="395"/>
      <c r="N34" s="218"/>
      <c r="O34" s="162"/>
      <c r="P34" s="864"/>
      <c r="Q34" s="193"/>
    </row>
    <row r="35" spans="1:18" ht="16.5" thickBot="1">
      <c r="A35" s="185" t="s">
        <v>134</v>
      </c>
      <c r="B35" s="232">
        <f>SUM(B23:B25,B26,B27,B31,B34)</f>
        <v>6461794433.0974751</v>
      </c>
      <c r="C35" s="232"/>
      <c r="D35" s="232">
        <f t="shared" ref="D35" si="8">SUM(D23:D25,D26,D27,D31,D34)</f>
        <v>6200666179</v>
      </c>
      <c r="E35" s="164"/>
      <c r="F35" s="234"/>
      <c r="G35" s="164"/>
      <c r="H35" s="235">
        <f>SUM(H19:H34)</f>
        <v>663464122</v>
      </c>
      <c r="I35" s="164"/>
      <c r="J35" s="236"/>
      <c r="K35" s="235">
        <f>SUM(K19:K34)</f>
        <v>686785409</v>
      </c>
      <c r="L35" s="866">
        <f>K35/H35-1</f>
        <v>3.51507884551443E-2</v>
      </c>
      <c r="M35" s="868">
        <f>SUM(M19:M34)</f>
        <v>1</v>
      </c>
      <c r="N35" s="218"/>
      <c r="O35" s="162"/>
      <c r="P35" s="865"/>
      <c r="Q35" s="193"/>
    </row>
    <row r="36" spans="1:18" ht="16.5" thickTop="1">
      <c r="A36" s="185" t="s">
        <v>135</v>
      </c>
      <c r="B36" s="163"/>
      <c r="C36" s="164"/>
      <c r="D36" s="163"/>
      <c r="E36" s="164"/>
      <c r="F36" s="238"/>
      <c r="G36" s="239"/>
      <c r="H36" s="228"/>
      <c r="I36" s="164"/>
      <c r="J36" s="180"/>
      <c r="K36" s="228">
        <v>0</v>
      </c>
      <c r="L36" s="218"/>
      <c r="M36" s="218"/>
      <c r="N36" s="218"/>
      <c r="O36" s="164"/>
      <c r="P36" s="184"/>
      <c r="Q36" s="184"/>
      <c r="R36" s="157"/>
    </row>
    <row r="37" spans="1:18">
      <c r="A37" s="185" t="s">
        <v>136</v>
      </c>
      <c r="B37" s="163"/>
      <c r="C37" s="164"/>
      <c r="D37" s="163"/>
      <c r="E37" s="164"/>
      <c r="F37" s="238">
        <f>J37</f>
        <v>3.3799999999999997E-2</v>
      </c>
      <c r="G37" s="239"/>
      <c r="H37" s="228">
        <f>ROUND(SUM(H23:H29,-(D28+D29)*F19,H36)*$F37,0)</f>
        <v>20938405</v>
      </c>
      <c r="I37" s="164"/>
      <c r="J37" s="180">
        <v>3.3799999999999997E-2</v>
      </c>
      <c r="K37" s="228">
        <f>ROUND(SUM(K23:K29,K32:K33,K36)*J37,0)</f>
        <v>21425236</v>
      </c>
      <c r="L37" s="218"/>
      <c r="M37" s="218"/>
      <c r="N37" s="218"/>
      <c r="O37" s="162"/>
      <c r="P37" s="157"/>
      <c r="Q37" s="157"/>
      <c r="R37" s="157"/>
    </row>
    <row r="38" spans="1:18">
      <c r="A38" s="161"/>
      <c r="B38" s="240"/>
      <c r="C38" s="164"/>
      <c r="D38" s="240"/>
      <c r="E38" s="164"/>
      <c r="F38" s="161"/>
      <c r="G38" s="164"/>
      <c r="H38" s="162"/>
      <c r="I38" s="164"/>
      <c r="J38" s="162"/>
      <c r="K38" s="162"/>
      <c r="L38" s="162"/>
      <c r="M38" s="162"/>
      <c r="N38" s="218"/>
      <c r="O38" s="162"/>
      <c r="P38" s="157"/>
      <c r="Q38" s="157"/>
      <c r="R38" s="157"/>
    </row>
    <row r="39" spans="1:18">
      <c r="J39" s="883"/>
      <c r="K39" s="883"/>
      <c r="L39" s="883"/>
      <c r="M39" s="883"/>
      <c r="N39" s="883"/>
      <c r="O39" s="883"/>
      <c r="P39" s="883"/>
    </row>
    <row r="40" spans="1:18">
      <c r="H40" s="880">
        <f>SUM(H35:H36)</f>
        <v>663464122</v>
      </c>
      <c r="J40" s="883"/>
      <c r="K40" s="883"/>
      <c r="L40" s="883"/>
      <c r="M40" s="882"/>
      <c r="N40" s="883"/>
      <c r="O40" s="883"/>
      <c r="P40" s="883"/>
    </row>
    <row r="41" spans="1:18">
      <c r="J41" s="883"/>
      <c r="K41" s="883"/>
      <c r="L41" s="883"/>
      <c r="M41" s="883"/>
      <c r="N41" s="883"/>
      <c r="O41" s="883"/>
    </row>
    <row r="42" spans="1:18">
      <c r="J42" s="883"/>
      <c r="K42" s="883"/>
      <c r="L42" s="883"/>
      <c r="M42" s="883"/>
      <c r="N42" s="883"/>
      <c r="O42" s="883"/>
    </row>
    <row r="43" spans="1:18">
      <c r="J43" s="882"/>
      <c r="K43" s="883"/>
      <c r="L43" s="883"/>
      <c r="M43" s="883"/>
      <c r="N43" s="883"/>
      <c r="O43" s="883"/>
    </row>
  </sheetData>
  <phoneticPr fontId="67" type="noConversion"/>
  <pageMargins left="0.75" right="0.75" top="1" bottom="1" header="0.5" footer="0.5"/>
  <pageSetup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workbookViewId="0">
      <pane xSplit="1" topLeftCell="B1" activePane="topRight" state="frozen"/>
      <selection activeCell="A6" sqref="A6"/>
      <selection pane="topRight" activeCell="G18" sqref="G18"/>
    </sheetView>
  </sheetViews>
  <sheetFormatPr defaultColWidth="8" defaultRowHeight="12.75"/>
  <cols>
    <col min="1" max="1" width="7" style="435" customWidth="1"/>
    <col min="2" max="2" width="1.75" style="425" customWidth="1"/>
    <col min="3" max="3" width="5.75" style="425" customWidth="1"/>
    <col min="4" max="4" width="2.375" style="425" customWidth="1"/>
    <col min="5" max="5" width="8.375" style="425" customWidth="1"/>
    <col min="6" max="6" width="1.5" style="425" customWidth="1"/>
    <col min="7" max="7" width="8.375" style="425" customWidth="1"/>
    <col min="8" max="8" width="1.75" style="425" customWidth="1"/>
    <col min="9" max="9" width="7.875" style="453" bestFit="1" customWidth="1"/>
    <col min="10" max="10" width="1.5" style="425" customWidth="1"/>
    <col min="11" max="11" width="9" style="453" bestFit="1" customWidth="1"/>
    <col min="12" max="12" width="1.375" style="425" customWidth="1"/>
    <col min="13" max="13" width="8" style="447" bestFit="1" customWidth="1"/>
    <col min="14" max="14" width="1.375" style="425" customWidth="1"/>
    <col min="15" max="15" width="6.25" style="425" bestFit="1" customWidth="1"/>
    <col min="16" max="16" width="2.125" style="425" customWidth="1"/>
    <col min="17" max="17" width="7.875" style="453" bestFit="1" customWidth="1"/>
    <col min="18" max="18" width="0.875" style="425" customWidth="1"/>
    <col min="19" max="19" width="9" style="453" bestFit="1" customWidth="1"/>
    <col min="20" max="20" width="1.875" style="425" customWidth="1"/>
    <col min="21" max="21" width="7.375" style="447" bestFit="1" customWidth="1"/>
    <col min="22" max="22" width="0.75" style="425" customWidth="1"/>
    <col min="23" max="23" width="6.25" style="425" bestFit="1" customWidth="1"/>
    <col min="24" max="24" width="3.125" style="425" customWidth="1"/>
    <col min="25" max="25" width="10" style="425" bestFit="1" customWidth="1"/>
    <col min="26" max="26" width="7.625" style="425" bestFit="1" customWidth="1"/>
    <col min="27" max="27" width="9.75" style="425" customWidth="1"/>
    <col min="28" max="28" width="3" style="425" customWidth="1"/>
    <col min="29" max="29" width="6.875" style="425" bestFit="1" customWidth="1"/>
    <col min="30" max="30" width="8.375" style="425" bestFit="1" customWidth="1"/>
    <col min="31" max="31" width="6.75" style="425" bestFit="1" customWidth="1"/>
    <col min="32" max="32" width="8.25" style="425" bestFit="1" customWidth="1"/>
    <col min="33" max="35" width="8.125" style="425" bestFit="1" customWidth="1"/>
    <col min="36" max="16384" width="8" style="425"/>
  </cols>
  <sheetData>
    <row r="1" spans="1:32" ht="16.5">
      <c r="A1" s="418"/>
      <c r="B1" s="419"/>
      <c r="C1" s="419"/>
      <c r="D1" s="419"/>
      <c r="E1" s="419"/>
      <c r="F1" s="419"/>
      <c r="G1" s="419"/>
      <c r="H1" s="419"/>
      <c r="I1" s="420"/>
      <c r="J1" s="419"/>
      <c r="K1" s="420"/>
      <c r="L1" s="419"/>
      <c r="M1" s="421"/>
      <c r="N1" s="419"/>
      <c r="O1" s="419"/>
      <c r="P1" s="419"/>
      <c r="Q1" s="420"/>
      <c r="R1" s="419"/>
      <c r="S1" s="420"/>
      <c r="T1" s="419"/>
      <c r="U1" s="421"/>
      <c r="V1" s="419"/>
      <c r="W1" s="422"/>
      <c r="X1" s="423"/>
      <c r="Y1" s="423"/>
      <c r="Z1" s="424"/>
      <c r="AA1" s="155"/>
    </row>
    <row r="2" spans="1:32" ht="18.75">
      <c r="A2" s="418"/>
      <c r="B2" s="419"/>
      <c r="C2" s="419"/>
      <c r="D2" s="419"/>
      <c r="E2" s="419"/>
      <c r="F2" s="419"/>
      <c r="G2" s="419"/>
      <c r="H2" s="419"/>
      <c r="I2" s="420"/>
      <c r="J2" s="419"/>
      <c r="K2" s="420"/>
      <c r="L2" s="419"/>
      <c r="M2" s="421"/>
      <c r="N2" s="419"/>
      <c r="O2" s="419"/>
      <c r="P2" s="419"/>
      <c r="Q2" s="869" t="s">
        <v>608</v>
      </c>
      <c r="R2"/>
      <c r="S2"/>
      <c r="T2" s="419"/>
      <c r="U2" s="421"/>
      <c r="V2" s="419"/>
      <c r="W2" s="422"/>
      <c r="X2" s="423"/>
      <c r="Y2" s="423"/>
      <c r="Z2" s="424"/>
      <c r="AA2" s="426"/>
    </row>
    <row r="3" spans="1:32" ht="16.5">
      <c r="A3" s="418"/>
      <c r="B3" s="419"/>
      <c r="C3" s="419"/>
      <c r="D3" s="419"/>
      <c r="E3" s="419"/>
      <c r="F3" s="419"/>
      <c r="G3" s="419"/>
      <c r="H3" s="419"/>
      <c r="I3" s="420"/>
      <c r="J3" s="419"/>
      <c r="K3" s="420"/>
      <c r="L3" s="419"/>
      <c r="M3" s="421"/>
      <c r="N3" s="419"/>
      <c r="O3" s="419"/>
      <c r="P3" s="419"/>
      <c r="Q3" s="420"/>
      <c r="R3" s="419"/>
      <c r="S3" s="420"/>
      <c r="T3" s="419"/>
      <c r="U3" s="421"/>
      <c r="V3" s="419"/>
      <c r="W3" s="422"/>
      <c r="X3" s="423"/>
      <c r="Y3" s="423"/>
      <c r="Z3" s="424"/>
      <c r="AA3" s="155"/>
    </row>
    <row r="4" spans="1:32" ht="16.5">
      <c r="A4" s="418"/>
      <c r="B4" s="419"/>
      <c r="C4" s="419"/>
      <c r="D4" s="419"/>
      <c r="E4" s="419"/>
      <c r="F4" s="419"/>
      <c r="G4" s="419"/>
      <c r="H4" s="419"/>
      <c r="I4" s="420"/>
      <c r="J4" s="419"/>
      <c r="K4" s="420"/>
      <c r="L4" s="419"/>
      <c r="M4" s="421"/>
      <c r="N4" s="419"/>
      <c r="O4" s="419"/>
      <c r="P4" s="419"/>
      <c r="Q4" s="420"/>
      <c r="R4" s="419"/>
      <c r="S4" s="420"/>
      <c r="T4" s="419"/>
      <c r="U4" s="421"/>
      <c r="V4" s="419"/>
      <c r="W4" s="422"/>
      <c r="X4" s="423"/>
      <c r="Y4" s="423"/>
      <c r="Z4" s="427"/>
      <c r="AA4" s="166"/>
    </row>
    <row r="5" spans="1:32">
      <c r="A5" s="428"/>
      <c r="B5" s="419"/>
      <c r="C5" s="419"/>
      <c r="D5" s="419"/>
      <c r="E5" s="419"/>
      <c r="F5" s="419"/>
      <c r="G5" s="419"/>
      <c r="H5" s="419"/>
      <c r="I5" s="420"/>
      <c r="J5" s="419"/>
      <c r="K5" s="420"/>
      <c r="L5" s="419"/>
      <c r="M5" s="425"/>
      <c r="P5" s="419"/>
      <c r="Q5" s="420"/>
      <c r="R5" s="419"/>
      <c r="S5" s="420"/>
      <c r="T5" s="419"/>
      <c r="U5" s="425"/>
      <c r="W5" s="423"/>
      <c r="X5" s="423"/>
      <c r="Y5" s="423"/>
      <c r="Z5" s="423"/>
      <c r="AA5" s="423"/>
    </row>
    <row r="6" spans="1:32" ht="17.25">
      <c r="A6" s="429"/>
      <c r="B6" s="422"/>
      <c r="C6" s="422"/>
      <c r="D6" s="422"/>
      <c r="E6" s="422"/>
      <c r="F6" s="422"/>
      <c r="G6" s="422"/>
      <c r="H6" s="422"/>
      <c r="I6" s="430"/>
      <c r="J6" s="431"/>
      <c r="K6" s="432"/>
      <c r="L6" s="431"/>
      <c r="M6" s="431"/>
      <c r="N6" s="433"/>
      <c r="O6" s="433"/>
      <c r="Q6" s="434"/>
      <c r="R6" s="433"/>
      <c r="S6" s="434"/>
      <c r="T6" s="433"/>
      <c r="U6" s="433"/>
      <c r="V6" s="433"/>
      <c r="W6" s="433"/>
    </row>
    <row r="8" spans="1:32" ht="15.75">
      <c r="C8" s="419"/>
      <c r="D8" s="419"/>
      <c r="E8" s="419"/>
      <c r="F8" s="419"/>
      <c r="G8" s="419"/>
      <c r="I8" s="436" t="s">
        <v>435</v>
      </c>
      <c r="J8" s="437"/>
      <c r="K8" s="438"/>
      <c r="L8" s="437"/>
      <c r="M8" s="439"/>
      <c r="N8" s="439"/>
      <c r="O8" s="439"/>
      <c r="P8" s="437"/>
      <c r="Q8" s="438"/>
      <c r="R8" s="437"/>
      <c r="S8" s="438"/>
      <c r="T8" s="437"/>
      <c r="U8" s="439"/>
      <c r="V8" s="439"/>
      <c r="W8" s="439"/>
      <c r="AC8" s="419" t="s">
        <v>436</v>
      </c>
      <c r="AD8" s="419"/>
      <c r="AE8" s="419"/>
      <c r="AF8" s="419"/>
    </row>
    <row r="9" spans="1:32">
      <c r="C9" s="436" t="s">
        <v>437</v>
      </c>
      <c r="D9" s="437"/>
      <c r="E9" s="438"/>
      <c r="F9" s="437"/>
      <c r="G9" s="437"/>
      <c r="I9" s="440" t="s">
        <v>438</v>
      </c>
      <c r="J9" s="441"/>
      <c r="K9" s="442"/>
      <c r="L9" s="443"/>
      <c r="M9" s="444"/>
      <c r="N9" s="443"/>
      <c r="O9" s="443"/>
      <c r="Q9" s="436" t="s">
        <v>439</v>
      </c>
      <c r="R9" s="445"/>
      <c r="S9" s="438"/>
      <c r="T9" s="437"/>
      <c r="U9" s="446"/>
      <c r="V9" s="437"/>
      <c r="W9" s="437"/>
      <c r="Z9" s="447"/>
      <c r="AA9" s="447"/>
      <c r="AC9" s="419" t="s">
        <v>438</v>
      </c>
      <c r="AD9" s="419"/>
      <c r="AE9" s="419" t="s">
        <v>439</v>
      </c>
      <c r="AF9" s="419"/>
    </row>
    <row r="10" spans="1:32">
      <c r="A10" s="448" t="s">
        <v>85</v>
      </c>
      <c r="C10" s="438" t="s">
        <v>81</v>
      </c>
      <c r="E10" s="449" t="s">
        <v>8</v>
      </c>
      <c r="G10" s="450" t="s">
        <v>19</v>
      </c>
      <c r="I10" s="438" t="s">
        <v>81</v>
      </c>
      <c r="K10" s="449" t="s">
        <v>8</v>
      </c>
      <c r="M10" s="451" t="s">
        <v>440</v>
      </c>
      <c r="O10" s="451" t="s">
        <v>441</v>
      </c>
      <c r="Q10" s="438" t="s">
        <v>81</v>
      </c>
      <c r="S10" s="449" t="s">
        <v>8</v>
      </c>
      <c r="U10" s="451" t="s">
        <v>440</v>
      </c>
      <c r="W10" s="451" t="s">
        <v>441</v>
      </c>
      <c r="AC10" s="452" t="s">
        <v>81</v>
      </c>
      <c r="AD10" s="452" t="s">
        <v>8</v>
      </c>
      <c r="AE10" s="452" t="s">
        <v>81</v>
      </c>
      <c r="AF10" s="452" t="s">
        <v>8</v>
      </c>
    </row>
    <row r="11" spans="1:32">
      <c r="A11" s="435">
        <v>100</v>
      </c>
      <c r="C11" s="447">
        <f>$Z$13</f>
        <v>5</v>
      </c>
      <c r="E11" s="447">
        <f>$AA$13</f>
        <v>6</v>
      </c>
      <c r="G11" s="447">
        <f>E11-C11</f>
        <v>1</v>
      </c>
      <c r="I11" s="453">
        <f t="shared" ref="I11:I18" si="0">ROUND((MIN(400,$A11)*$Z$14+MAX(0,MIN(600,$A11-400))*$Z$15+MAX(0,$A11-1000)*$Z$16)/100*(1+$Z$31)*(1+$Z$19)+$Z$18,2)</f>
        <v>9.9499999999999993</v>
      </c>
      <c r="K11" s="453">
        <f>ROUND((MIN(400,$A11)*$AA$14+MAX(0,MIN(600,$A11-400))*$AA$15+MAX(0,$A11-1000)*$AA$16)/100*(1+$AA$31)*(1+$AA$19)+$AA$18,2)</f>
        <v>10.07</v>
      </c>
      <c r="L11" s="453"/>
      <c r="M11" s="454">
        <f>K11-I11</f>
        <v>0.12000000000000099</v>
      </c>
      <c r="O11" s="455">
        <f>ROUND(IF(I11=0,0,K11/I11-1),3)</f>
        <v>1.2E-2</v>
      </c>
      <c r="Q11" s="453">
        <f>ROUND((MIN(400,$A11)*$Z$22+MAX(0,$A11-400)*$Z$23)/100*(1+$Z$31)*(1+$Z$19)+$Z$18,2)</f>
        <v>9.9499999999999993</v>
      </c>
      <c r="S11" s="453">
        <f>ROUND((MIN(400,$A11)*$AA$22+MAX(0,$A11-400)*$AA$23)/100*(1+$AA$31)*(1+$AA$19)+$AA$18,2)</f>
        <v>10.07</v>
      </c>
      <c r="T11" s="453"/>
      <c r="U11" s="454">
        <f t="shared" ref="U11:U19" si="1">S11-Q11</f>
        <v>0.12000000000000099</v>
      </c>
      <c r="W11" s="455">
        <f t="shared" ref="W11:W19" si="2">ROUND(IF(Q11=0,0,S11/Q11-1),3)</f>
        <v>1.2E-2</v>
      </c>
      <c r="Y11" s="456" t="s">
        <v>125</v>
      </c>
      <c r="Z11" s="457" t="s">
        <v>614</v>
      </c>
      <c r="AA11" s="458" t="s">
        <v>8</v>
      </c>
      <c r="AC11" s="459">
        <f t="shared" ref="AC11:AC23" si="3">I11/$A11*100</f>
        <v>9.9499999999999993</v>
      </c>
      <c r="AD11" s="459">
        <f t="shared" ref="AD11:AD23" si="4">K11/A11*100</f>
        <v>10.07</v>
      </c>
      <c r="AE11" s="459">
        <f t="shared" ref="AE11:AE23" si="5">Q11/$A11*100</f>
        <v>9.9499999999999993</v>
      </c>
      <c r="AF11" s="459">
        <f t="shared" ref="AF11:AF23" si="6">S11/$A11*100</f>
        <v>10.07</v>
      </c>
    </row>
    <row r="12" spans="1:32" ht="13.5">
      <c r="A12" s="435">
        <v>200</v>
      </c>
      <c r="C12" s="447">
        <f t="shared" ref="C12:C32" si="7">$Z$13</f>
        <v>5</v>
      </c>
      <c r="E12" s="447">
        <f t="shared" ref="E12:E32" si="8">$AA$13</f>
        <v>6</v>
      </c>
      <c r="G12" s="447">
        <f t="shared" ref="G12:G32" si="9">E12-C12</f>
        <v>1</v>
      </c>
      <c r="I12" s="453">
        <f t="shared" si="0"/>
        <v>19.649999999999999</v>
      </c>
      <c r="K12" s="453">
        <f t="shared" ref="K12:K32" si="10">ROUND((MIN(400,$A12)*$AA$14+MAX(0,MIN(600,$A12-400))*$AA$15+MAX(0,$A12-1000)*$AA$16)/100*(1+$AA$31)*(1+$AA$19)+$AA$18,2)</f>
        <v>19.88</v>
      </c>
      <c r="L12" s="453"/>
      <c r="M12" s="454">
        <f t="shared" ref="M12:M16" si="11">K12-I12</f>
        <v>0.23000000000000043</v>
      </c>
      <c r="O12" s="455">
        <f t="shared" ref="O12:O16" si="12">ROUND(IF(I12=0,0,K12/I12-1),3)</f>
        <v>1.2E-2</v>
      </c>
      <c r="Q12" s="453">
        <f t="shared" ref="Q12:Q32" si="13">ROUND((MIN(400,$A12)*$Z$22+MAX(0,$A12-400)*$Z$23)/100*(1+$Z$31)*(1+$Z$19)+$Z$18,2)</f>
        <v>19.649999999999999</v>
      </c>
      <c r="S12" s="453">
        <f t="shared" ref="S12:S32" si="14">ROUND((MIN(400,$A12)*$AA$22+MAX(0,$A12-400)*$AA$23)/100*(1+$AA$31)*(1+$AA$19)+$AA$18,2)</f>
        <v>19.88</v>
      </c>
      <c r="T12" s="453"/>
      <c r="U12" s="454">
        <f t="shared" si="1"/>
        <v>0.23000000000000043</v>
      </c>
      <c r="W12" s="455">
        <f t="shared" si="2"/>
        <v>1.2E-2</v>
      </c>
      <c r="Y12" s="460" t="s">
        <v>438</v>
      </c>
      <c r="Z12" s="423"/>
      <c r="AA12" s="461"/>
      <c r="AC12" s="459">
        <f t="shared" si="3"/>
        <v>9.8249999999999993</v>
      </c>
      <c r="AD12" s="459">
        <f t="shared" si="4"/>
        <v>9.94</v>
      </c>
      <c r="AE12" s="459">
        <f t="shared" si="5"/>
        <v>9.8249999999999993</v>
      </c>
      <c r="AF12" s="459">
        <f t="shared" si="6"/>
        <v>9.94</v>
      </c>
    </row>
    <row r="13" spans="1:32">
      <c r="A13" s="435">
        <v>300</v>
      </c>
      <c r="C13" s="447">
        <f t="shared" si="7"/>
        <v>5</v>
      </c>
      <c r="E13" s="447">
        <f t="shared" si="8"/>
        <v>6</v>
      </c>
      <c r="G13" s="447">
        <f t="shared" si="9"/>
        <v>1</v>
      </c>
      <c r="I13" s="453">
        <f t="shared" si="0"/>
        <v>29.34</v>
      </c>
      <c r="K13" s="453">
        <f t="shared" si="10"/>
        <v>29.69</v>
      </c>
      <c r="L13" s="453"/>
      <c r="M13" s="454">
        <f t="shared" si="11"/>
        <v>0.35000000000000142</v>
      </c>
      <c r="O13" s="455">
        <f t="shared" si="12"/>
        <v>1.2E-2</v>
      </c>
      <c r="Q13" s="453">
        <f t="shared" si="13"/>
        <v>29.34</v>
      </c>
      <c r="S13" s="453">
        <f t="shared" si="14"/>
        <v>29.69</v>
      </c>
      <c r="T13" s="453"/>
      <c r="U13" s="454">
        <f t="shared" si="1"/>
        <v>0.35000000000000142</v>
      </c>
      <c r="W13" s="455">
        <f t="shared" si="2"/>
        <v>1.2E-2</v>
      </c>
      <c r="Y13" s="462" t="s">
        <v>443</v>
      </c>
      <c r="Z13" s="463">
        <f>'OCS Schedule 1 Proposal'!F20</f>
        <v>5</v>
      </c>
      <c r="AA13" s="464">
        <f>'OCS Schedule 1 Proposal'!J20</f>
        <v>6</v>
      </c>
      <c r="AC13" s="459">
        <f t="shared" si="3"/>
        <v>9.7799999999999994</v>
      </c>
      <c r="AD13" s="459">
        <f t="shared" si="4"/>
        <v>9.8966666666666683</v>
      </c>
      <c r="AE13" s="459">
        <f t="shared" si="5"/>
        <v>9.7799999999999994</v>
      </c>
      <c r="AF13" s="459">
        <f t="shared" si="6"/>
        <v>9.8966666666666683</v>
      </c>
    </row>
    <row r="14" spans="1:32">
      <c r="A14" s="435">
        <v>400</v>
      </c>
      <c r="C14" s="447">
        <f t="shared" si="7"/>
        <v>5</v>
      </c>
      <c r="E14" s="447">
        <f t="shared" si="8"/>
        <v>6</v>
      </c>
      <c r="G14" s="447">
        <f t="shared" si="9"/>
        <v>1</v>
      </c>
      <c r="I14" s="453">
        <f t="shared" si="0"/>
        <v>39.03</v>
      </c>
      <c r="K14" s="453">
        <f t="shared" si="10"/>
        <v>39.5</v>
      </c>
      <c r="L14" s="453"/>
      <c r="M14" s="454">
        <f t="shared" si="11"/>
        <v>0.46999999999999886</v>
      </c>
      <c r="O14" s="455">
        <f t="shared" si="12"/>
        <v>1.2E-2</v>
      </c>
      <c r="Q14" s="453">
        <f t="shared" si="13"/>
        <v>39.03</v>
      </c>
      <c r="S14" s="453">
        <f t="shared" si="14"/>
        <v>39.5</v>
      </c>
      <c r="T14" s="453"/>
      <c r="U14" s="454">
        <f t="shared" si="1"/>
        <v>0.46999999999999886</v>
      </c>
      <c r="W14" s="455">
        <f t="shared" si="2"/>
        <v>1.2E-2</v>
      </c>
      <c r="Y14" s="462" t="s">
        <v>444</v>
      </c>
      <c r="Z14" s="892">
        <f>'OCS Schedule 1 Proposal'!F23+Z28</f>
        <v>8.9210000000000012</v>
      </c>
      <c r="AA14" s="466">
        <f>'OCS Schedule 1 Proposal'!J23+AA28</f>
        <v>9.0285000000000011</v>
      </c>
      <c r="AC14" s="459">
        <f t="shared" si="3"/>
        <v>9.7575000000000003</v>
      </c>
      <c r="AD14" s="459">
        <f t="shared" si="4"/>
        <v>9.875</v>
      </c>
      <c r="AE14" s="459">
        <f t="shared" si="5"/>
        <v>9.7575000000000003</v>
      </c>
      <c r="AF14" s="459">
        <f t="shared" si="6"/>
        <v>9.875</v>
      </c>
    </row>
    <row r="15" spans="1:32">
      <c r="A15" s="435">
        <v>500</v>
      </c>
      <c r="C15" s="447">
        <f t="shared" si="7"/>
        <v>5</v>
      </c>
      <c r="E15" s="447">
        <f t="shared" si="8"/>
        <v>6</v>
      </c>
      <c r="G15" s="447">
        <f t="shared" si="9"/>
        <v>1</v>
      </c>
      <c r="I15" s="453">
        <f t="shared" si="0"/>
        <v>51.65</v>
      </c>
      <c r="K15" s="453">
        <f t="shared" si="10"/>
        <v>52.27</v>
      </c>
      <c r="L15" s="453"/>
      <c r="M15" s="454">
        <f t="shared" si="11"/>
        <v>0.62000000000000455</v>
      </c>
      <c r="O15" s="455">
        <f t="shared" si="12"/>
        <v>1.2E-2</v>
      </c>
      <c r="Q15" s="453">
        <f t="shared" si="13"/>
        <v>49.86</v>
      </c>
      <c r="S15" s="453">
        <f t="shared" si="14"/>
        <v>50.86</v>
      </c>
      <c r="T15" s="453"/>
      <c r="U15" s="454">
        <f t="shared" si="1"/>
        <v>1</v>
      </c>
      <c r="W15" s="455">
        <f t="shared" si="2"/>
        <v>0.02</v>
      </c>
      <c r="Y15" s="462" t="s">
        <v>445</v>
      </c>
      <c r="Z15" s="892">
        <f>'OCS Schedule 1 Proposal'!F24+Z28</f>
        <v>11.614100000000001</v>
      </c>
      <c r="AA15" s="466">
        <f>'OCS Schedule 1 Proposal'!J24+AA28</f>
        <v>11.754200000000001</v>
      </c>
      <c r="AC15" s="459">
        <f t="shared" si="3"/>
        <v>10.33</v>
      </c>
      <c r="AD15" s="459">
        <f t="shared" si="4"/>
        <v>10.454000000000001</v>
      </c>
      <c r="AE15" s="459">
        <f t="shared" si="5"/>
        <v>9.9719999999999995</v>
      </c>
      <c r="AF15" s="459">
        <f t="shared" si="6"/>
        <v>10.172000000000001</v>
      </c>
    </row>
    <row r="16" spans="1:32">
      <c r="A16" s="435">
        <v>600</v>
      </c>
      <c r="C16" s="447">
        <f t="shared" si="7"/>
        <v>5</v>
      </c>
      <c r="E16" s="447">
        <f t="shared" si="8"/>
        <v>6</v>
      </c>
      <c r="G16" s="447">
        <f t="shared" si="9"/>
        <v>1</v>
      </c>
      <c r="I16" s="453">
        <f t="shared" si="0"/>
        <v>64.27</v>
      </c>
      <c r="K16" s="453">
        <f t="shared" si="10"/>
        <v>65.040000000000006</v>
      </c>
      <c r="L16" s="453"/>
      <c r="M16" s="454">
        <f t="shared" si="11"/>
        <v>0.77000000000001023</v>
      </c>
      <c r="O16" s="455">
        <f t="shared" si="12"/>
        <v>1.2E-2</v>
      </c>
      <c r="Q16" s="453">
        <f t="shared" si="13"/>
        <v>60.68</v>
      </c>
      <c r="S16" s="453">
        <f t="shared" si="14"/>
        <v>62.23</v>
      </c>
      <c r="T16" s="453"/>
      <c r="U16" s="454">
        <f t="shared" si="1"/>
        <v>1.5499999999999972</v>
      </c>
      <c r="W16" s="455">
        <f t="shared" si="2"/>
        <v>2.5999999999999999E-2</v>
      </c>
      <c r="Y16" s="462" t="s">
        <v>446</v>
      </c>
      <c r="Z16" s="892">
        <f>'OCS Schedule 1 Proposal'!F25+Z28</f>
        <v>14.522</v>
      </c>
      <c r="AA16" s="466">
        <f>'OCS Schedule 1 Proposal'!J25+AA28</f>
        <v>14.695600000000001</v>
      </c>
      <c r="AC16" s="459">
        <f t="shared" si="3"/>
        <v>10.711666666666666</v>
      </c>
      <c r="AD16" s="459">
        <f t="shared" si="4"/>
        <v>10.840000000000002</v>
      </c>
      <c r="AE16" s="459">
        <f t="shared" si="5"/>
        <v>10.113333333333333</v>
      </c>
      <c r="AF16" s="459">
        <f t="shared" si="6"/>
        <v>10.371666666666666</v>
      </c>
    </row>
    <row r="17" spans="1:32">
      <c r="A17" s="435">
        <v>663</v>
      </c>
      <c r="B17" s="425" t="s">
        <v>448</v>
      </c>
      <c r="C17" s="447">
        <f t="shared" si="7"/>
        <v>5</v>
      </c>
      <c r="E17" s="447">
        <f t="shared" si="8"/>
        <v>6</v>
      </c>
      <c r="G17" s="447">
        <f t="shared" si="9"/>
        <v>1</v>
      </c>
      <c r="L17" s="453"/>
      <c r="M17" s="454"/>
      <c r="O17" s="455"/>
      <c r="Q17" s="453">
        <f t="shared" si="13"/>
        <v>67.5</v>
      </c>
      <c r="S17" s="453">
        <f t="shared" si="14"/>
        <v>69.39</v>
      </c>
      <c r="T17" s="453"/>
      <c r="U17" s="454">
        <f t="shared" si="1"/>
        <v>1.8900000000000006</v>
      </c>
      <c r="W17" s="455">
        <f t="shared" si="2"/>
        <v>2.8000000000000001E-2</v>
      </c>
      <c r="Y17" s="462" t="s">
        <v>447</v>
      </c>
      <c r="Z17" s="463">
        <f>'OCS Schedule 1 Proposal'!F28</f>
        <v>7</v>
      </c>
      <c r="AA17" s="464">
        <f>'OCS Schedule 1 Proposal'!J28</f>
        <v>10</v>
      </c>
      <c r="AC17" s="459"/>
      <c r="AD17" s="459"/>
      <c r="AE17" s="459">
        <f t="shared" si="5"/>
        <v>10.180995475113122</v>
      </c>
      <c r="AF17" s="459">
        <f t="shared" si="6"/>
        <v>10.46606334841629</v>
      </c>
    </row>
    <row r="18" spans="1:32">
      <c r="A18" s="435">
        <v>698</v>
      </c>
      <c r="B18" s="425" t="s">
        <v>450</v>
      </c>
      <c r="C18" s="447">
        <f t="shared" si="7"/>
        <v>5</v>
      </c>
      <c r="E18" s="447">
        <f t="shared" si="8"/>
        <v>6</v>
      </c>
      <c r="G18" s="447">
        <f t="shared" si="9"/>
        <v>1</v>
      </c>
      <c r="I18" s="453">
        <f t="shared" si="0"/>
        <v>76.64</v>
      </c>
      <c r="K18" s="453">
        <f t="shared" si="10"/>
        <v>77.56</v>
      </c>
      <c r="L18" s="453"/>
      <c r="M18" s="454">
        <f t="shared" ref="M18" si="15">K18-I18</f>
        <v>0.92000000000000171</v>
      </c>
      <c r="O18" s="455">
        <f t="shared" ref="O18" si="16">ROUND(IF(I18=0,0,K18/I18-1),3)</f>
        <v>1.2E-2</v>
      </c>
      <c r="Q18" s="453">
        <f t="shared" si="13"/>
        <v>71.290000000000006</v>
      </c>
      <c r="S18" s="453">
        <f t="shared" si="14"/>
        <v>73.36</v>
      </c>
      <c r="T18" s="453"/>
      <c r="U18" s="454">
        <f t="shared" si="1"/>
        <v>2.0699999999999932</v>
      </c>
      <c r="W18" s="455">
        <f t="shared" si="2"/>
        <v>2.9000000000000001E-2</v>
      </c>
      <c r="Y18" s="462" t="s">
        <v>449</v>
      </c>
      <c r="Z18" s="463">
        <v>0.26</v>
      </c>
      <c r="AA18" s="464">
        <f>Z18</f>
        <v>0.26</v>
      </c>
      <c r="AC18" s="459">
        <f t="shared" si="3"/>
        <v>10.979942693409741</v>
      </c>
      <c r="AD18" s="459">
        <f t="shared" si="4"/>
        <v>11.111747851002866</v>
      </c>
      <c r="AE18" s="459">
        <f t="shared" si="5"/>
        <v>10.213467048710603</v>
      </c>
      <c r="AF18" s="459">
        <f t="shared" si="6"/>
        <v>10.51002865329513</v>
      </c>
    </row>
    <row r="19" spans="1:32">
      <c r="A19" s="435">
        <v>700</v>
      </c>
      <c r="C19" s="447">
        <f t="shared" si="7"/>
        <v>5</v>
      </c>
      <c r="E19" s="447">
        <f t="shared" si="8"/>
        <v>6</v>
      </c>
      <c r="G19" s="447">
        <f t="shared" si="9"/>
        <v>1</v>
      </c>
      <c r="I19" s="453">
        <f t="shared" ref="I19:I32" si="17">ROUND((MIN(400,$A19)*$Z$14+MAX(0,MIN(600,$A19-400))*$Z$15+MAX(0,$A19-1000)*$Z$16)/100*(1+$Z$31)*(1+$Z$19)+$Z$18,2)</f>
        <v>76.89</v>
      </c>
      <c r="K19" s="453">
        <f t="shared" si="10"/>
        <v>77.81</v>
      </c>
      <c r="L19" s="453"/>
      <c r="M19" s="454">
        <f t="shared" ref="M19:M32" si="18">K19-I19</f>
        <v>0.92000000000000171</v>
      </c>
      <c r="O19" s="455">
        <f t="shared" ref="O19:O32" si="19">ROUND(IF(I19=0,0,K19/I19-1),3)</f>
        <v>1.2E-2</v>
      </c>
      <c r="Q19" s="453">
        <f t="shared" si="13"/>
        <v>71.5</v>
      </c>
      <c r="S19" s="453">
        <f t="shared" si="14"/>
        <v>73.59</v>
      </c>
      <c r="T19" s="453"/>
      <c r="U19" s="454">
        <f t="shared" si="1"/>
        <v>2.0900000000000034</v>
      </c>
      <c r="W19" s="455">
        <f t="shared" si="2"/>
        <v>2.9000000000000001E-2</v>
      </c>
      <c r="Y19" s="462" t="s">
        <v>82</v>
      </c>
      <c r="Z19" s="467">
        <f>'OCS Schedule 1 Proposal'!$J$37</f>
        <v>3.3799999999999997E-2</v>
      </c>
      <c r="AA19" s="468">
        <f>Z19</f>
        <v>3.3799999999999997E-2</v>
      </c>
      <c r="AC19" s="459">
        <f t="shared" si="3"/>
        <v>10.984285714285715</v>
      </c>
      <c r="AD19" s="459">
        <f t="shared" si="4"/>
        <v>11.115714285714287</v>
      </c>
      <c r="AE19" s="459">
        <f t="shared" si="5"/>
        <v>10.214285714285715</v>
      </c>
      <c r="AF19" s="459">
        <f t="shared" si="6"/>
        <v>10.512857142857143</v>
      </c>
    </row>
    <row r="20" spans="1:32" ht="13.5">
      <c r="A20" s="435">
        <v>747</v>
      </c>
      <c r="B20" s="425" t="s">
        <v>451</v>
      </c>
      <c r="C20" s="447">
        <f t="shared" si="7"/>
        <v>5</v>
      </c>
      <c r="E20" s="447">
        <f t="shared" si="8"/>
        <v>6</v>
      </c>
      <c r="G20" s="447">
        <f t="shared" si="9"/>
        <v>1</v>
      </c>
      <c r="I20" s="453">
        <f t="shared" si="17"/>
        <v>82.82</v>
      </c>
      <c r="K20" s="453">
        <f t="shared" si="10"/>
        <v>83.81</v>
      </c>
      <c r="L20" s="453"/>
      <c r="M20" s="454">
        <f t="shared" si="18"/>
        <v>0.99000000000000909</v>
      </c>
      <c r="O20" s="455">
        <f t="shared" si="19"/>
        <v>1.2E-2</v>
      </c>
      <c r="T20" s="453"/>
      <c r="U20" s="454"/>
      <c r="W20" s="455"/>
      <c r="Y20" s="460" t="s">
        <v>439</v>
      </c>
      <c r="Z20" s="423"/>
      <c r="AA20" s="461"/>
      <c r="AC20" s="459">
        <f t="shared" si="3"/>
        <v>11.087014725568942</v>
      </c>
      <c r="AD20" s="459">
        <f t="shared" si="4"/>
        <v>11.219544846050871</v>
      </c>
      <c r="AE20" s="459"/>
      <c r="AF20" s="459"/>
    </row>
    <row r="21" spans="1:32">
      <c r="A21" s="435">
        <v>800</v>
      </c>
      <c r="C21" s="447">
        <f t="shared" si="7"/>
        <v>5</v>
      </c>
      <c r="E21" s="447">
        <f t="shared" si="8"/>
        <v>6</v>
      </c>
      <c r="G21" s="447">
        <f t="shared" si="9"/>
        <v>1</v>
      </c>
      <c r="I21" s="453">
        <f t="shared" si="17"/>
        <v>89.51</v>
      </c>
      <c r="K21" s="453">
        <f t="shared" si="10"/>
        <v>90.58</v>
      </c>
      <c r="L21" s="453"/>
      <c r="M21" s="454">
        <f t="shared" si="18"/>
        <v>1.0699999999999932</v>
      </c>
      <c r="O21" s="455">
        <f t="shared" si="19"/>
        <v>1.2E-2</v>
      </c>
      <c r="Q21" s="453">
        <f t="shared" si="13"/>
        <v>82.33</v>
      </c>
      <c r="S21" s="453">
        <f t="shared" si="14"/>
        <v>84.95</v>
      </c>
      <c r="T21" s="453"/>
      <c r="U21" s="454">
        <f t="shared" ref="U21" si="20">S21-Q21</f>
        <v>2.6200000000000045</v>
      </c>
      <c r="W21" s="455">
        <f t="shared" ref="W21" si="21">ROUND(IF(Q21=0,0,S21/Q21-1),3)</f>
        <v>3.2000000000000001E-2</v>
      </c>
      <c r="Y21" s="462" t="s">
        <v>443</v>
      </c>
      <c r="Z21" s="469">
        <f>'OCS Schedule 1 Proposal'!F20</f>
        <v>5</v>
      </c>
      <c r="AA21" s="470">
        <f>AA13</f>
        <v>6</v>
      </c>
      <c r="AC21" s="459">
        <f t="shared" si="3"/>
        <v>11.188750000000001</v>
      </c>
      <c r="AD21" s="459">
        <f t="shared" si="4"/>
        <v>11.3225</v>
      </c>
      <c r="AE21" s="459">
        <f t="shared" si="5"/>
        <v>10.29125</v>
      </c>
      <c r="AF21" s="459">
        <f t="shared" si="6"/>
        <v>10.61875</v>
      </c>
    </row>
    <row r="22" spans="1:32">
      <c r="A22" s="435">
        <v>900</v>
      </c>
      <c r="C22" s="447">
        <f t="shared" si="7"/>
        <v>5</v>
      </c>
      <c r="E22" s="447">
        <f t="shared" si="8"/>
        <v>6</v>
      </c>
      <c r="G22" s="447">
        <f t="shared" si="9"/>
        <v>1</v>
      </c>
      <c r="I22" s="453">
        <f t="shared" si="17"/>
        <v>102.13</v>
      </c>
      <c r="K22" s="453">
        <f t="shared" si="10"/>
        <v>103.35</v>
      </c>
      <c r="L22" s="453"/>
      <c r="M22" s="454">
        <f t="shared" si="18"/>
        <v>1.2199999999999989</v>
      </c>
      <c r="O22" s="455">
        <f t="shared" si="19"/>
        <v>1.2E-2</v>
      </c>
      <c r="Q22" s="453">
        <f t="shared" si="13"/>
        <v>93.15</v>
      </c>
      <c r="S22" s="453">
        <f t="shared" si="14"/>
        <v>96.32</v>
      </c>
      <c r="T22" s="453"/>
      <c r="U22" s="454">
        <f t="shared" ref="U22:U32" si="22">S22-Q22</f>
        <v>3.1699999999999875</v>
      </c>
      <c r="W22" s="455">
        <f t="shared" ref="W22:W32" si="23">ROUND(IF(Q22=0,0,S22/Q22-1),3)</f>
        <v>3.4000000000000002E-2</v>
      </c>
      <c r="Y22" s="462" t="s">
        <v>444</v>
      </c>
      <c r="Z22" s="893">
        <f>'OCS Schedule 1 Proposal'!F26+Z28</f>
        <v>8.9210000000000012</v>
      </c>
      <c r="AA22" s="472">
        <f>'OCS Schedule 1 Proposal'!J26+AA28</f>
        <v>9.0285000000000011</v>
      </c>
      <c r="AC22" s="459">
        <f t="shared" si="3"/>
        <v>11.347777777777777</v>
      </c>
      <c r="AD22" s="459">
        <f t="shared" si="4"/>
        <v>11.483333333333333</v>
      </c>
      <c r="AE22" s="459">
        <f t="shared" si="5"/>
        <v>10.350000000000001</v>
      </c>
      <c r="AF22" s="459">
        <f t="shared" si="6"/>
        <v>10.702222222222222</v>
      </c>
    </row>
    <row r="23" spans="1:32">
      <c r="A23" s="435">
        <v>1000</v>
      </c>
      <c r="C23" s="447">
        <f t="shared" si="7"/>
        <v>5</v>
      </c>
      <c r="E23" s="447">
        <f t="shared" si="8"/>
        <v>6</v>
      </c>
      <c r="G23" s="447">
        <f t="shared" si="9"/>
        <v>1</v>
      </c>
      <c r="I23" s="453">
        <f t="shared" si="17"/>
        <v>114.75</v>
      </c>
      <c r="K23" s="453">
        <f t="shared" si="10"/>
        <v>116.13</v>
      </c>
      <c r="L23" s="453"/>
      <c r="M23" s="454">
        <f t="shared" si="18"/>
        <v>1.3799999999999955</v>
      </c>
      <c r="O23" s="455">
        <f t="shared" si="19"/>
        <v>1.2E-2</v>
      </c>
      <c r="Q23" s="453">
        <f t="shared" si="13"/>
        <v>103.98</v>
      </c>
      <c r="S23" s="453">
        <f t="shared" si="14"/>
        <v>107.68</v>
      </c>
      <c r="T23" s="453"/>
      <c r="U23" s="454">
        <f t="shared" si="22"/>
        <v>3.7000000000000028</v>
      </c>
      <c r="W23" s="455">
        <f t="shared" si="23"/>
        <v>3.5999999999999997E-2</v>
      </c>
      <c r="Y23" s="462" t="s">
        <v>445</v>
      </c>
      <c r="Z23" s="893">
        <f>'OCS Schedule 1 Proposal'!F27+Z28</f>
        <v>9.9625000000000004</v>
      </c>
      <c r="AA23" s="472">
        <f>'OCS Schedule 1 Proposal'!J27+AA28</f>
        <v>10.4588</v>
      </c>
      <c r="AC23" s="459">
        <f t="shared" si="3"/>
        <v>11.475</v>
      </c>
      <c r="AD23" s="459">
        <f t="shared" si="4"/>
        <v>11.613</v>
      </c>
      <c r="AE23" s="459">
        <f t="shared" si="5"/>
        <v>10.398</v>
      </c>
      <c r="AF23" s="459">
        <f t="shared" si="6"/>
        <v>10.768000000000001</v>
      </c>
    </row>
    <row r="24" spans="1:32">
      <c r="A24" s="435">
        <v>1100</v>
      </c>
      <c r="C24" s="447">
        <f t="shared" si="7"/>
        <v>5</v>
      </c>
      <c r="E24" s="447">
        <f t="shared" si="8"/>
        <v>6</v>
      </c>
      <c r="G24" s="447">
        <f t="shared" si="9"/>
        <v>1</v>
      </c>
      <c r="I24" s="453">
        <f t="shared" si="17"/>
        <v>130.52000000000001</v>
      </c>
      <c r="K24" s="453">
        <f t="shared" si="10"/>
        <v>132.09</v>
      </c>
      <c r="L24" s="453"/>
      <c r="M24" s="454">
        <f t="shared" si="18"/>
        <v>1.5699999999999932</v>
      </c>
      <c r="O24" s="455">
        <f t="shared" si="19"/>
        <v>1.2E-2</v>
      </c>
      <c r="Q24" s="453">
        <f t="shared" si="13"/>
        <v>114.8</v>
      </c>
      <c r="S24" s="453">
        <f t="shared" si="14"/>
        <v>119.04</v>
      </c>
      <c r="T24" s="453"/>
      <c r="U24" s="454">
        <f t="shared" si="22"/>
        <v>4.2400000000000091</v>
      </c>
      <c r="W24" s="455">
        <f t="shared" si="23"/>
        <v>3.6999999999999998E-2</v>
      </c>
      <c r="Y24" s="462" t="s">
        <v>447</v>
      </c>
      <c r="Z24" s="469">
        <f>Z17</f>
        <v>7</v>
      </c>
      <c r="AA24" s="470">
        <f>AA17</f>
        <v>10</v>
      </c>
      <c r="AC24" s="459">
        <f t="shared" ref="AC24" si="24">I24/$A24*100</f>
        <v>11.865454545454545</v>
      </c>
      <c r="AD24" s="459">
        <f t="shared" ref="AD24" si="25">K24/A24*100</f>
        <v>12.008181818181818</v>
      </c>
      <c r="AE24" s="459">
        <f t="shared" ref="AE24" si="26">Q24/$A24*100</f>
        <v>10.436363636363637</v>
      </c>
      <c r="AF24" s="459">
        <f t="shared" ref="AF24" si="27">S24/$A24*100</f>
        <v>10.821818181818182</v>
      </c>
    </row>
    <row r="25" spans="1:32">
      <c r="A25" s="435">
        <v>1200</v>
      </c>
      <c r="C25" s="447">
        <f t="shared" si="7"/>
        <v>5</v>
      </c>
      <c r="E25" s="447">
        <f t="shared" si="8"/>
        <v>6</v>
      </c>
      <c r="G25" s="447">
        <f t="shared" si="9"/>
        <v>1</v>
      </c>
      <c r="I25" s="453">
        <f t="shared" si="17"/>
        <v>146.30000000000001</v>
      </c>
      <c r="K25" s="453">
        <f t="shared" si="10"/>
        <v>148.06</v>
      </c>
      <c r="L25" s="453"/>
      <c r="M25" s="454">
        <f t="shared" si="18"/>
        <v>1.7599999999999909</v>
      </c>
      <c r="O25" s="455">
        <f t="shared" si="19"/>
        <v>1.2E-2</v>
      </c>
      <c r="Q25" s="453">
        <f t="shared" si="13"/>
        <v>125.63</v>
      </c>
      <c r="S25" s="453">
        <f t="shared" si="14"/>
        <v>130.41</v>
      </c>
      <c r="T25" s="453"/>
      <c r="U25" s="454">
        <f t="shared" si="22"/>
        <v>4.7800000000000011</v>
      </c>
      <c r="W25" s="455">
        <f t="shared" si="23"/>
        <v>3.7999999999999999E-2</v>
      </c>
      <c r="Y25" s="462" t="s">
        <v>449</v>
      </c>
      <c r="Z25" s="469">
        <f>Z18</f>
        <v>0.26</v>
      </c>
      <c r="AA25" s="470">
        <f>Z25</f>
        <v>0.26</v>
      </c>
      <c r="AC25" s="459">
        <f t="shared" ref="AC25:AC30" si="28">I24/$A24*100</f>
        <v>11.865454545454545</v>
      </c>
      <c r="AD25" s="459">
        <f t="shared" ref="AD25:AD30" si="29">K24/A24*100</f>
        <v>12.008181818181818</v>
      </c>
      <c r="AE25" s="459">
        <f t="shared" ref="AE25:AE30" si="30">Q24/$A24*100</f>
        <v>10.436363636363637</v>
      </c>
      <c r="AF25" s="459">
        <f t="shared" ref="AF25:AF30" si="31">S24/$A24*100</f>
        <v>10.821818181818182</v>
      </c>
    </row>
    <row r="26" spans="1:32">
      <c r="A26" s="435">
        <v>1300</v>
      </c>
      <c r="C26" s="447">
        <f t="shared" si="7"/>
        <v>5</v>
      </c>
      <c r="E26" s="447">
        <f t="shared" si="8"/>
        <v>6</v>
      </c>
      <c r="G26" s="447">
        <f t="shared" si="9"/>
        <v>1</v>
      </c>
      <c r="I26" s="453">
        <f t="shared" si="17"/>
        <v>162.08000000000001</v>
      </c>
      <c r="K26" s="453">
        <f t="shared" si="10"/>
        <v>164.03</v>
      </c>
      <c r="L26" s="453"/>
      <c r="M26" s="454">
        <f t="shared" si="18"/>
        <v>1.9499999999999886</v>
      </c>
      <c r="O26" s="455">
        <f t="shared" si="19"/>
        <v>1.2E-2</v>
      </c>
      <c r="Q26" s="453">
        <f t="shared" si="13"/>
        <v>136.44999999999999</v>
      </c>
      <c r="S26" s="453">
        <f t="shared" si="14"/>
        <v>141.77000000000001</v>
      </c>
      <c r="T26" s="453"/>
      <c r="U26" s="454">
        <f t="shared" si="22"/>
        <v>5.3200000000000216</v>
      </c>
      <c r="W26" s="455">
        <f t="shared" si="23"/>
        <v>3.9E-2</v>
      </c>
      <c r="Y26" s="473" t="s">
        <v>82</v>
      </c>
      <c r="Z26" s="474">
        <f>Z19</f>
        <v>3.3799999999999997E-2</v>
      </c>
      <c r="AA26" s="895">
        <f>AA19</f>
        <v>3.3799999999999997E-2</v>
      </c>
      <c r="AC26" s="459">
        <f t="shared" si="28"/>
        <v>12.191666666666666</v>
      </c>
      <c r="AD26" s="459">
        <f t="shared" si="29"/>
        <v>12.338333333333333</v>
      </c>
      <c r="AE26" s="459">
        <f t="shared" si="30"/>
        <v>10.469166666666666</v>
      </c>
      <c r="AF26" s="459">
        <f t="shared" si="31"/>
        <v>10.8675</v>
      </c>
    </row>
    <row r="27" spans="1:32">
      <c r="A27" s="435">
        <v>1400</v>
      </c>
      <c r="C27" s="447">
        <f t="shared" si="7"/>
        <v>5</v>
      </c>
      <c r="E27" s="447">
        <f t="shared" si="8"/>
        <v>6</v>
      </c>
      <c r="G27" s="447">
        <f t="shared" si="9"/>
        <v>1</v>
      </c>
      <c r="I27" s="453">
        <f t="shared" si="17"/>
        <v>177.86</v>
      </c>
      <c r="K27" s="453">
        <f t="shared" si="10"/>
        <v>179.99</v>
      </c>
      <c r="L27" s="453"/>
      <c r="M27" s="454">
        <f t="shared" si="18"/>
        <v>2.1299999999999955</v>
      </c>
      <c r="O27" s="455">
        <f t="shared" si="19"/>
        <v>1.2E-2</v>
      </c>
      <c r="Q27" s="453">
        <f t="shared" si="13"/>
        <v>147.28</v>
      </c>
      <c r="S27" s="453">
        <f t="shared" si="14"/>
        <v>153.13999999999999</v>
      </c>
      <c r="T27" s="453"/>
      <c r="U27" s="454">
        <f t="shared" si="22"/>
        <v>5.8599999999999852</v>
      </c>
      <c r="W27" s="455">
        <f t="shared" si="23"/>
        <v>0.04</v>
      </c>
      <c r="AC27" s="459">
        <f t="shared" si="28"/>
        <v>12.467692307692309</v>
      </c>
      <c r="AD27" s="459">
        <f t="shared" si="29"/>
        <v>12.617692307692307</v>
      </c>
      <c r="AE27" s="459">
        <f t="shared" si="30"/>
        <v>10.496153846153845</v>
      </c>
      <c r="AF27" s="459">
        <f t="shared" si="31"/>
        <v>10.905384615384616</v>
      </c>
    </row>
    <row r="28" spans="1:32">
      <c r="A28" s="435">
        <v>1500</v>
      </c>
      <c r="C28" s="447">
        <f t="shared" si="7"/>
        <v>5</v>
      </c>
      <c r="E28" s="447">
        <f t="shared" si="8"/>
        <v>6</v>
      </c>
      <c r="G28" s="447">
        <f t="shared" si="9"/>
        <v>1</v>
      </c>
      <c r="I28" s="453">
        <f t="shared" si="17"/>
        <v>193.64</v>
      </c>
      <c r="K28" s="453">
        <f t="shared" si="10"/>
        <v>195.96</v>
      </c>
      <c r="L28" s="453"/>
      <c r="M28" s="454">
        <f t="shared" si="18"/>
        <v>2.3200000000000216</v>
      </c>
      <c r="O28" s="455">
        <f t="shared" si="19"/>
        <v>1.2E-2</v>
      </c>
      <c r="Q28" s="453">
        <f t="shared" si="13"/>
        <v>158.1</v>
      </c>
      <c r="S28" s="453">
        <f t="shared" si="14"/>
        <v>164.5</v>
      </c>
      <c r="T28" s="453"/>
      <c r="U28" s="454">
        <f t="shared" si="22"/>
        <v>6.4000000000000057</v>
      </c>
      <c r="W28" s="455">
        <f t="shared" si="23"/>
        <v>0.04</v>
      </c>
      <c r="Y28" s="425" t="s">
        <v>663</v>
      </c>
      <c r="Z28" s="471">
        <v>3.56E-2</v>
      </c>
      <c r="AA28" s="1069">
        <v>3.56E-2</v>
      </c>
      <c r="AC28" s="459">
        <f t="shared" si="28"/>
        <v>12.704285714285716</v>
      </c>
      <c r="AD28" s="459">
        <f t="shared" si="29"/>
        <v>12.856428571428571</v>
      </c>
      <c r="AE28" s="459">
        <f t="shared" si="30"/>
        <v>10.52</v>
      </c>
      <c r="AF28" s="459">
        <f t="shared" si="31"/>
        <v>10.938571428571429</v>
      </c>
    </row>
    <row r="29" spans="1:32">
      <c r="A29" s="435">
        <v>2000</v>
      </c>
      <c r="C29" s="447">
        <f t="shared" si="7"/>
        <v>5</v>
      </c>
      <c r="E29" s="447">
        <f t="shared" si="8"/>
        <v>6</v>
      </c>
      <c r="G29" s="447">
        <f t="shared" si="9"/>
        <v>1</v>
      </c>
      <c r="I29" s="453">
        <f t="shared" si="17"/>
        <v>272.52999999999997</v>
      </c>
      <c r="K29" s="453">
        <f t="shared" si="10"/>
        <v>275.8</v>
      </c>
      <c r="L29" s="453"/>
      <c r="M29" s="454">
        <f t="shared" si="18"/>
        <v>3.2700000000000387</v>
      </c>
      <c r="O29" s="455">
        <f t="shared" si="19"/>
        <v>1.2E-2</v>
      </c>
      <c r="Q29" s="453">
        <f t="shared" si="13"/>
        <v>212.22</v>
      </c>
      <c r="S29" s="453">
        <f t="shared" si="14"/>
        <v>221.32</v>
      </c>
      <c r="T29" s="453"/>
      <c r="U29" s="454">
        <f t="shared" si="22"/>
        <v>9.0999999999999943</v>
      </c>
      <c r="W29" s="455">
        <f t="shared" si="23"/>
        <v>4.2999999999999997E-2</v>
      </c>
      <c r="Y29" s="425" t="s">
        <v>618</v>
      </c>
      <c r="Z29" s="476">
        <v>1.7399999999999999E-2</v>
      </c>
      <c r="AA29" s="477">
        <f>Z29</f>
        <v>1.7399999999999999E-2</v>
      </c>
      <c r="AC29" s="459">
        <f t="shared" si="28"/>
        <v>12.909333333333334</v>
      </c>
      <c r="AD29" s="459">
        <f t="shared" si="29"/>
        <v>13.064</v>
      </c>
      <c r="AE29" s="459">
        <f t="shared" si="30"/>
        <v>10.54</v>
      </c>
      <c r="AF29" s="459">
        <f t="shared" si="31"/>
        <v>10.966666666666667</v>
      </c>
    </row>
    <row r="30" spans="1:32">
      <c r="A30" s="435">
        <v>3000</v>
      </c>
      <c r="C30" s="447">
        <f t="shared" si="7"/>
        <v>5</v>
      </c>
      <c r="E30" s="447">
        <f t="shared" si="8"/>
        <v>6</v>
      </c>
      <c r="G30" s="447">
        <f t="shared" si="9"/>
        <v>1</v>
      </c>
      <c r="I30" s="453">
        <f t="shared" si="17"/>
        <v>430.32</v>
      </c>
      <c r="K30" s="453">
        <f t="shared" si="10"/>
        <v>435.47</v>
      </c>
      <c r="L30" s="453"/>
      <c r="M30" s="454">
        <f t="shared" si="18"/>
        <v>5.1500000000000341</v>
      </c>
      <c r="O30" s="455">
        <f t="shared" si="19"/>
        <v>1.2E-2</v>
      </c>
      <c r="Q30" s="453">
        <f t="shared" si="13"/>
        <v>320.47000000000003</v>
      </c>
      <c r="S30" s="453">
        <f t="shared" si="14"/>
        <v>334.96</v>
      </c>
      <c r="T30" s="453"/>
      <c r="U30" s="454">
        <f t="shared" si="22"/>
        <v>14.489999999999952</v>
      </c>
      <c r="W30" s="455">
        <f t="shared" si="23"/>
        <v>4.4999999999999998E-2</v>
      </c>
      <c r="Y30" s="425" t="s">
        <v>454</v>
      </c>
      <c r="Z30" s="476">
        <v>-2E-3</v>
      </c>
      <c r="AA30" s="477">
        <f>Z30</f>
        <v>-2E-3</v>
      </c>
      <c r="AC30" s="459">
        <f t="shared" si="28"/>
        <v>13.6265</v>
      </c>
      <c r="AD30" s="459">
        <f t="shared" si="29"/>
        <v>13.79</v>
      </c>
      <c r="AE30" s="459">
        <f t="shared" si="30"/>
        <v>10.610999999999999</v>
      </c>
      <c r="AF30" s="459">
        <f t="shared" si="31"/>
        <v>11.065999999999999</v>
      </c>
    </row>
    <row r="31" spans="1:32">
      <c r="A31" s="435">
        <v>4000</v>
      </c>
      <c r="C31" s="447">
        <f t="shared" si="7"/>
        <v>5</v>
      </c>
      <c r="E31" s="447">
        <f t="shared" si="8"/>
        <v>6</v>
      </c>
      <c r="G31" s="447">
        <f t="shared" si="9"/>
        <v>1</v>
      </c>
      <c r="I31" s="453">
        <f t="shared" si="17"/>
        <v>588.1</v>
      </c>
      <c r="K31" s="453">
        <f t="shared" si="10"/>
        <v>595.14</v>
      </c>
      <c r="L31" s="453"/>
      <c r="M31" s="454">
        <f t="shared" si="18"/>
        <v>7.0399999999999636</v>
      </c>
      <c r="O31" s="455">
        <f t="shared" si="19"/>
        <v>1.2E-2</v>
      </c>
      <c r="Q31" s="453">
        <f t="shared" si="13"/>
        <v>428.71</v>
      </c>
      <c r="S31" s="453">
        <f t="shared" si="14"/>
        <v>448.59</v>
      </c>
      <c r="T31" s="453"/>
      <c r="U31" s="454">
        <f t="shared" si="22"/>
        <v>19.879999999999995</v>
      </c>
      <c r="W31" s="455">
        <f t="shared" si="23"/>
        <v>4.5999999999999999E-2</v>
      </c>
      <c r="Y31" s="423" t="s">
        <v>455</v>
      </c>
      <c r="Z31" s="476">
        <f>SUM(Z28:Z30)</f>
        <v>5.0999999999999997E-2</v>
      </c>
      <c r="AA31" s="477">
        <f>SUM(AA28:AA30)</f>
        <v>5.0999999999999997E-2</v>
      </c>
      <c r="AC31" s="459">
        <f>I29/$A29*100</f>
        <v>13.6265</v>
      </c>
      <c r="AD31" s="459">
        <f>K29/A29*100</f>
        <v>13.79</v>
      </c>
      <c r="AE31" s="459">
        <f>Q29/$A29*100</f>
        <v>10.610999999999999</v>
      </c>
      <c r="AF31" s="459">
        <f>S29/$A29*100</f>
        <v>11.065999999999999</v>
      </c>
    </row>
    <row r="32" spans="1:32">
      <c r="A32" s="435">
        <v>5000</v>
      </c>
      <c r="C32" s="447">
        <f t="shared" si="7"/>
        <v>5</v>
      </c>
      <c r="E32" s="447">
        <f t="shared" si="8"/>
        <v>6</v>
      </c>
      <c r="G32" s="447">
        <f t="shared" si="9"/>
        <v>1</v>
      </c>
      <c r="I32" s="453">
        <f t="shared" si="17"/>
        <v>745.89</v>
      </c>
      <c r="K32" s="453">
        <f t="shared" si="10"/>
        <v>754.81</v>
      </c>
      <c r="L32" s="453"/>
      <c r="M32" s="454">
        <f t="shared" si="18"/>
        <v>8.9199999999999591</v>
      </c>
      <c r="O32" s="455">
        <f t="shared" si="19"/>
        <v>1.2E-2</v>
      </c>
      <c r="Q32" s="453">
        <f t="shared" si="13"/>
        <v>536.96</v>
      </c>
      <c r="S32" s="453">
        <f t="shared" si="14"/>
        <v>562.23</v>
      </c>
      <c r="T32" s="453"/>
      <c r="U32" s="454">
        <f t="shared" si="22"/>
        <v>25.269999999999982</v>
      </c>
      <c r="W32" s="455">
        <f t="shared" si="23"/>
        <v>4.7E-2</v>
      </c>
      <c r="AC32" s="459">
        <f>I30/$A30*100</f>
        <v>14.343999999999998</v>
      </c>
      <c r="AD32" s="459">
        <f>K30/A30*100</f>
        <v>14.515666666666668</v>
      </c>
      <c r="AE32" s="459">
        <f>Q30/$A30*100</f>
        <v>10.682333333333334</v>
      </c>
      <c r="AF32" s="459">
        <f>S30/$A30*100</f>
        <v>11.165333333333333</v>
      </c>
    </row>
    <row r="33" spans="1:36">
      <c r="X33" s="478"/>
      <c r="Y33" s="425" t="s">
        <v>452</v>
      </c>
      <c r="Z33" s="423"/>
      <c r="AA33" s="476">
        <f>'OCS Rate Spread'!Q15</f>
        <v>3.8606092547098299E-2</v>
      </c>
      <c r="AC33" s="459">
        <f>I31/$A31*100</f>
        <v>14.702500000000002</v>
      </c>
      <c r="AD33" s="459">
        <f>K31/A31*100</f>
        <v>14.878500000000001</v>
      </c>
      <c r="AE33" s="459">
        <f>Q31/$A31*100</f>
        <v>10.717749999999999</v>
      </c>
      <c r="AF33" s="459">
        <f>S31/$A31*100</f>
        <v>11.21475</v>
      </c>
    </row>
    <row r="34" spans="1:36">
      <c r="Y34" s="479"/>
      <c r="Z34" s="423"/>
      <c r="AA34" s="423"/>
      <c r="AC34" s="459">
        <f>I32/$A32*100</f>
        <v>14.9178</v>
      </c>
      <c r="AD34" s="459">
        <f>K32/A32*100</f>
        <v>15.096199999999998</v>
      </c>
      <c r="AE34" s="459">
        <f>Q32/$A32*100</f>
        <v>10.7392</v>
      </c>
      <c r="AF34" s="459">
        <f>S32/$A32*100</f>
        <v>11.2446</v>
      </c>
    </row>
    <row r="35" spans="1:36" ht="15.75">
      <c r="A35" s="480" t="s">
        <v>456</v>
      </c>
      <c r="Y35" s="423"/>
      <c r="Z35" s="423"/>
      <c r="AA35" s="423"/>
      <c r="AC35" s="481"/>
      <c r="AD35" s="430"/>
    </row>
    <row r="36" spans="1:36">
      <c r="A36" s="435" t="s">
        <v>457</v>
      </c>
      <c r="Y36" s="423"/>
      <c r="Z36" s="423"/>
      <c r="AA36" s="423"/>
      <c r="AC36" s="481"/>
      <c r="AD36" s="430"/>
    </row>
    <row r="37" spans="1:36" ht="15.75">
      <c r="A37" s="480"/>
      <c r="AD37" s="482" t="s">
        <v>83</v>
      </c>
      <c r="AE37" s="483"/>
      <c r="AF37" s="483"/>
      <c r="AG37" s="484" t="s">
        <v>19</v>
      </c>
      <c r="AH37" s="485"/>
      <c r="AI37" s="483" t="s">
        <v>81</v>
      </c>
      <c r="AJ37" s="486" t="s">
        <v>458</v>
      </c>
    </row>
    <row r="38" spans="1:36">
      <c r="A38" s="746"/>
      <c r="B38" s="423"/>
      <c r="C38" s="423"/>
      <c r="D38" s="423"/>
      <c r="E38" s="423"/>
      <c r="F38" s="423"/>
      <c r="G38" s="423"/>
      <c r="H38" s="423"/>
      <c r="I38" s="430"/>
      <c r="J38" s="423"/>
      <c r="K38" s="430"/>
      <c r="L38" s="423"/>
      <c r="M38" s="469"/>
      <c r="N38" s="423"/>
      <c r="O38" s="423"/>
      <c r="Z38" s="463"/>
      <c r="AA38" s="463"/>
      <c r="AC38" s="423"/>
      <c r="AD38" s="487" t="s">
        <v>85</v>
      </c>
      <c r="AE38" s="487" t="s">
        <v>81</v>
      </c>
      <c r="AF38" s="487" t="s">
        <v>8</v>
      </c>
      <c r="AG38" s="488" t="s">
        <v>86</v>
      </c>
      <c r="AH38" s="489" t="s">
        <v>48</v>
      </c>
      <c r="AI38" s="490" t="s">
        <v>21</v>
      </c>
      <c r="AJ38" s="490" t="s">
        <v>21</v>
      </c>
    </row>
    <row r="39" spans="1:36">
      <c r="A39" s="746"/>
      <c r="B39" s="423"/>
      <c r="C39" s="423"/>
      <c r="D39" s="423"/>
      <c r="E39" s="423"/>
      <c r="F39" s="423"/>
      <c r="G39" s="423"/>
      <c r="H39" s="423"/>
      <c r="I39" s="432"/>
      <c r="J39" s="747"/>
      <c r="K39" s="505"/>
      <c r="L39" s="422"/>
      <c r="M39" s="748"/>
      <c r="N39" s="422"/>
      <c r="O39" s="422"/>
      <c r="Z39" s="491"/>
      <c r="AC39" s="492" t="s">
        <v>438</v>
      </c>
      <c r="AD39" s="493">
        <v>747</v>
      </c>
      <c r="AE39" s="494">
        <f>I20</f>
        <v>82.82</v>
      </c>
      <c r="AF39" s="494">
        <f>K20</f>
        <v>83.81</v>
      </c>
      <c r="AG39" s="494">
        <f>AF39-AE39</f>
        <v>0.99000000000000909</v>
      </c>
      <c r="AH39" s="495">
        <f>AF39/AE39-1</f>
        <v>1.1953634387829037E-2</v>
      </c>
      <c r="AI39" s="898">
        <f t="shared" ref="AI39:AJ41" si="32">ROUND(AE39/$AD39*100,2)</f>
        <v>11.09</v>
      </c>
      <c r="AJ39" s="498">
        <f t="shared" si="32"/>
        <v>11.22</v>
      </c>
    </row>
    <row r="40" spans="1:36">
      <c r="A40" s="746"/>
      <c r="B40" s="423"/>
      <c r="C40" s="423"/>
      <c r="D40" s="423"/>
      <c r="E40" s="423"/>
      <c r="F40" s="423"/>
      <c r="G40" s="423"/>
      <c r="H40" s="423"/>
      <c r="I40" s="505"/>
      <c r="J40" s="422"/>
      <c r="K40" s="505"/>
      <c r="L40" s="423"/>
      <c r="M40" s="505"/>
      <c r="N40" s="422"/>
      <c r="O40" s="505"/>
      <c r="AC40" s="496" t="s">
        <v>439</v>
      </c>
      <c r="AD40" s="493">
        <v>663</v>
      </c>
      <c r="AE40" s="494">
        <f>Q17</f>
        <v>67.5</v>
      </c>
      <c r="AF40" s="494">
        <f>S17</f>
        <v>69.39</v>
      </c>
      <c r="AG40" s="494">
        <f>AF40-AE40</f>
        <v>1.8900000000000006</v>
      </c>
      <c r="AH40" s="497">
        <f>AF40/AE40-1</f>
        <v>2.8000000000000025E-2</v>
      </c>
      <c r="AI40" s="498">
        <f t="shared" si="32"/>
        <v>10.18</v>
      </c>
      <c r="AJ40" s="498">
        <f t="shared" si="32"/>
        <v>10.47</v>
      </c>
    </row>
    <row r="41" spans="1:36">
      <c r="A41" s="749"/>
      <c r="B41" s="423"/>
      <c r="C41" s="423"/>
      <c r="D41" s="423"/>
      <c r="E41" s="423"/>
      <c r="F41" s="423"/>
      <c r="G41" s="423"/>
      <c r="H41" s="423"/>
      <c r="I41" s="505"/>
      <c r="J41" s="423"/>
      <c r="K41" s="750"/>
      <c r="L41" s="423"/>
      <c r="M41" s="751"/>
      <c r="N41" s="423"/>
      <c r="O41" s="532"/>
      <c r="P41" s="455"/>
      <c r="Q41" s="455"/>
      <c r="R41" s="455"/>
      <c r="S41" s="455"/>
      <c r="T41" s="455"/>
      <c r="U41" s="455"/>
      <c r="AA41" s="453"/>
      <c r="AC41" s="501" t="s">
        <v>459</v>
      </c>
      <c r="AD41" s="502">
        <v>698</v>
      </c>
      <c r="AE41" s="503">
        <f>(I18*5+Q18*7)/12</f>
        <v>73.519166666666663</v>
      </c>
      <c r="AF41" s="503">
        <f>(K18*5+S18*7)/12</f>
        <v>75.11</v>
      </c>
      <c r="AG41" s="503">
        <f>AF41-AE41</f>
        <v>1.590833333333336</v>
      </c>
      <c r="AH41" s="504">
        <f>AF41/AE41-1</f>
        <v>2.1638348276526553E-2</v>
      </c>
      <c r="AI41" s="899">
        <f t="shared" si="32"/>
        <v>10.53</v>
      </c>
      <c r="AJ41" s="899">
        <f t="shared" si="32"/>
        <v>10.76</v>
      </c>
    </row>
    <row r="42" spans="1:36">
      <c r="A42" s="746"/>
      <c r="B42" s="423"/>
      <c r="C42" s="423"/>
      <c r="D42" s="423"/>
      <c r="E42" s="423"/>
      <c r="F42" s="423"/>
      <c r="G42" s="423"/>
      <c r="H42" s="423"/>
      <c r="I42" s="430"/>
      <c r="J42" s="423"/>
      <c r="K42" s="430"/>
      <c r="L42" s="430"/>
      <c r="M42" s="752"/>
      <c r="N42" s="423"/>
      <c r="O42" s="753"/>
      <c r="P42" s="455"/>
      <c r="Q42" s="455"/>
      <c r="R42" s="455"/>
      <c r="S42" s="455"/>
      <c r="T42" s="455"/>
      <c r="U42" s="455"/>
      <c r="AA42" s="453"/>
      <c r="AC42" s="423"/>
      <c r="AD42" s="423"/>
      <c r="AE42" s="423"/>
      <c r="AF42" s="423"/>
      <c r="AG42" s="423"/>
      <c r="AH42" s="423"/>
      <c r="AI42" s="423"/>
      <c r="AJ42" s="423"/>
    </row>
    <row r="43" spans="1:36">
      <c r="A43" s="746"/>
      <c r="B43" s="423"/>
      <c r="C43" s="423"/>
      <c r="D43" s="423"/>
      <c r="E43" s="423"/>
      <c r="F43" s="423"/>
      <c r="G43" s="423"/>
      <c r="H43" s="423"/>
      <c r="I43" s="430"/>
      <c r="J43" s="423"/>
      <c r="K43" s="430"/>
      <c r="L43" s="430"/>
      <c r="M43" s="752"/>
      <c r="N43" s="423"/>
      <c r="O43" s="753"/>
      <c r="P43" s="455"/>
      <c r="Q43" s="455"/>
      <c r="R43" s="455"/>
      <c r="S43" s="455"/>
      <c r="T43" s="455"/>
      <c r="U43" s="455"/>
    </row>
    <row r="44" spans="1:36">
      <c r="A44" s="746"/>
      <c r="B44" s="423"/>
      <c r="C44" s="423"/>
      <c r="D44" s="423"/>
      <c r="E44" s="423"/>
      <c r="F44" s="423"/>
      <c r="G44" s="423"/>
      <c r="H44" s="423"/>
      <c r="I44" s="430"/>
      <c r="J44" s="423"/>
      <c r="K44" s="430"/>
      <c r="L44" s="430"/>
      <c r="M44" s="752"/>
      <c r="N44" s="423"/>
      <c r="O44" s="753"/>
      <c r="P44" s="455"/>
      <c r="Q44" s="455"/>
      <c r="R44" s="455"/>
      <c r="S44" s="455"/>
      <c r="T44" s="455"/>
      <c r="U44" s="455"/>
    </row>
    <row r="45" spans="1:36">
      <c r="A45" s="746"/>
      <c r="B45" s="423"/>
      <c r="C45" s="423"/>
      <c r="D45" s="423"/>
      <c r="E45" s="423"/>
      <c r="F45" s="423"/>
      <c r="G45" s="423"/>
      <c r="H45" s="423"/>
      <c r="I45" s="430"/>
      <c r="J45" s="423"/>
      <c r="K45" s="430"/>
      <c r="L45" s="430"/>
      <c r="M45" s="752"/>
      <c r="N45" s="423"/>
      <c r="O45" s="753"/>
      <c r="P45" s="455"/>
      <c r="Q45" s="455"/>
      <c r="R45" s="455"/>
      <c r="S45" s="455"/>
      <c r="T45" s="455"/>
      <c r="U45" s="455"/>
    </row>
    <row r="46" spans="1:36">
      <c r="A46" s="746"/>
      <c r="B46" s="423"/>
      <c r="C46" s="423"/>
      <c r="D46" s="423"/>
      <c r="E46" s="423"/>
      <c r="F46" s="423"/>
      <c r="G46" s="423"/>
      <c r="H46" s="423"/>
      <c r="I46" s="430"/>
      <c r="J46" s="423"/>
      <c r="K46" s="430"/>
      <c r="L46" s="430"/>
      <c r="M46" s="752"/>
      <c r="N46" s="423"/>
      <c r="O46" s="753"/>
      <c r="P46" s="455"/>
      <c r="Q46" s="455"/>
      <c r="R46" s="455"/>
      <c r="S46" s="455"/>
      <c r="T46" s="455"/>
      <c r="U46" s="455"/>
    </row>
    <row r="47" spans="1:36">
      <c r="A47" s="746"/>
      <c r="B47" s="423"/>
      <c r="C47" s="423"/>
      <c r="D47" s="423"/>
      <c r="E47" s="423"/>
      <c r="F47" s="423"/>
      <c r="G47" s="423"/>
      <c r="H47" s="423"/>
      <c r="I47" s="430"/>
      <c r="J47" s="423"/>
      <c r="K47" s="430"/>
      <c r="L47" s="430"/>
      <c r="M47" s="752"/>
      <c r="N47" s="423"/>
      <c r="O47" s="753"/>
      <c r="P47" s="455"/>
      <c r="Q47" s="455"/>
      <c r="R47" s="455"/>
      <c r="S47" s="455"/>
      <c r="T47" s="455"/>
      <c r="U47" s="455"/>
    </row>
    <row r="48" spans="1:36">
      <c r="A48" s="746"/>
      <c r="B48" s="423"/>
      <c r="C48" s="423"/>
      <c r="D48" s="423"/>
      <c r="E48" s="423"/>
      <c r="F48" s="423"/>
      <c r="G48" s="423"/>
      <c r="H48" s="423"/>
      <c r="I48" s="430"/>
      <c r="J48" s="423"/>
      <c r="K48" s="430"/>
      <c r="L48" s="430"/>
      <c r="M48" s="752"/>
      <c r="N48" s="423"/>
      <c r="O48" s="753"/>
      <c r="P48" s="455"/>
      <c r="Q48" s="455"/>
      <c r="R48" s="455"/>
      <c r="S48" s="455"/>
      <c r="T48" s="455"/>
      <c r="U48" s="455"/>
    </row>
    <row r="49" spans="1:21">
      <c r="A49" s="746"/>
      <c r="B49" s="423"/>
      <c r="C49" s="423"/>
      <c r="D49" s="423"/>
      <c r="E49" s="423"/>
      <c r="F49" s="423"/>
      <c r="G49" s="423"/>
      <c r="H49" s="423"/>
      <c r="I49" s="430"/>
      <c r="J49" s="423"/>
      <c r="K49" s="430"/>
      <c r="L49" s="430"/>
      <c r="M49" s="752"/>
      <c r="N49" s="423"/>
      <c r="O49" s="753"/>
      <c r="P49" s="455"/>
      <c r="Q49" s="455"/>
      <c r="R49" s="455"/>
      <c r="S49" s="455"/>
      <c r="T49" s="455"/>
      <c r="U49" s="455"/>
    </row>
    <row r="50" spans="1:21">
      <c r="A50" s="746"/>
      <c r="B50" s="423"/>
      <c r="C50" s="423"/>
      <c r="D50" s="423"/>
      <c r="E50" s="423"/>
      <c r="F50" s="423"/>
      <c r="G50" s="423"/>
      <c r="H50" s="423"/>
      <c r="I50" s="430"/>
      <c r="J50" s="423"/>
      <c r="K50" s="430"/>
      <c r="L50" s="430"/>
      <c r="M50" s="752"/>
      <c r="N50" s="423"/>
      <c r="O50" s="753"/>
      <c r="P50" s="455"/>
      <c r="Q50" s="455"/>
      <c r="R50" s="455"/>
      <c r="S50" s="455"/>
      <c r="T50" s="455"/>
      <c r="U50" s="455"/>
    </row>
    <row r="51" spans="1:21">
      <c r="A51" s="746"/>
      <c r="B51" s="423"/>
      <c r="C51" s="423"/>
      <c r="D51" s="423"/>
      <c r="E51" s="423"/>
      <c r="F51" s="423"/>
      <c r="G51" s="423"/>
      <c r="H51" s="423"/>
      <c r="I51" s="430"/>
      <c r="J51" s="423"/>
      <c r="K51" s="430"/>
      <c r="L51" s="430"/>
      <c r="M51" s="752"/>
      <c r="N51" s="423"/>
      <c r="O51" s="753"/>
      <c r="P51" s="455"/>
      <c r="Q51" s="455"/>
      <c r="R51" s="455"/>
      <c r="S51" s="455"/>
      <c r="T51" s="455"/>
      <c r="U51" s="455"/>
    </row>
    <row r="52" spans="1:21">
      <c r="A52" s="746"/>
      <c r="B52" s="423"/>
      <c r="C52" s="423"/>
      <c r="D52" s="423"/>
      <c r="E52" s="423"/>
      <c r="F52" s="423"/>
      <c r="G52" s="423"/>
      <c r="H52" s="423"/>
      <c r="I52" s="430"/>
      <c r="J52" s="423"/>
      <c r="K52" s="430"/>
      <c r="L52" s="430"/>
      <c r="M52" s="752"/>
      <c r="N52" s="423"/>
      <c r="O52" s="753"/>
      <c r="P52" s="455"/>
      <c r="Q52" s="455"/>
      <c r="R52" s="455"/>
      <c r="S52" s="455"/>
      <c r="T52" s="455"/>
      <c r="U52" s="455"/>
    </row>
    <row r="53" spans="1:21">
      <c r="A53" s="746"/>
      <c r="B53" s="423"/>
      <c r="C53" s="423"/>
      <c r="D53" s="423"/>
      <c r="E53" s="423"/>
      <c r="F53" s="423"/>
      <c r="G53" s="423"/>
      <c r="H53" s="423"/>
      <c r="I53" s="430"/>
      <c r="J53" s="423"/>
      <c r="K53" s="430"/>
      <c r="L53" s="430"/>
      <c r="M53" s="752"/>
      <c r="N53" s="423"/>
      <c r="O53" s="753"/>
      <c r="P53" s="455"/>
      <c r="Q53" s="455"/>
      <c r="R53" s="455"/>
      <c r="S53" s="455"/>
      <c r="T53" s="455"/>
      <c r="U53" s="455"/>
    </row>
    <row r="54" spans="1:21">
      <c r="A54" s="746"/>
      <c r="B54" s="423"/>
      <c r="C54" s="423"/>
      <c r="D54" s="423"/>
      <c r="E54" s="423"/>
      <c r="F54" s="423"/>
      <c r="G54" s="423"/>
      <c r="H54" s="423"/>
      <c r="I54" s="430"/>
      <c r="J54" s="423"/>
      <c r="K54" s="430"/>
      <c r="L54" s="430"/>
      <c r="M54" s="752"/>
      <c r="N54" s="423"/>
      <c r="O54" s="753"/>
      <c r="P54" s="455"/>
      <c r="Q54" s="455"/>
      <c r="R54" s="455"/>
      <c r="S54" s="455"/>
      <c r="T54" s="455"/>
      <c r="U54" s="455"/>
    </row>
    <row r="55" spans="1:21">
      <c r="A55" s="746"/>
      <c r="B55" s="423"/>
      <c r="C55" s="423"/>
      <c r="D55" s="423"/>
      <c r="E55" s="423"/>
      <c r="F55" s="423"/>
      <c r="G55" s="423"/>
      <c r="H55" s="423"/>
      <c r="I55" s="430"/>
      <c r="J55" s="423"/>
      <c r="K55" s="430"/>
      <c r="L55" s="430"/>
      <c r="M55" s="752"/>
      <c r="N55" s="423"/>
      <c r="O55" s="753"/>
      <c r="P55" s="455"/>
      <c r="Q55" s="455"/>
      <c r="R55" s="455"/>
      <c r="S55" s="455"/>
      <c r="T55" s="455"/>
      <c r="U55" s="455"/>
    </row>
    <row r="56" spans="1:21">
      <c r="A56" s="746"/>
      <c r="B56" s="423"/>
      <c r="C56" s="423"/>
      <c r="D56" s="423"/>
      <c r="E56" s="423"/>
      <c r="F56" s="423"/>
      <c r="G56" s="423"/>
      <c r="H56" s="423"/>
      <c r="I56" s="430"/>
      <c r="J56" s="423"/>
      <c r="K56" s="430"/>
      <c r="L56" s="430"/>
      <c r="M56" s="752"/>
      <c r="N56" s="423"/>
      <c r="O56" s="753"/>
      <c r="P56" s="455"/>
      <c r="Q56" s="455"/>
      <c r="R56" s="455"/>
      <c r="S56" s="455"/>
      <c r="T56" s="455"/>
      <c r="U56" s="455"/>
    </row>
    <row r="57" spans="1:21">
      <c r="A57" s="746"/>
      <c r="B57" s="423"/>
      <c r="C57" s="423"/>
      <c r="D57" s="423"/>
      <c r="E57" s="423"/>
      <c r="F57" s="423"/>
      <c r="G57" s="423"/>
      <c r="H57" s="423"/>
      <c r="I57" s="430"/>
      <c r="J57" s="423"/>
      <c r="K57" s="430"/>
      <c r="L57" s="430"/>
      <c r="M57" s="752"/>
      <c r="N57" s="423"/>
      <c r="O57" s="753"/>
      <c r="P57" s="455"/>
      <c r="Q57" s="455"/>
      <c r="R57" s="455"/>
      <c r="S57" s="455"/>
      <c r="T57" s="455"/>
      <c r="U57" s="455"/>
    </row>
    <row r="58" spans="1:21">
      <c r="A58" s="746"/>
      <c r="B58" s="423"/>
      <c r="C58" s="423"/>
      <c r="D58" s="423"/>
      <c r="E58" s="423"/>
      <c r="F58" s="423"/>
      <c r="G58" s="423"/>
      <c r="H58" s="423"/>
      <c r="I58" s="430"/>
      <c r="J58" s="423"/>
      <c r="K58" s="430"/>
      <c r="L58" s="430"/>
      <c r="M58" s="752"/>
      <c r="N58" s="423"/>
      <c r="O58" s="753"/>
      <c r="P58" s="455"/>
      <c r="Q58" s="455"/>
      <c r="R58" s="455"/>
      <c r="S58" s="455"/>
      <c r="T58" s="455"/>
      <c r="U58" s="455"/>
    </row>
    <row r="59" spans="1:21">
      <c r="A59" s="746"/>
      <c r="B59" s="423"/>
      <c r="C59" s="423"/>
      <c r="D59" s="423"/>
      <c r="E59" s="423"/>
      <c r="F59" s="423"/>
      <c r="G59" s="423"/>
      <c r="H59" s="423"/>
      <c r="I59" s="430"/>
      <c r="J59" s="423"/>
      <c r="K59" s="430"/>
      <c r="L59" s="430"/>
      <c r="M59" s="752"/>
      <c r="N59" s="423"/>
      <c r="O59" s="753"/>
      <c r="P59" s="455"/>
      <c r="Q59" s="455"/>
      <c r="R59" s="455"/>
      <c r="S59" s="455"/>
      <c r="T59" s="455"/>
      <c r="U59" s="455"/>
    </row>
    <row r="60" spans="1:21">
      <c r="A60" s="746"/>
      <c r="B60" s="423"/>
      <c r="C60" s="423"/>
      <c r="D60" s="423"/>
      <c r="E60" s="423"/>
      <c r="F60" s="423"/>
      <c r="G60" s="423"/>
      <c r="H60" s="423"/>
      <c r="I60" s="430"/>
      <c r="J60" s="423"/>
      <c r="K60" s="430"/>
      <c r="L60" s="430"/>
      <c r="M60" s="752"/>
      <c r="N60" s="423"/>
      <c r="O60" s="753"/>
      <c r="P60" s="455"/>
      <c r="Q60" s="455"/>
      <c r="R60" s="455"/>
      <c r="S60" s="455"/>
      <c r="T60" s="455"/>
      <c r="U60" s="455"/>
    </row>
    <row r="61" spans="1:21">
      <c r="A61" s="746"/>
      <c r="B61" s="423"/>
      <c r="C61" s="423"/>
      <c r="D61" s="423"/>
      <c r="E61" s="423"/>
      <c r="F61" s="423"/>
      <c r="G61" s="423"/>
      <c r="H61" s="423"/>
      <c r="I61" s="430"/>
      <c r="J61" s="423"/>
      <c r="K61" s="430"/>
      <c r="L61" s="430"/>
      <c r="M61" s="752"/>
      <c r="N61" s="423"/>
      <c r="O61" s="753"/>
      <c r="P61" s="455"/>
      <c r="Q61" s="455"/>
      <c r="R61" s="455"/>
      <c r="S61" s="455"/>
      <c r="T61" s="455"/>
      <c r="U61" s="455"/>
    </row>
    <row r="62" spans="1:21">
      <c r="A62" s="746"/>
      <c r="B62" s="423"/>
      <c r="C62" s="423"/>
      <c r="D62" s="423"/>
      <c r="E62" s="423"/>
      <c r="F62" s="423"/>
      <c r="G62" s="423"/>
      <c r="H62" s="423"/>
      <c r="I62" s="430"/>
      <c r="J62" s="423"/>
      <c r="K62" s="430"/>
      <c r="L62" s="430"/>
      <c r="M62" s="752"/>
      <c r="N62" s="423"/>
      <c r="O62" s="753"/>
      <c r="P62" s="455"/>
      <c r="Q62" s="455"/>
      <c r="R62" s="455"/>
      <c r="S62" s="455"/>
      <c r="T62" s="455"/>
      <c r="U62" s="455"/>
    </row>
    <row r="63" spans="1:21">
      <c r="A63" s="746"/>
      <c r="B63" s="423"/>
      <c r="C63" s="423"/>
      <c r="D63" s="423"/>
      <c r="E63" s="423"/>
      <c r="F63" s="423"/>
      <c r="G63" s="423"/>
      <c r="H63" s="423"/>
      <c r="I63" s="430"/>
      <c r="J63" s="423"/>
      <c r="K63" s="430"/>
      <c r="L63" s="430"/>
      <c r="M63" s="752"/>
      <c r="N63" s="423"/>
      <c r="O63" s="753"/>
    </row>
  </sheetData>
  <phoneticPr fontId="67" type="noConversion"/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view="pageBreakPreview" topLeftCell="A8" zoomScale="60" zoomScaleNormal="75" workbookViewId="0">
      <pane xSplit="8" ySplit="6" topLeftCell="I14" activePane="bottomRight" state="frozen"/>
      <selection activeCell="C71" sqref="C71"/>
      <selection pane="topRight" activeCell="C71" sqref="C71"/>
      <selection pane="bottomLeft" activeCell="C71" sqref="C71"/>
      <selection pane="bottomRight" activeCell="O18" sqref="O18"/>
    </sheetView>
  </sheetViews>
  <sheetFormatPr defaultRowHeight="15.75"/>
  <cols>
    <col min="1" max="1" width="4.625" style="89" customWidth="1"/>
    <col min="2" max="2" width="1.625" style="89" customWidth="1"/>
    <col min="3" max="3" width="39.375" style="89" customWidth="1"/>
    <col min="4" max="4" width="0.75" style="91" customWidth="1"/>
    <col min="5" max="5" width="7.625" style="89" customWidth="1"/>
    <col min="6" max="6" width="0.75" style="91" customWidth="1"/>
    <col min="7" max="7" width="7.75" style="89" customWidth="1"/>
    <col min="8" max="8" width="0.75" style="91" customWidth="1"/>
    <col min="9" max="9" width="11.625" style="91" customWidth="1"/>
    <col min="10" max="10" width="0.75" style="91" customWidth="1"/>
    <col min="11" max="11" width="11.75" style="91" customWidth="1"/>
    <col min="12" max="12" width="1.25" style="91" customWidth="1"/>
    <col min="13" max="13" width="11" style="91" customWidth="1"/>
    <col min="14" max="14" width="1.25" style="91" customWidth="1"/>
    <col min="15" max="15" width="10.875" style="91" customWidth="1"/>
    <col min="16" max="16" width="1" style="91" customWidth="1"/>
    <col min="17" max="17" width="9.875" style="91" bestFit="1" customWidth="1"/>
    <col min="18" max="18" width="1" style="91" customWidth="1"/>
    <col min="19" max="19" width="8.5" style="97" bestFit="1" customWidth="1"/>
    <col min="20" max="20" width="1.125" style="91" customWidth="1"/>
    <col min="21" max="21" width="7.25" style="28" customWidth="1"/>
    <col min="22" max="22" width="1.125" style="89" customWidth="1"/>
    <col min="23" max="23" width="9.125" style="89" customWidth="1"/>
    <col min="24" max="24" width="1.875" style="89" customWidth="1"/>
    <col min="25" max="25" width="9.125" style="89" customWidth="1"/>
    <col min="26" max="26" width="2" style="91" customWidth="1"/>
    <col min="27" max="27" width="7.25" style="89" customWidth="1"/>
    <col min="28" max="28" width="9.75" style="89" customWidth="1"/>
    <col min="29" max="29" width="9.25" style="89" customWidth="1"/>
    <col min="30" max="30" width="8.25" style="89" customWidth="1"/>
    <col min="31" max="31" width="7.125" style="89" bestFit="1" customWidth="1"/>
    <col min="32" max="16384" width="9" style="89"/>
  </cols>
  <sheetData>
    <row r="1" spans="1:31">
      <c r="A1" s="85" t="s">
        <v>80</v>
      </c>
      <c r="B1" s="85"/>
      <c r="C1" s="85"/>
      <c r="D1" s="86"/>
      <c r="E1" s="85"/>
      <c r="F1" s="86"/>
      <c r="G1" s="85"/>
      <c r="H1" s="86"/>
      <c r="I1" s="86"/>
      <c r="J1" s="86"/>
      <c r="K1" s="86"/>
      <c r="L1" s="86"/>
      <c r="M1" s="87"/>
      <c r="N1" s="86"/>
      <c r="O1" s="87"/>
      <c r="P1" s="86"/>
      <c r="Q1" s="87"/>
      <c r="R1" s="86"/>
      <c r="S1" s="88"/>
      <c r="T1" s="86"/>
      <c r="U1" s="5"/>
      <c r="Z1" s="90"/>
    </row>
    <row r="2" spans="1:31" s="8" customFormat="1">
      <c r="A2" s="85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2"/>
      <c r="T2" s="7"/>
      <c r="U2" s="7"/>
    </row>
    <row r="3" spans="1:31" s="8" customFormat="1">
      <c r="A3" s="8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2"/>
      <c r="T3" s="7"/>
      <c r="U3" s="7"/>
    </row>
    <row r="4" spans="1:31" s="8" customFormat="1">
      <c r="A4" s="8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2"/>
      <c r="T4" s="7"/>
      <c r="U4" s="7"/>
    </row>
    <row r="5" spans="1:31" s="8" customFormat="1">
      <c r="A5" s="85" t="s">
        <v>540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2"/>
      <c r="T5" s="7"/>
      <c r="U5" s="7"/>
    </row>
    <row r="6" spans="1:31">
      <c r="A6" s="85" t="s">
        <v>541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7"/>
      <c r="O6" s="93"/>
      <c r="P6" s="93"/>
      <c r="Q6" s="93"/>
      <c r="R6" s="93"/>
      <c r="S6" s="94"/>
      <c r="T6" s="93"/>
      <c r="U6" s="93"/>
      <c r="Z6" s="89"/>
    </row>
    <row r="7" spans="1:31" ht="10.5" customHeight="1">
      <c r="A7" s="85"/>
      <c r="B7" s="85"/>
      <c r="C7" s="85"/>
      <c r="D7" s="86"/>
      <c r="E7" s="85"/>
      <c r="F7" s="86"/>
      <c r="G7" s="85"/>
      <c r="H7" s="86"/>
      <c r="I7" s="86"/>
      <c r="J7" s="86"/>
      <c r="K7" s="86"/>
      <c r="L7" s="86"/>
      <c r="M7" s="87"/>
      <c r="N7" s="86"/>
      <c r="O7" s="87"/>
      <c r="P7" s="86"/>
      <c r="Q7" s="87"/>
      <c r="R7" s="86"/>
      <c r="S7" s="88"/>
      <c r="T7" s="86"/>
      <c r="U7" s="5"/>
    </row>
    <row r="8" spans="1:31">
      <c r="D8" s="95"/>
      <c r="F8" s="95"/>
      <c r="H8" s="95"/>
      <c r="I8" s="96"/>
      <c r="J8" s="95"/>
      <c r="L8" s="95"/>
      <c r="N8" s="95"/>
    </row>
    <row r="9" spans="1:31">
      <c r="D9" s="96"/>
      <c r="E9" s="99" t="s">
        <v>4</v>
      </c>
      <c r="F9" s="96"/>
      <c r="G9" s="99" t="s">
        <v>5</v>
      </c>
      <c r="H9" s="96"/>
      <c r="I9" s="96" t="s">
        <v>6</v>
      </c>
      <c r="J9" s="96"/>
      <c r="K9" s="96"/>
      <c r="L9" s="96"/>
      <c r="M9" s="98" t="s">
        <v>7</v>
      </c>
      <c r="N9" s="96"/>
      <c r="O9" s="100" t="s">
        <v>8</v>
      </c>
      <c r="P9" s="100"/>
      <c r="Q9" s="100"/>
      <c r="R9" s="100"/>
      <c r="S9" s="101"/>
      <c r="T9" s="100"/>
      <c r="U9" s="102"/>
      <c r="W9" s="99"/>
      <c r="X9" s="99"/>
      <c r="Y9" s="99"/>
    </row>
    <row r="10" spans="1:31" s="103" customFormat="1">
      <c r="A10" s="103" t="s">
        <v>9</v>
      </c>
      <c r="D10" s="96"/>
      <c r="E10" s="99" t="s">
        <v>10</v>
      </c>
      <c r="F10" s="96"/>
      <c r="G10" s="99" t="s">
        <v>10</v>
      </c>
      <c r="H10" s="96"/>
      <c r="I10" s="98" t="s">
        <v>11</v>
      </c>
      <c r="J10" s="96"/>
      <c r="K10" s="96" t="s">
        <v>12</v>
      </c>
      <c r="L10" s="98"/>
      <c r="M10" s="96" t="s">
        <v>13</v>
      </c>
      <c r="N10" s="98"/>
      <c r="O10" s="98" t="s">
        <v>13</v>
      </c>
      <c r="P10" s="98"/>
      <c r="Q10" s="100" t="s">
        <v>19</v>
      </c>
      <c r="R10" s="100"/>
      <c r="S10" s="101"/>
      <c r="T10" s="96"/>
      <c r="U10" s="104" t="s">
        <v>14</v>
      </c>
      <c r="W10" s="104" t="s">
        <v>14</v>
      </c>
      <c r="X10" s="104"/>
      <c r="Y10" s="104"/>
      <c r="Z10" s="105"/>
    </row>
    <row r="11" spans="1:31" s="103" customFormat="1">
      <c r="A11" s="103" t="s">
        <v>15</v>
      </c>
      <c r="C11" s="99" t="s">
        <v>16</v>
      </c>
      <c r="E11" s="106" t="s">
        <v>15</v>
      </c>
      <c r="G11" s="106" t="s">
        <v>15</v>
      </c>
      <c r="I11" s="107" t="s">
        <v>17</v>
      </c>
      <c r="K11" s="107" t="s">
        <v>17</v>
      </c>
      <c r="M11" s="108" t="s">
        <v>18</v>
      </c>
      <c r="O11" s="108" t="s">
        <v>18</v>
      </c>
      <c r="Q11" s="108" t="s">
        <v>18</v>
      </c>
      <c r="S11" s="109" t="s">
        <v>20</v>
      </c>
      <c r="U11" s="22" t="s">
        <v>21</v>
      </c>
      <c r="W11" s="22" t="s">
        <v>21</v>
      </c>
      <c r="X11" s="17"/>
      <c r="Y11" s="17"/>
      <c r="Z11" s="105"/>
      <c r="AA11" s="110" t="s">
        <v>83</v>
      </c>
      <c r="AB11" s="111"/>
      <c r="AC11" s="111"/>
      <c r="AD11" s="111"/>
      <c r="AE11" s="112"/>
    </row>
    <row r="12" spans="1:31" s="103" customFormat="1">
      <c r="C12" s="23">
        <v>-1</v>
      </c>
      <c r="D12" s="24"/>
      <c r="E12" s="23">
        <f>MIN($A12:D12)-1</f>
        <v>-2</v>
      </c>
      <c r="F12" s="24"/>
      <c r="G12" s="23">
        <f>MIN($A12:F12)-1</f>
        <v>-3</v>
      </c>
      <c r="H12" s="24"/>
      <c r="I12" s="23">
        <f>MIN($A12:H12)-1</f>
        <v>-4</v>
      </c>
      <c r="J12" s="24"/>
      <c r="K12" s="23">
        <f>MIN($A12:J12)-1</f>
        <v>-5</v>
      </c>
      <c r="L12" s="24"/>
      <c r="M12" s="23">
        <f>MIN($A12:L12)-1</f>
        <v>-6</v>
      </c>
      <c r="N12" s="24"/>
      <c r="O12" s="23">
        <f>MIN($A12:N12)-1</f>
        <v>-7</v>
      </c>
      <c r="P12" s="24"/>
      <c r="Q12" s="23">
        <f>MIN($A12:P12)-1</f>
        <v>-8</v>
      </c>
      <c r="R12" s="24"/>
      <c r="S12" s="23">
        <f>MIN($A12:R12)-1</f>
        <v>-9</v>
      </c>
      <c r="T12" s="24"/>
      <c r="U12" s="23">
        <f>MIN($A12:T12)-1</f>
        <v>-10</v>
      </c>
      <c r="W12" s="113" t="s">
        <v>81</v>
      </c>
      <c r="X12" s="113"/>
      <c r="Y12" s="113" t="s">
        <v>84</v>
      </c>
      <c r="Z12" s="105"/>
      <c r="AA12" s="114"/>
      <c r="AB12" s="115" t="s">
        <v>81</v>
      </c>
      <c r="AC12" s="115" t="s">
        <v>8</v>
      </c>
      <c r="AD12" s="115"/>
      <c r="AE12" s="116"/>
    </row>
    <row r="13" spans="1:31" s="103" customFormat="1">
      <c r="D13" s="105"/>
      <c r="F13" s="105"/>
      <c r="H13" s="105"/>
      <c r="I13" s="105"/>
      <c r="J13" s="105"/>
      <c r="K13" s="105"/>
      <c r="L13" s="105"/>
      <c r="M13" s="105"/>
      <c r="N13" s="105"/>
      <c r="O13" s="105"/>
      <c r="P13" s="105"/>
      <c r="Q13" s="96" t="str">
        <f>"(" &amp; -O12 &amp; ")-(" &amp; -M12 &amp; ")"</f>
        <v>(7)-(6)</v>
      </c>
      <c r="R13" s="105"/>
      <c r="S13" s="117" t="str">
        <f>"(" &amp; -Q12 &amp; ")/(" &amp; -M12 &amp; ")"</f>
        <v>(8)/(6)</v>
      </c>
      <c r="T13" s="105"/>
      <c r="U13" s="96" t="str">
        <f>"(" &amp; -O12 &amp; ")/(" &amp; -K12 &amp; ")"</f>
        <v>(7)/(5)</v>
      </c>
      <c r="W13" s="96"/>
      <c r="X13" s="96"/>
      <c r="Y13" s="96" t="s">
        <v>48</v>
      </c>
      <c r="Z13" s="105"/>
      <c r="AA13" s="114" t="s">
        <v>85</v>
      </c>
      <c r="AB13" s="118" t="s">
        <v>86</v>
      </c>
      <c r="AC13" s="118" t="s">
        <v>86</v>
      </c>
      <c r="AD13" s="119" t="s">
        <v>87</v>
      </c>
      <c r="AE13" s="120" t="s">
        <v>48</v>
      </c>
    </row>
    <row r="14" spans="1:31">
      <c r="C14" s="103" t="s">
        <v>23</v>
      </c>
      <c r="W14" s="28"/>
      <c r="X14" s="28"/>
      <c r="Y14" s="28"/>
      <c r="AA14" s="121"/>
      <c r="AB14" s="122"/>
      <c r="AC14" s="122"/>
      <c r="AD14" s="122"/>
      <c r="AE14" s="123"/>
    </row>
    <row r="15" spans="1:31">
      <c r="A15" s="89">
        <v>1</v>
      </c>
      <c r="C15" s="89" t="s">
        <v>23</v>
      </c>
      <c r="E15" s="124" t="s">
        <v>24</v>
      </c>
      <c r="G15" s="124" t="s">
        <v>24</v>
      </c>
      <c r="I15" s="30">
        <v>719464.73805045325</v>
      </c>
      <c r="K15" s="30">
        <f>('Exhibit RMP-(WRG-5)'!E27+'Exhibit RMP-(WRG-5)'!E48)/1000</f>
        <v>6838816.1893818444</v>
      </c>
      <c r="M15" s="31">
        <f>('Exhibit RMP-(WRG-5)'!K27+'Exhibit RMP-(WRG-5)'!K48+'Exhibit RMP-(WRG-5)'!K28+'Exhibit RMP-(WRG-5)'!K49)/1000</f>
        <v>622761.51470559998</v>
      </c>
      <c r="N15" s="32"/>
      <c r="O15" s="31">
        <f>('Exhibit RMP-(WRG-5)'!O27+'Exhibit RMP-(WRG-5)'!O48+'Exhibit RMP-(WRG-5)'!O28+'Exhibit RMP-(WRG-5)'!O49)/1000</f>
        <v>713532.42200000002</v>
      </c>
      <c r="P15" s="32"/>
      <c r="Q15" s="31">
        <f>O15-M15</f>
        <v>90770.907294400036</v>
      </c>
      <c r="S15" s="125">
        <f>Q15/M15</f>
        <v>0.14575548609054698</v>
      </c>
      <c r="T15" s="126"/>
      <c r="U15" s="127">
        <f>ROUND(100*O15/K15,2)</f>
        <v>10.43</v>
      </c>
      <c r="W15" s="127">
        <f>ROUND(100*M15/K15,2)</f>
        <v>9.11</v>
      </c>
      <c r="X15" s="127"/>
      <c r="Y15" s="45"/>
      <c r="AA15" s="121">
        <f>ROUND(K15/($I15*12)*1000,0)</f>
        <v>792</v>
      </c>
      <c r="AB15" s="128">
        <f>ROUND(M15/($I15*12)*1000,2)</f>
        <v>72.13</v>
      </c>
      <c r="AC15" s="128">
        <f>ROUND(O15/($I15*12)*1000,2)</f>
        <v>82.65</v>
      </c>
      <c r="AD15" s="128">
        <f>AC15-AB15</f>
        <v>10.52000000000001</v>
      </c>
      <c r="AE15" s="129">
        <f>AC15/AB15-1</f>
        <v>0.14584777485096367</v>
      </c>
    </row>
    <row r="16" spans="1:31">
      <c r="A16" s="89">
        <f>MAX(A$14:A15)+1</f>
        <v>2</v>
      </c>
      <c r="C16" s="89" t="s">
        <v>25</v>
      </c>
      <c r="E16" s="89">
        <v>2</v>
      </c>
      <c r="G16" s="130">
        <v>2</v>
      </c>
      <c r="I16" s="30">
        <v>367.09528288001042</v>
      </c>
      <c r="K16" s="30">
        <f>'Exhibit RMP-(WRG-5)'!E71/1000</f>
        <v>2800.1591681552941</v>
      </c>
      <c r="M16" s="31">
        <f>('Exhibit RMP-(WRG-5)'!K71+'Exhibit RMP-(WRG-5)'!K72)/1000</f>
        <v>252.85171320000001</v>
      </c>
      <c r="N16" s="32"/>
      <c r="O16" s="31">
        <f>('Exhibit RMP-(WRG-5)'!O71+'Exhibit RMP-(WRG-5)'!O72)/1000</f>
        <v>295.08</v>
      </c>
      <c r="P16" s="32"/>
      <c r="Q16" s="31">
        <f>O16-M16</f>
        <v>42.228286799999978</v>
      </c>
      <c r="S16" s="125">
        <f>Q16/M16</f>
        <v>0.16700811026974674</v>
      </c>
      <c r="T16" s="126"/>
      <c r="U16" s="127">
        <f>ROUND(100*O16/K16,2)</f>
        <v>10.54</v>
      </c>
      <c r="W16" s="127">
        <f>ROUND(100*M16/K16,2)</f>
        <v>9.0299999999999994</v>
      </c>
      <c r="X16" s="127"/>
      <c r="Y16" s="45"/>
      <c r="AA16" s="121">
        <f>ROUND(K16/($I16*12)*1000,0)</f>
        <v>636</v>
      </c>
      <c r="AB16" s="128">
        <f>ROUND(M16/($I16*12)*1000,2)</f>
        <v>57.4</v>
      </c>
      <c r="AC16" s="128">
        <f>ROUND(O16/($I16*12)*1000,2)</f>
        <v>66.989999999999995</v>
      </c>
      <c r="AD16" s="128">
        <f>AC16-AB16</f>
        <v>9.5899999999999963</v>
      </c>
      <c r="AE16" s="129">
        <f>AC16/AB16-1</f>
        <v>0.16707317073170724</v>
      </c>
    </row>
    <row r="17" spans="1:31">
      <c r="A17" s="89">
        <f>MAX(A$14:A16)+1</f>
        <v>3</v>
      </c>
      <c r="C17" s="131" t="s">
        <v>26</v>
      </c>
      <c r="E17" s="132" t="s">
        <v>27</v>
      </c>
      <c r="F17" s="133"/>
      <c r="G17" s="132" t="s">
        <v>27</v>
      </c>
      <c r="I17" s="134"/>
      <c r="K17" s="134"/>
      <c r="M17" s="40">
        <v>39.38252</v>
      </c>
      <c r="N17" s="32"/>
      <c r="O17" s="40">
        <f>M17</f>
        <v>39.38252</v>
      </c>
      <c r="P17" s="32"/>
      <c r="Q17" s="40">
        <f>O17-M17</f>
        <v>0</v>
      </c>
      <c r="S17" s="135">
        <f>Q17/M17</f>
        <v>0</v>
      </c>
      <c r="U17" s="43"/>
      <c r="W17" s="43"/>
      <c r="X17" s="58"/>
      <c r="Y17" s="45"/>
      <c r="AA17" s="121"/>
      <c r="AB17" s="128"/>
      <c r="AC17" s="128"/>
      <c r="AD17" s="128"/>
      <c r="AE17" s="123"/>
    </row>
    <row r="18" spans="1:31">
      <c r="A18" s="89">
        <f>MAX(A$14:A17)+1</f>
        <v>4</v>
      </c>
      <c r="C18" s="103" t="s">
        <v>28</v>
      </c>
      <c r="I18" s="30">
        <f>SUM(I15:I17)</f>
        <v>719831.83333333326</v>
      </c>
      <c r="K18" s="30">
        <f>SUM(K15:K17)</f>
        <v>6841616.3485499993</v>
      </c>
      <c r="M18" s="31">
        <f>SUM(M15:M17)</f>
        <v>623053.74893879995</v>
      </c>
      <c r="N18" s="32"/>
      <c r="O18" s="31">
        <f>SUM(O15:O17)</f>
        <v>713866.88451999996</v>
      </c>
      <c r="P18" s="32"/>
      <c r="Q18" s="31">
        <f>SUM(Q15:Q17)</f>
        <v>90813.13558120004</v>
      </c>
      <c r="S18" s="125">
        <f>Q18/M18</f>
        <v>0.14575489792955285</v>
      </c>
      <c r="U18" s="28">
        <f>ROUND(100*O18/K18,2)</f>
        <v>10.43</v>
      </c>
      <c r="W18" s="28">
        <f>ROUND(100*M18/K18,2)</f>
        <v>9.11</v>
      </c>
      <c r="X18" s="28"/>
      <c r="Y18" s="45">
        <f>M18/$M$53</f>
        <v>0.37866578091870079</v>
      </c>
      <c r="AA18" s="136">
        <f>ROUND(K18/($I18*12)*1000,0)</f>
        <v>792</v>
      </c>
      <c r="AB18" s="137">
        <f>ROUND(M18/($I18*12)*1000,2)</f>
        <v>72.13</v>
      </c>
      <c r="AC18" s="137">
        <f>ROUND(O18/($I18*12)*1000,2)</f>
        <v>82.64</v>
      </c>
      <c r="AD18" s="137">
        <f>AC18-AB18</f>
        <v>10.510000000000005</v>
      </c>
      <c r="AE18" s="138">
        <f>AC18/AB18-1</f>
        <v>0.14570913628171356</v>
      </c>
    </row>
    <row r="19" spans="1:31" ht="24.95" customHeight="1">
      <c r="C19" s="103" t="s">
        <v>29</v>
      </c>
      <c r="I19" s="30"/>
      <c r="K19" s="30"/>
      <c r="M19" s="139"/>
      <c r="N19" s="32"/>
      <c r="O19" s="31"/>
      <c r="P19" s="32"/>
      <c r="Q19" s="31"/>
      <c r="S19" s="125"/>
      <c r="W19" s="28"/>
      <c r="X19" s="28"/>
      <c r="Y19" s="45"/>
    </row>
    <row r="20" spans="1:31">
      <c r="A20" s="89">
        <f>MAX(A$14:A19)+1</f>
        <v>5</v>
      </c>
      <c r="C20" s="89" t="s">
        <v>30</v>
      </c>
      <c r="E20" s="140">
        <v>6</v>
      </c>
      <c r="G20" s="140">
        <v>6</v>
      </c>
      <c r="I20" s="30">
        <v>13159.333333333334</v>
      </c>
      <c r="K20" s="30">
        <f>SUM('Exhibit RMP-(WRG-5)'!E125,'Exhibit RMP-(WRG-5)'!E111)/1000</f>
        <v>5902812.5473389141</v>
      </c>
      <c r="M20" s="31">
        <f>('Exhibit RMP-(WRG-5)'!K125+'Exhibit RMP-(WRG-5)'!K126+'Exhibit RMP-(WRG-5)'!K111+'Exhibit RMP-(WRG-5)'!K112)/1000</f>
        <v>432435.75233699998</v>
      </c>
      <c r="N20" s="32"/>
      <c r="O20" s="31">
        <f>('Exhibit RMP-(WRG-5)'!O125+'Exhibit RMP-(WRG-5)'!O126+'Exhibit RMP-(WRG-5)'!O111+'Exhibit RMP-(WRG-5)'!O112)/1000</f>
        <v>486766.27100000001</v>
      </c>
      <c r="P20" s="32"/>
      <c r="Q20" s="31">
        <f>O20-M20</f>
        <v>54330.518663000024</v>
      </c>
      <c r="S20" s="125">
        <f t="shared" ref="S20:S40" si="0">Q20/M20</f>
        <v>0.12563835984740665</v>
      </c>
      <c r="U20" s="28">
        <f t="shared" ref="U20:U37" si="1">ROUND(100*O20/K20,2)</f>
        <v>8.25</v>
      </c>
      <c r="W20" s="28">
        <f t="shared" ref="W20:W37" si="2">ROUND(100*M20/K20,2)</f>
        <v>7.33</v>
      </c>
      <c r="X20" s="28"/>
      <c r="Y20" s="45"/>
    </row>
    <row r="21" spans="1:31">
      <c r="A21" s="89">
        <f>MAX(A$14:A20)+1</f>
        <v>6</v>
      </c>
      <c r="C21" s="89" t="s">
        <v>31</v>
      </c>
      <c r="E21" s="130" t="s">
        <v>32</v>
      </c>
      <c r="G21" s="130" t="s">
        <v>32</v>
      </c>
      <c r="I21" s="30">
        <v>2106.083333333333</v>
      </c>
      <c r="K21" s="30">
        <f>SUM('Exhibit RMP-(WRG-5)'!E209)/1000</f>
        <v>264385.73795986269</v>
      </c>
      <c r="M21" s="31">
        <f>('Exhibit RMP-(WRG-5)'!K209+'Exhibit RMP-(WRG-5)'!K210)/1000</f>
        <v>26709.614827199999</v>
      </c>
      <c r="N21" s="32"/>
      <c r="O21" s="31">
        <f>('Exhibit RMP-(WRG-5)'!O209+'Exhibit RMP-(WRG-5)'!O210)/1000</f>
        <v>30068.724999999999</v>
      </c>
      <c r="P21" s="32"/>
      <c r="Q21" s="31">
        <f>O21-M21</f>
        <v>3359.1101727999994</v>
      </c>
      <c r="S21" s="125">
        <f t="shared" si="0"/>
        <v>0.12576408138163103</v>
      </c>
      <c r="U21" s="28">
        <f t="shared" si="1"/>
        <v>11.37</v>
      </c>
      <c r="W21" s="28">
        <f t="shared" si="2"/>
        <v>10.1</v>
      </c>
      <c r="X21" s="28"/>
      <c r="Y21" s="45"/>
    </row>
    <row r="22" spans="1:31">
      <c r="A22" s="89">
        <f>MAX(A$14:A21)+1</f>
        <v>7</v>
      </c>
      <c r="C22" s="89" t="s">
        <v>33</v>
      </c>
      <c r="E22" s="130" t="s">
        <v>34</v>
      </c>
      <c r="G22" s="130" t="s">
        <v>34</v>
      </c>
      <c r="I22" s="47">
        <v>30</v>
      </c>
      <c r="K22" s="47">
        <f>SUM('Exhibit RMP-(WRG-5)'!E181,'Exhibit RMP-(WRG-5)'!E195)/1000</f>
        <v>22143.24</v>
      </c>
      <c r="M22" s="40">
        <f>SUM('Exhibit RMP-(WRG-5)'!K181,'Exhibit RMP-(WRG-5)'!K195,'Exhibit RMP-(WRG-5)'!K182,'Exhibit RMP-(WRG-5)'!K196)/1000</f>
        <v>1633.2892185999999</v>
      </c>
      <c r="N22" s="32"/>
      <c r="O22" s="40">
        <f>SUM('Exhibit RMP-(WRG-5)'!O181,'Exhibit RMP-(WRG-5)'!O195,'Exhibit RMP-(WRG-5)'!O182,'Exhibit RMP-(WRG-5)'!O196)/1000</f>
        <v>1892.9970000000001</v>
      </c>
      <c r="P22" s="32"/>
      <c r="Q22" s="40">
        <f>O22-M22</f>
        <v>259.70778140000016</v>
      </c>
      <c r="S22" s="135">
        <f t="shared" si="0"/>
        <v>0.15900905880136335</v>
      </c>
      <c r="U22" s="43">
        <f t="shared" si="1"/>
        <v>8.5500000000000007</v>
      </c>
      <c r="W22" s="43">
        <f t="shared" si="2"/>
        <v>7.38</v>
      </c>
      <c r="X22" s="58"/>
      <c r="Y22" s="45"/>
    </row>
    <row r="23" spans="1:31">
      <c r="A23" s="89">
        <f>MAX(A$14:A22)+1</f>
        <v>8</v>
      </c>
      <c r="C23" s="141" t="s">
        <v>35</v>
      </c>
      <c r="I23" s="30">
        <f>SUM(I20:I22)</f>
        <v>15295.416666666668</v>
      </c>
      <c r="K23" s="30">
        <f>SUM(K20:K22)</f>
        <v>6189341.525298777</v>
      </c>
      <c r="M23" s="31">
        <f>SUM(M20:M22)</f>
        <v>460778.65638280002</v>
      </c>
      <c r="N23" s="32"/>
      <c r="O23" s="31">
        <f>SUM(O20:O22)</f>
        <v>518727.99299999996</v>
      </c>
      <c r="P23" s="32"/>
      <c r="Q23" s="31">
        <f>SUM(Q20:Q22)</f>
        <v>57949.336617200024</v>
      </c>
      <c r="S23" s="125">
        <f t="shared" si="0"/>
        <v>0.1257639341893857</v>
      </c>
      <c r="U23" s="28">
        <f t="shared" si="1"/>
        <v>8.3800000000000008</v>
      </c>
      <c r="W23" s="28">
        <f t="shared" si="2"/>
        <v>7.44</v>
      </c>
      <c r="X23" s="28"/>
      <c r="Y23" s="45">
        <f>M23/$M$53</f>
        <v>0.28004182632243696</v>
      </c>
    </row>
    <row r="24" spans="1:31" ht="21.95" customHeight="1">
      <c r="A24" s="89">
        <f>MAX(A$14:A23)+1</f>
        <v>9</v>
      </c>
      <c r="C24" s="131" t="s">
        <v>36</v>
      </c>
      <c r="E24" s="130">
        <v>8</v>
      </c>
      <c r="G24" s="89">
        <v>8</v>
      </c>
      <c r="H24" s="30"/>
      <c r="I24" s="30">
        <v>294.83333333333331</v>
      </c>
      <c r="K24" s="30">
        <f>'Exhibit RMP-(WRG-5)'!E293/1000</f>
        <v>2167936.0786941051</v>
      </c>
      <c r="M24" s="31">
        <f>('Exhibit RMP-(WRG-5)'!K293+'Exhibit RMP-(WRG-5)'!K294)/1000</f>
        <v>138876.68594639999</v>
      </c>
      <c r="N24" s="32"/>
      <c r="O24" s="31">
        <f>('Exhibit RMP-(WRG-5)'!O293+'Exhibit RMP-(WRG-5)'!O294)/1000</f>
        <v>159120.106</v>
      </c>
      <c r="P24" s="32"/>
      <c r="Q24" s="31">
        <f>O24-M24</f>
        <v>20243.420053600013</v>
      </c>
      <c r="S24" s="125">
        <f t="shared" si="0"/>
        <v>0.1457654315095987</v>
      </c>
      <c r="U24" s="28">
        <f t="shared" si="1"/>
        <v>7.34</v>
      </c>
      <c r="W24" s="28">
        <f t="shared" si="2"/>
        <v>6.41</v>
      </c>
      <c r="X24" s="28"/>
      <c r="Y24" s="45">
        <f>M24/$M$53</f>
        <v>8.4403390277104653E-2</v>
      </c>
    </row>
    <row r="25" spans="1:31" ht="21.95" customHeight="1">
      <c r="A25" s="89">
        <f>MAX(A$14:A24)+1</f>
        <v>10</v>
      </c>
      <c r="C25" s="89" t="s">
        <v>37</v>
      </c>
      <c r="E25" s="89">
        <v>9</v>
      </c>
      <c r="G25" s="89">
        <v>9</v>
      </c>
      <c r="I25" s="30">
        <v>151</v>
      </c>
      <c r="K25" s="30">
        <f>('Exhibit RMP-(WRG-5)'!E334)/1000</f>
        <v>4593918.7557724277</v>
      </c>
      <c r="M25" s="31">
        <f>('Exhibit RMP-(WRG-5)'!K334+'Exhibit RMP-(WRG-5)'!K335)/1000</f>
        <v>212323.14570369999</v>
      </c>
      <c r="N25" s="32"/>
      <c r="O25" s="31">
        <f>('Exhibit RMP-(WRG-5)'!O334+'Exhibit RMP-(WRG-5)'!O335)/1000</f>
        <v>247517.35800000001</v>
      </c>
      <c r="P25" s="32"/>
      <c r="Q25" s="31">
        <f>O25-M25</f>
        <v>35194.212296300015</v>
      </c>
      <c r="S25" s="125">
        <f t="shared" si="0"/>
        <v>0.16575777539305134</v>
      </c>
      <c r="U25" s="28">
        <f t="shared" si="1"/>
        <v>5.39</v>
      </c>
      <c r="W25" s="28">
        <f t="shared" si="2"/>
        <v>4.62</v>
      </c>
      <c r="X25" s="28"/>
      <c r="Y25" s="45"/>
    </row>
    <row r="26" spans="1:31">
      <c r="A26" s="89">
        <f>MAX(A$14:A25)+1</f>
        <v>11</v>
      </c>
      <c r="C26" s="89" t="s">
        <v>38</v>
      </c>
      <c r="E26" s="130" t="s">
        <v>39</v>
      </c>
      <c r="G26" s="130" t="s">
        <v>39</v>
      </c>
      <c r="I26" s="47">
        <v>9</v>
      </c>
      <c r="K26" s="47">
        <f>SUM('Exhibit RMP-(WRG-5)'!E384,'Exhibit RMP-(WRG-5)'!E394)/1000</f>
        <v>53116.208411492647</v>
      </c>
      <c r="M26" s="40">
        <f>SUM('Exhibit RMP-(WRG-5)'!K384,'Exhibit RMP-(WRG-5)'!K394,'Exhibit RMP-(WRG-5)'!K385,'Exhibit RMP-(WRG-5)'!K395)/1000</f>
        <v>3266.6945169999999</v>
      </c>
      <c r="N26" s="32"/>
      <c r="O26" s="40">
        <f>SUM('Exhibit RMP-(WRG-5)'!O384,'Exhibit RMP-(WRG-5)'!O394,'Exhibit RMP-(WRG-5)'!O385,'Exhibit RMP-(WRG-5)'!O395)/1000</f>
        <v>3808.1970000000001</v>
      </c>
      <c r="P26" s="32"/>
      <c r="Q26" s="40">
        <f>O26-M26</f>
        <v>541.50248300000021</v>
      </c>
      <c r="S26" s="135">
        <f t="shared" si="0"/>
        <v>0.16576465297933465</v>
      </c>
      <c r="U26" s="43">
        <f t="shared" si="1"/>
        <v>7.17</v>
      </c>
      <c r="W26" s="43">
        <f t="shared" si="2"/>
        <v>6.15</v>
      </c>
      <c r="X26" s="58"/>
      <c r="Y26" s="45"/>
    </row>
    <row r="27" spans="1:31">
      <c r="A27" s="89">
        <f>MAX(A$14:A26)+1</f>
        <v>12</v>
      </c>
      <c r="C27" s="141" t="s">
        <v>40</v>
      </c>
      <c r="I27" s="30">
        <f>SUM(I25:I26)</f>
        <v>160</v>
      </c>
      <c r="K27" s="30">
        <f>SUM(K25:K26)</f>
        <v>4647034.9641839201</v>
      </c>
      <c r="M27" s="31">
        <f>SUM(M25:M26)</f>
        <v>215589.84022069999</v>
      </c>
      <c r="N27" s="32"/>
      <c r="O27" s="31">
        <f>SUM(O25:O26)</f>
        <v>251325.55499999999</v>
      </c>
      <c r="P27" s="32"/>
      <c r="Q27" s="31">
        <f>SUM(Q25:Q26)</f>
        <v>35735.714779300019</v>
      </c>
      <c r="S27" s="125">
        <f t="shared" si="0"/>
        <v>0.16575787960470334</v>
      </c>
      <c r="U27" s="28">
        <f t="shared" si="1"/>
        <v>5.41</v>
      </c>
      <c r="W27" s="28">
        <f t="shared" si="2"/>
        <v>4.6399999999999997</v>
      </c>
      <c r="X27" s="28"/>
      <c r="Y27" s="45">
        <f>M27/$M$53</f>
        <v>0.13102640878793284</v>
      </c>
    </row>
    <row r="28" spans="1:31" ht="21.95" customHeight="1">
      <c r="A28" s="89">
        <f>MAX(A$14:A27)+1</f>
        <v>13</v>
      </c>
      <c r="C28" s="89" t="s">
        <v>41</v>
      </c>
      <c r="E28" s="130">
        <v>10</v>
      </c>
      <c r="G28" s="130">
        <v>10</v>
      </c>
      <c r="I28" s="30">
        <f>'Exhibit RMP-(WRG-5)'!E399+'Exhibit RMP-(WRG-5)'!E400</f>
        <v>2611</v>
      </c>
      <c r="K28" s="30">
        <f>'Exhibit RMP-(WRG-5)'!E412/1000</f>
        <v>171987.00599999999</v>
      </c>
      <c r="M28" s="31">
        <f>('Exhibit RMP-(WRG-5)'!K412+'Exhibit RMP-(WRG-5)'!K413)/1000</f>
        <v>11112.272944800001</v>
      </c>
      <c r="N28" s="32"/>
      <c r="O28" s="31">
        <f>('Exhibit RMP-(WRG-5)'!O412+'Exhibit RMP-(WRG-5)'!O413)/1000</f>
        <v>13186.873</v>
      </c>
      <c r="P28" s="32"/>
      <c r="Q28" s="31">
        <f>O28-M28</f>
        <v>2074.6000551999987</v>
      </c>
      <c r="S28" s="125">
        <f t="shared" si="0"/>
        <v>0.18669448325338425</v>
      </c>
      <c r="U28" s="28">
        <f t="shared" si="1"/>
        <v>7.67</v>
      </c>
      <c r="W28" s="28">
        <f t="shared" si="2"/>
        <v>6.46</v>
      </c>
      <c r="X28" s="28"/>
      <c r="Y28" s="45"/>
    </row>
    <row r="29" spans="1:31">
      <c r="A29" s="89">
        <f>MAX(A$14:A28)+1</f>
        <v>14</v>
      </c>
      <c r="C29" s="89" t="s">
        <v>42</v>
      </c>
      <c r="E29" s="130" t="s">
        <v>43</v>
      </c>
      <c r="G29" s="130" t="s">
        <v>43</v>
      </c>
      <c r="I29" s="47">
        <f>'Exhibit RMP-(WRG-5)'!E417+'Exhibit RMP-(WRG-5)'!E418</f>
        <v>254.41666666666652</v>
      </c>
      <c r="K29" s="47">
        <f>'Exhibit RMP-(WRG-5)'!E430/1000</f>
        <v>15472.994049175382</v>
      </c>
      <c r="M29" s="40">
        <f>('Exhibit RMP-(WRG-5)'!K430+'Exhibit RMP-(WRG-5)'!K431)/1000</f>
        <v>1045.6100924</v>
      </c>
      <c r="N29" s="32"/>
      <c r="O29" s="40">
        <f>('Exhibit RMP-(WRG-5)'!O430+'Exhibit RMP-(WRG-5)'!O431)/1000</f>
        <v>1229.4970000000001</v>
      </c>
      <c r="P29" s="32"/>
      <c r="Q29" s="40">
        <f>O29-M29</f>
        <v>183.88690760000009</v>
      </c>
      <c r="S29" s="135">
        <f t="shared" si="0"/>
        <v>0.17586565865859471</v>
      </c>
      <c r="U29" s="43">
        <f t="shared" si="1"/>
        <v>7.95</v>
      </c>
      <c r="W29" s="43">
        <f t="shared" si="2"/>
        <v>6.76</v>
      </c>
      <c r="X29" s="58"/>
      <c r="Y29" s="45"/>
    </row>
    <row r="30" spans="1:31">
      <c r="A30" s="89">
        <f>MAX(A$14:A29)+1</f>
        <v>15</v>
      </c>
      <c r="C30" s="141" t="s">
        <v>44</v>
      </c>
      <c r="I30" s="30">
        <f>SUM(I28:I29)</f>
        <v>2865.4166666666665</v>
      </c>
      <c r="K30" s="30">
        <f>SUM(K28:K29)</f>
        <v>187460.00004917537</v>
      </c>
      <c r="M30" s="31">
        <f>SUM(M28:M29)</f>
        <v>12157.883037200001</v>
      </c>
      <c r="N30" s="32"/>
      <c r="O30" s="31">
        <f>SUM(O28:O29)</f>
        <v>14416.369999999999</v>
      </c>
      <c r="P30" s="32"/>
      <c r="Q30" s="31">
        <f>SUM(Q28:Q29)</f>
        <v>2258.4869627999988</v>
      </c>
      <c r="S30" s="125">
        <f t="shared" si="0"/>
        <v>0.18576317570169151</v>
      </c>
      <c r="U30" s="28">
        <f t="shared" si="1"/>
        <v>7.69</v>
      </c>
      <c r="W30" s="28">
        <f t="shared" si="2"/>
        <v>6.49</v>
      </c>
      <c r="X30" s="28"/>
      <c r="Y30" s="45">
        <f t="shared" ref="Y30:Y40" si="3">M30/$M$53</f>
        <v>7.3890483484624278E-3</v>
      </c>
    </row>
    <row r="31" spans="1:31" ht="21.95" customHeight="1">
      <c r="A31" s="89">
        <f>MAX(A$14:A30)+1</f>
        <v>16</v>
      </c>
      <c r="C31" s="89" t="s">
        <v>45</v>
      </c>
      <c r="E31" s="89">
        <v>21</v>
      </c>
      <c r="G31" s="89">
        <v>21</v>
      </c>
      <c r="I31" s="30">
        <v>5</v>
      </c>
      <c r="K31" s="30">
        <f>'Exhibit RMP-(WRG-5)'!E615/1000</f>
        <v>2784.0039999999999</v>
      </c>
      <c r="M31" s="31">
        <f>('Exhibit RMP-(WRG-5)'!K615+'Exhibit RMP-(WRG-5)'!K616)/1000</f>
        <v>281.23465000000004</v>
      </c>
      <c r="N31" s="32"/>
      <c r="O31" s="31">
        <f>('Exhibit RMP-(WRG-5)'!O615+'Exhibit RMP-(WRG-5)'!O616)/1000</f>
        <v>327.85300000000001</v>
      </c>
      <c r="P31" s="32"/>
      <c r="Q31" s="31">
        <f t="shared" ref="Q31:Q38" si="4">O31-M31</f>
        <v>46.618349999999964</v>
      </c>
      <c r="S31" s="125">
        <f t="shared" si="0"/>
        <v>0.16576318031935239</v>
      </c>
      <c r="U31" s="28">
        <f t="shared" si="1"/>
        <v>11.78</v>
      </c>
      <c r="W31" s="28">
        <f t="shared" si="2"/>
        <v>10.1</v>
      </c>
      <c r="X31" s="28"/>
      <c r="Y31" s="45">
        <f t="shared" si="3"/>
        <v>1.7092255450678297E-4</v>
      </c>
    </row>
    <row r="32" spans="1:31">
      <c r="A32" s="89">
        <f>MAX(A$14:A31)+1</f>
        <v>17</v>
      </c>
      <c r="C32" s="89" t="s">
        <v>46</v>
      </c>
      <c r="E32" s="140">
        <v>23</v>
      </c>
      <c r="G32" s="140">
        <v>23</v>
      </c>
      <c r="I32" s="30">
        <v>79903.666666666672</v>
      </c>
      <c r="K32" s="30">
        <f>SUM('Exhibit RMP-(WRG-5)'!E630,'Exhibit RMP-(WRG-5)'!E97)/1000</f>
        <v>1413763.5142437532</v>
      </c>
      <c r="M32" s="31">
        <f>('Exhibit RMP-(WRG-5)'!K630+'Exhibit RMP-(WRG-5)'!K631+'Exhibit RMP-(WRG-5)'!K97+'Exhibit RMP-(WRG-5)'!K98)/1000</f>
        <v>121797.0054729</v>
      </c>
      <c r="N32" s="32"/>
      <c r="O32" s="31">
        <f>('Exhibit RMP-(WRG-5)'!O630+'Exhibit RMP-(WRG-5)'!O631+'Exhibit RMP-(WRG-5)'!O97+'Exhibit RMP-(WRG-5)'!O98)/1000</f>
        <v>137115.986</v>
      </c>
      <c r="P32" s="32"/>
      <c r="Q32" s="31">
        <f t="shared" si="4"/>
        <v>15318.980527100008</v>
      </c>
      <c r="S32" s="125">
        <f t="shared" si="0"/>
        <v>0.12577468934988309</v>
      </c>
      <c r="U32" s="28">
        <f t="shared" si="1"/>
        <v>9.6999999999999993</v>
      </c>
      <c r="W32" s="28">
        <f t="shared" si="2"/>
        <v>8.6199999999999992</v>
      </c>
      <c r="X32" s="28"/>
      <c r="Y32" s="45">
        <f t="shared" si="3"/>
        <v>7.4023081105776586E-2</v>
      </c>
    </row>
    <row r="33" spans="1:26">
      <c r="A33" s="89">
        <f>MAX(A$14:A32)+1</f>
        <v>18</v>
      </c>
      <c r="C33" s="89" t="s">
        <v>49</v>
      </c>
      <c r="E33" s="89">
        <v>31</v>
      </c>
      <c r="G33" s="89">
        <v>31</v>
      </c>
      <c r="I33" s="30">
        <v>3</v>
      </c>
      <c r="K33" s="30">
        <f>('Exhibit RMP-(WRG-5)'!E728+'Exhibit RMP-(WRG-5)'!E781)/1000</f>
        <v>10601.999</v>
      </c>
      <c r="M33" s="31">
        <f>('Exhibit RMP-(WRG-5)'!K728+'Exhibit RMP-(WRG-5)'!K781+'Exhibit RMP-(WRG-5)'!K729+'Exhibit RMP-(WRG-5)'!K782)/1000</f>
        <v>793.09077920000004</v>
      </c>
      <c r="N33" s="32"/>
      <c r="O33" s="31">
        <f>('Exhibit RMP-(WRG-5)'!O728+'Exhibit RMP-(WRG-5)'!O781+'Exhibit RMP-(WRG-5)'!O729+'Exhibit RMP-(WRG-5)'!O782)/1000</f>
        <v>907.01800000000003</v>
      </c>
      <c r="P33" s="32"/>
      <c r="Q33" s="31">
        <f t="shared" si="4"/>
        <v>113.92722079999999</v>
      </c>
      <c r="S33" s="125">
        <f t="shared" si="0"/>
        <v>0.1436496600236857</v>
      </c>
      <c r="U33" s="28">
        <f t="shared" si="1"/>
        <v>8.56</v>
      </c>
      <c r="W33" s="28">
        <f t="shared" si="2"/>
        <v>7.48</v>
      </c>
      <c r="X33" s="28"/>
      <c r="Y33" s="45">
        <f t="shared" si="3"/>
        <v>4.820071137629697E-4</v>
      </c>
    </row>
    <row r="34" spans="1:26">
      <c r="A34" s="89">
        <f>MAX(A$14:A33)+1</f>
        <v>19</v>
      </c>
      <c r="C34" s="131" t="s">
        <v>50</v>
      </c>
      <c r="E34" s="130" t="s">
        <v>27</v>
      </c>
      <c r="G34" s="130" t="s">
        <v>27</v>
      </c>
      <c r="I34" s="30">
        <v>1</v>
      </c>
      <c r="K34" s="30">
        <f>'Exhibit RMP-(WRG-5)'!E791/1000</f>
        <v>566031.79094462132</v>
      </c>
      <c r="M34" s="31">
        <f>('Exhibit RMP-(WRG-5)'!K791)/1000</f>
        <v>22942.658742756612</v>
      </c>
      <c r="N34" s="32"/>
      <c r="O34" s="31">
        <f>'Exhibit RMP-(WRG-5)'!O791/1000</f>
        <v>22942.658742756612</v>
      </c>
      <c r="P34" s="32"/>
      <c r="Q34" s="31">
        <f t="shared" si="4"/>
        <v>0</v>
      </c>
      <c r="S34" s="125">
        <f t="shared" si="0"/>
        <v>0</v>
      </c>
      <c r="U34" s="28">
        <f t="shared" si="1"/>
        <v>4.05</v>
      </c>
      <c r="W34" s="28">
        <f t="shared" si="2"/>
        <v>4.05</v>
      </c>
      <c r="X34" s="28"/>
      <c r="Y34" s="45">
        <f t="shared" si="3"/>
        <v>1.3943579994461341E-2</v>
      </c>
    </row>
    <row r="35" spans="1:26">
      <c r="A35" s="89">
        <f>MAX(A$14:A34)+1</f>
        <v>20</v>
      </c>
      <c r="C35" s="131" t="s">
        <v>51</v>
      </c>
      <c r="E35" s="130" t="s">
        <v>27</v>
      </c>
      <c r="G35" s="130" t="s">
        <v>27</v>
      </c>
      <c r="I35" s="30">
        <v>1</v>
      </c>
      <c r="K35" s="30">
        <f>'Exhibit RMP-(WRG-5)'!E796/1000</f>
        <v>906890.76634466706</v>
      </c>
      <c r="M35" s="31">
        <f>'Exhibit RMP-(WRG-5)'!K796/1000</f>
        <v>30307.371080770277</v>
      </c>
      <c r="N35" s="32"/>
      <c r="O35" s="31">
        <f>'Exhibit RMP-(WRG-5)'!O796/1000</f>
        <v>30307.371080770277</v>
      </c>
      <c r="P35" s="32"/>
      <c r="Q35" s="31">
        <f t="shared" si="4"/>
        <v>0</v>
      </c>
      <c r="S35" s="125">
        <f t="shared" si="0"/>
        <v>0</v>
      </c>
      <c r="U35" s="28">
        <f t="shared" si="1"/>
        <v>3.34</v>
      </c>
      <c r="W35" s="28">
        <f t="shared" si="2"/>
        <v>3.34</v>
      </c>
      <c r="X35" s="28"/>
      <c r="Y35" s="45">
        <f t="shared" si="3"/>
        <v>1.8419541423897286E-2</v>
      </c>
    </row>
    <row r="36" spans="1:26">
      <c r="A36" s="89">
        <f>MAX(A$14:A35)+1</f>
        <v>21</v>
      </c>
      <c r="C36" s="131" t="s">
        <v>52</v>
      </c>
      <c r="E36" s="130" t="s">
        <v>27</v>
      </c>
      <c r="G36" s="130" t="s">
        <v>27</v>
      </c>
      <c r="I36" s="30">
        <v>1</v>
      </c>
      <c r="K36" s="30">
        <f>'Exhibit RMP-(WRG-5)'!E812/1000</f>
        <v>1153188.5036041529</v>
      </c>
      <c r="M36" s="31">
        <f>('Exhibit RMP-(WRG-5)'!K812+'Exhibit RMP-(WRG-5)'!K813)/1000</f>
        <v>46004.667615563194</v>
      </c>
      <c r="N36" s="32"/>
      <c r="O36" s="31">
        <f>'Exhibit RMP-(WRG-5)'!O812/1000</f>
        <v>54266.807000000001</v>
      </c>
      <c r="P36" s="32"/>
      <c r="Q36" s="31">
        <f t="shared" si="4"/>
        <v>8262.1393844368067</v>
      </c>
      <c r="S36" s="125">
        <f t="shared" si="0"/>
        <v>0.17959350241325855</v>
      </c>
      <c r="U36" s="28">
        <f t="shared" si="1"/>
        <v>4.71</v>
      </c>
      <c r="W36" s="28">
        <f t="shared" si="2"/>
        <v>3.99</v>
      </c>
      <c r="X36" s="28"/>
      <c r="Y36" s="45">
        <f t="shared" si="3"/>
        <v>2.7959695962384196E-2</v>
      </c>
    </row>
    <row r="37" spans="1:26">
      <c r="A37" s="89">
        <f>MAX(A$14:A36)+1</f>
        <v>22</v>
      </c>
      <c r="C37" s="131" t="s">
        <v>53</v>
      </c>
      <c r="E37" s="130" t="s">
        <v>27</v>
      </c>
      <c r="G37" s="130" t="s">
        <v>27</v>
      </c>
      <c r="I37" s="30">
        <v>1</v>
      </c>
      <c r="K37" s="30">
        <f>'Exhibit RMP-(WRG-5)'!E823/1000</f>
        <v>246723.4468927572</v>
      </c>
      <c r="M37" s="31">
        <f>('Exhibit RMP-(WRG-5)'!K823+'Exhibit RMP-(WRG-5)'!K824)/1000</f>
        <v>10557.777273195708</v>
      </c>
      <c r="N37" s="32"/>
      <c r="O37" s="31">
        <f>'Exhibit RMP-(WRG-5)'!O823/1000</f>
        <v>12157.616</v>
      </c>
      <c r="P37" s="32"/>
      <c r="Q37" s="31">
        <f t="shared" si="4"/>
        <v>1599.8387268042916</v>
      </c>
      <c r="S37" s="125">
        <f t="shared" si="0"/>
        <v>0.15153177467249601</v>
      </c>
      <c r="U37" s="28">
        <f t="shared" si="1"/>
        <v>4.93</v>
      </c>
      <c r="W37" s="28">
        <f t="shared" si="2"/>
        <v>4.28</v>
      </c>
      <c r="X37" s="28"/>
      <c r="Y37" s="45">
        <f t="shared" si="3"/>
        <v>6.4165715762558697E-3</v>
      </c>
    </row>
    <row r="38" spans="1:26">
      <c r="A38" s="89">
        <f>MAX(A$14:A37)+1</f>
        <v>23</v>
      </c>
      <c r="C38" s="131" t="s">
        <v>26</v>
      </c>
      <c r="E38" s="132" t="s">
        <v>27</v>
      </c>
      <c r="F38" s="133"/>
      <c r="G38" s="132" t="s">
        <v>27</v>
      </c>
      <c r="I38" s="134"/>
      <c r="K38" s="134" t="s">
        <v>27</v>
      </c>
      <c r="M38" s="40">
        <v>3533.55807</v>
      </c>
      <c r="N38" s="32"/>
      <c r="O38" s="40">
        <f>M38</f>
        <v>3533.55807</v>
      </c>
      <c r="P38" s="32"/>
      <c r="Q38" s="40">
        <f t="shared" si="4"/>
        <v>0</v>
      </c>
      <c r="S38" s="135">
        <f t="shared" si="0"/>
        <v>0</v>
      </c>
      <c r="U38" s="43"/>
      <c r="W38" s="43"/>
      <c r="X38" s="58"/>
      <c r="Y38" s="45">
        <f t="shared" si="3"/>
        <v>2.1475475081838519E-3</v>
      </c>
    </row>
    <row r="39" spans="1:26">
      <c r="A39" s="89">
        <f>MAX(A$14:A38)+1</f>
        <v>24</v>
      </c>
      <c r="C39" s="103" t="s">
        <v>88</v>
      </c>
      <c r="I39" s="30">
        <f>SUM(I20:I22,I24:I26,I28:I29,I31:I38)</f>
        <v>98531.333333333343</v>
      </c>
      <c r="K39" s="30">
        <f>SUM(K20:K22,K24:K26,K28:K29,K31:K38)</f>
        <v>17491756.593255926</v>
      </c>
      <c r="M39" s="31">
        <f>SUM(M20:M22,M24:M26,M28:M29,M31:M38)</f>
        <v>1063620.4292714859</v>
      </c>
      <c r="N39" s="32"/>
      <c r="O39" s="31">
        <f>SUM(O20:O22,O24:O26,O28:O29,O31:O38)</f>
        <v>1205148.8918935268</v>
      </c>
      <c r="P39" s="32"/>
      <c r="Q39" s="31">
        <f>SUM(Q20:Q22,Q24:Q26,Q28:Q29,Q31:Q38)</f>
        <v>141528.46262204117</v>
      </c>
      <c r="S39" s="125">
        <f t="shared" si="0"/>
        <v>0.13306294118380127</v>
      </c>
      <c r="U39" s="28">
        <f>ROUND(100*O39/K39,2)</f>
        <v>6.89</v>
      </c>
      <c r="W39" s="28">
        <f>ROUND(100*M39/K39,2)</f>
        <v>6.08</v>
      </c>
      <c r="X39" s="28"/>
      <c r="Y39" s="45">
        <f t="shared" si="3"/>
        <v>0.64642362097516581</v>
      </c>
    </row>
    <row r="40" spans="1:26" ht="35.1" customHeight="1">
      <c r="A40" s="89">
        <f>MAX(A$14:A39)+1</f>
        <v>25</v>
      </c>
      <c r="C40" s="142" t="s">
        <v>89</v>
      </c>
      <c r="I40" s="30">
        <f>I39-SUM(I34:I35,I38)</f>
        <v>98529.333333333343</v>
      </c>
      <c r="K40" s="30">
        <f>K39-SUM(K34:K35,K38)</f>
        <v>16018834.035966638</v>
      </c>
      <c r="M40" s="31">
        <f>M39-SUM(M34:M35,M38)</f>
        <v>1006836.841377959</v>
      </c>
      <c r="N40" s="32"/>
      <c r="O40" s="31">
        <f>O39-SUM(O34:O35,O38)</f>
        <v>1148365.304</v>
      </c>
      <c r="P40" s="32"/>
      <c r="Q40" s="31">
        <f>Q39-SUM(Q34:Q35,Q38)</f>
        <v>141528.46262204117</v>
      </c>
      <c r="S40" s="125">
        <f t="shared" si="0"/>
        <v>0.14056742543145823</v>
      </c>
      <c r="U40" s="28">
        <f>ROUND(100*O40/K40,2)</f>
        <v>7.17</v>
      </c>
      <c r="W40" s="28">
        <f>ROUND(100*M40/K40,2)</f>
        <v>6.29</v>
      </c>
      <c r="X40" s="28"/>
      <c r="Y40" s="45">
        <f t="shared" si="3"/>
        <v>0.61191295204862339</v>
      </c>
    </row>
    <row r="41" spans="1:26" ht="24.95" customHeight="1">
      <c r="C41" s="103" t="s">
        <v>56</v>
      </c>
      <c r="I41" s="30"/>
      <c r="K41" s="30"/>
      <c r="M41" s="31"/>
      <c r="N41" s="32"/>
      <c r="O41" s="31"/>
      <c r="P41" s="32"/>
      <c r="Q41" s="31"/>
      <c r="S41" s="125"/>
      <c r="W41" s="28"/>
      <c r="X41" s="28"/>
      <c r="Y41" s="45"/>
    </row>
    <row r="42" spans="1:26">
      <c r="A42" s="89">
        <f>MAX(A$14:A41)+1</f>
        <v>26</v>
      </c>
      <c r="C42" s="89" t="s">
        <v>57</v>
      </c>
      <c r="E42" s="89">
        <v>7</v>
      </c>
      <c r="G42" s="89">
        <v>7</v>
      </c>
      <c r="I42" s="30">
        <v>7995.3333333333303</v>
      </c>
      <c r="K42" s="30">
        <f>'Exhibit RMP-(WRG-5)'!E279/1000</f>
        <v>14094.877493246233</v>
      </c>
      <c r="M42" s="31">
        <f>('Exhibit RMP-(WRG-5)'!K279+'Exhibit RMP-(WRG-5)'!K280)/1000</f>
        <v>3392.8355858999998</v>
      </c>
      <c r="N42" s="32"/>
      <c r="O42" s="31">
        <f>('Exhibit RMP-(WRG-5)'!O279+'Exhibit RMP-(WRG-5)'!O280)/1000</f>
        <v>3392.529</v>
      </c>
      <c r="P42" s="32"/>
      <c r="Q42" s="31">
        <f>O42-M42</f>
        <v>-0.30658589999984542</v>
      </c>
      <c r="S42" s="125">
        <f t="shared" ref="S42:S53" si="5">Q42/M42</f>
        <v>-9.0362734131285344E-5</v>
      </c>
      <c r="U42" s="28">
        <f t="shared" ref="U42:U49" si="6">ROUND(100*O42/K42,2)</f>
        <v>24.07</v>
      </c>
      <c r="W42" s="28">
        <f t="shared" ref="W42:W49" si="7">ROUND(100*M42/K42,2)</f>
        <v>24.07</v>
      </c>
      <c r="X42" s="28"/>
      <c r="Y42" s="45"/>
    </row>
    <row r="43" spans="1:26">
      <c r="A43" s="89">
        <f>MAX(A$14:A42)+1</f>
        <v>27</v>
      </c>
      <c r="C43" s="89" t="s">
        <v>58</v>
      </c>
      <c r="E43" s="143">
        <v>11</v>
      </c>
      <c r="G43" s="89">
        <v>11</v>
      </c>
      <c r="I43" s="30">
        <f>'Exhibit RMP-(WRG-5)'!E482</f>
        <v>872.33333333333337</v>
      </c>
      <c r="K43" s="30">
        <f>'Exhibit RMP-(WRG-5)'!E484/1000</f>
        <v>22285.519</v>
      </c>
      <c r="M43" s="31">
        <f>('Exhibit RMP-(WRG-5)'!K484+'Exhibit RMP-(WRG-5)'!K485)/1000</f>
        <v>6595.6071942999997</v>
      </c>
      <c r="N43" s="32"/>
      <c r="O43" s="31">
        <f>('Exhibit RMP-(WRG-5)'!O484+'Exhibit RMP-(WRG-5)'!O485)/1000</f>
        <v>6594.3869999999997</v>
      </c>
      <c r="P43" s="32"/>
      <c r="Q43" s="31">
        <f>O43-M43</f>
        <v>-1.2201943000000028</v>
      </c>
      <c r="S43" s="125">
        <f t="shared" si="5"/>
        <v>-1.8500105662061091E-4</v>
      </c>
      <c r="U43" s="28">
        <f t="shared" si="6"/>
        <v>29.59</v>
      </c>
      <c r="W43" s="28">
        <f t="shared" si="7"/>
        <v>29.6</v>
      </c>
      <c r="X43" s="28"/>
      <c r="Y43" s="45"/>
    </row>
    <row r="44" spans="1:26">
      <c r="A44" s="89">
        <f>MAX(A$14:A43)+1</f>
        <v>28</v>
      </c>
      <c r="C44" s="89" t="s">
        <v>59</v>
      </c>
      <c r="E44" s="143">
        <v>12</v>
      </c>
      <c r="G44" s="89">
        <v>12</v>
      </c>
      <c r="I44" s="30">
        <f>'Exhibit RMP-(WRG-5)'!E575</f>
        <v>838.16666666666663</v>
      </c>
      <c r="K44" s="53">
        <f>'Exhibit RMP-(WRG-5)'!E577/1000</f>
        <v>49417.5</v>
      </c>
      <c r="M44" s="31">
        <f>('Exhibit RMP-(WRG-5)'!K577+'Exhibit RMP-(WRG-5)'!K578)/1000</f>
        <v>3813.2070128999999</v>
      </c>
      <c r="N44" s="32"/>
      <c r="O44" s="31">
        <f>('Exhibit RMP-(WRG-5)'!O577+'Exhibit RMP-(WRG-5)'!O578)/1000</f>
        <v>3813.444</v>
      </c>
      <c r="P44" s="32"/>
      <c r="Q44" s="31">
        <f>O44-M44</f>
        <v>0.2369871000000785</v>
      </c>
      <c r="S44" s="125">
        <f t="shared" si="5"/>
        <v>6.2149025531096555E-5</v>
      </c>
      <c r="U44" s="28">
        <f t="shared" si="6"/>
        <v>7.72</v>
      </c>
      <c r="W44" s="28">
        <f t="shared" si="7"/>
        <v>7.72</v>
      </c>
      <c r="X44" s="28"/>
      <c r="Y44" s="45"/>
    </row>
    <row r="45" spans="1:26" s="122" customFormat="1">
      <c r="A45" s="122">
        <f>MAX(A$14:A44)+1</f>
        <v>29</v>
      </c>
      <c r="C45" s="122" t="s">
        <v>60</v>
      </c>
      <c r="D45" s="133"/>
      <c r="E45" s="122">
        <v>15</v>
      </c>
      <c r="F45" s="133"/>
      <c r="G45" s="122">
        <v>15</v>
      </c>
      <c r="H45" s="133"/>
      <c r="I45" s="54">
        <f>('Exhibit RMP-(WRG-5)'!E585)/12</f>
        <v>472.25</v>
      </c>
      <c r="J45" s="133"/>
      <c r="K45" s="54">
        <f>('Exhibit RMP-(WRG-5)'!E588)/1000</f>
        <v>16985.647000000001</v>
      </c>
      <c r="L45" s="133"/>
      <c r="M45" s="55">
        <f>('Exhibit RMP-(WRG-5)'!K588+'Exhibit RMP-(WRG-5)'!K589)/1000</f>
        <v>1218.1327200000001</v>
      </c>
      <c r="N45" s="56"/>
      <c r="O45" s="55">
        <f>('Exhibit RMP-(WRG-5)'!O588+'Exhibit RMP-(WRG-5)'!O589)/1000</f>
        <v>1218.1369999999999</v>
      </c>
      <c r="P45" s="56"/>
      <c r="Q45" s="55">
        <f>O45-M45</f>
        <v>4.2799999998806015E-3</v>
      </c>
      <c r="R45" s="133"/>
      <c r="S45" s="144">
        <f t="shared" si="5"/>
        <v>3.5135744485055793E-6</v>
      </c>
      <c r="T45" s="133"/>
      <c r="U45" s="58">
        <f t="shared" si="6"/>
        <v>7.17</v>
      </c>
      <c r="W45" s="58">
        <f t="shared" si="7"/>
        <v>7.17</v>
      </c>
      <c r="X45" s="58"/>
      <c r="Y45" s="45"/>
      <c r="Z45" s="133"/>
    </row>
    <row r="46" spans="1:26">
      <c r="A46" s="89">
        <f>MAX(A$14:A45)+1</f>
        <v>30</v>
      </c>
      <c r="C46" s="89" t="s">
        <v>61</v>
      </c>
      <c r="E46" s="89">
        <v>15</v>
      </c>
      <c r="G46" s="89">
        <v>15</v>
      </c>
      <c r="I46" s="47">
        <f>'Exhibit RMP-(WRG-5)'!E593/12</f>
        <v>2244.3333333333335</v>
      </c>
      <c r="K46" s="47">
        <f>'Exhibit RMP-(WRG-5)'!E596/1000</f>
        <v>5513.5479999999998</v>
      </c>
      <c r="M46" s="40">
        <f>('Exhibit RMP-(WRG-5)'!K596+'Exhibit RMP-(WRG-5)'!K597)/1000</f>
        <v>521.27995859999999</v>
      </c>
      <c r="N46" s="32"/>
      <c r="O46" s="40">
        <f>('Exhibit RMP-(WRG-5)'!O596+'Exhibit RMP-(WRG-5)'!O597)/1000</f>
        <v>597.26499999999999</v>
      </c>
      <c r="P46" s="32"/>
      <c r="Q46" s="40">
        <f>O46-M46</f>
        <v>75.9850414</v>
      </c>
      <c r="S46" s="135">
        <f t="shared" si="5"/>
        <v>0.14576628191130309</v>
      </c>
      <c r="U46" s="43">
        <f t="shared" si="6"/>
        <v>10.83</v>
      </c>
      <c r="W46" s="43">
        <f t="shared" si="7"/>
        <v>9.4499999999999993</v>
      </c>
      <c r="X46" s="58"/>
      <c r="Y46" s="45"/>
    </row>
    <row r="47" spans="1:26">
      <c r="A47" s="89">
        <f>MAX(A$14:A46)+1</f>
        <v>31</v>
      </c>
      <c r="C47" s="141" t="s">
        <v>62</v>
      </c>
      <c r="D47" s="60"/>
      <c r="F47" s="60"/>
      <c r="H47" s="60"/>
      <c r="I47" s="30">
        <f>SUM(I42:I46)</f>
        <v>12422.416666666664</v>
      </c>
      <c r="J47" s="60"/>
      <c r="K47" s="30">
        <f>SUM(K42:K46)</f>
        <v>108297.09149324622</v>
      </c>
      <c r="L47" s="60"/>
      <c r="M47" s="31">
        <f>SUM(M42:M46)</f>
        <v>15541.062471699999</v>
      </c>
      <c r="N47" s="31"/>
      <c r="O47" s="31">
        <f>SUM(O42:O46)</f>
        <v>15615.761999999999</v>
      </c>
      <c r="P47" s="31"/>
      <c r="Q47" s="31">
        <f>SUM(Q42:Q46)</f>
        <v>74.699528300000111</v>
      </c>
      <c r="R47" s="60"/>
      <c r="S47" s="125">
        <f t="shared" si="5"/>
        <v>4.8065908258220205E-3</v>
      </c>
      <c r="T47" s="60"/>
      <c r="U47" s="28">
        <f t="shared" si="6"/>
        <v>14.42</v>
      </c>
      <c r="W47" s="28">
        <f t="shared" si="7"/>
        <v>14.35</v>
      </c>
      <c r="X47" s="28"/>
      <c r="Y47" s="45">
        <f>M47/$M$53</f>
        <v>9.4452020667171056E-3</v>
      </c>
    </row>
    <row r="48" spans="1:26" ht="21.95" customHeight="1">
      <c r="A48" s="89">
        <f>MAX(A$14:A47)+1</f>
        <v>32</v>
      </c>
      <c r="C48" s="131" t="s">
        <v>63</v>
      </c>
      <c r="E48" s="130" t="s">
        <v>27</v>
      </c>
      <c r="G48" s="130" t="s">
        <v>27</v>
      </c>
      <c r="I48" s="30">
        <v>5</v>
      </c>
      <c r="K48" s="30">
        <f>'Exhibit RMP-(WRG-5)'!E842/1000</f>
        <v>8.3747600000000002</v>
      </c>
      <c r="M48" s="31">
        <f>'Exhibit RMP-(WRG-5)'!K842/1000</f>
        <v>0.629</v>
      </c>
      <c r="N48" s="32"/>
      <c r="O48" s="31">
        <f>'Exhibit RMP-(WRG-5)'!O842/1000</f>
        <v>0.629</v>
      </c>
      <c r="P48" s="32"/>
      <c r="Q48" s="31">
        <f>O48-M48</f>
        <v>0</v>
      </c>
      <c r="S48" s="125">
        <f t="shared" si="5"/>
        <v>0</v>
      </c>
      <c r="U48" s="28">
        <f t="shared" si="6"/>
        <v>7.51</v>
      </c>
      <c r="W48" s="28">
        <f t="shared" si="7"/>
        <v>7.51</v>
      </c>
      <c r="X48" s="28"/>
      <c r="Y48" s="45"/>
    </row>
    <row r="49" spans="1:25">
      <c r="A49" s="89">
        <f>MAX(A$14:A48)+1</f>
        <v>33</v>
      </c>
      <c r="C49" s="145" t="s">
        <v>90</v>
      </c>
      <c r="E49" s="130" t="s">
        <v>27</v>
      </c>
      <c r="G49" s="130" t="s">
        <v>27</v>
      </c>
      <c r="I49" s="30">
        <v>1</v>
      </c>
      <c r="K49" s="30">
        <f>'Exhibit RMP-(WRG-5)'!E832/1000</f>
        <v>134.18299999999999</v>
      </c>
      <c r="M49" s="31">
        <f>'Exhibit RMP-(WRG-5)'!K832/1000</f>
        <v>17.277000000000001</v>
      </c>
      <c r="N49" s="32"/>
      <c r="O49" s="31">
        <f>'Exhibit RMP-(WRG-5)'!O832/1000</f>
        <v>17.277000000000001</v>
      </c>
      <c r="P49" s="32"/>
      <c r="Q49" s="31">
        <f>O49-M49</f>
        <v>0</v>
      </c>
      <c r="S49" s="125">
        <f t="shared" si="5"/>
        <v>0</v>
      </c>
      <c r="U49" s="28">
        <f t="shared" si="6"/>
        <v>12.88</v>
      </c>
      <c r="W49" s="28">
        <f t="shared" si="7"/>
        <v>12.88</v>
      </c>
      <c r="X49" s="28"/>
      <c r="Y49" s="45"/>
    </row>
    <row r="50" spans="1:25">
      <c r="A50" s="89">
        <f>MAX(A$14:A49)+1</f>
        <v>34</v>
      </c>
      <c r="C50" s="131" t="s">
        <v>26</v>
      </c>
      <c r="D50" s="62"/>
      <c r="E50" s="132" t="s">
        <v>27</v>
      </c>
      <c r="F50" s="133"/>
      <c r="G50" s="132" t="s">
        <v>27</v>
      </c>
      <c r="H50" s="62"/>
      <c r="I50" s="63"/>
      <c r="J50" s="62"/>
      <c r="K50" s="63" t="s">
        <v>27</v>
      </c>
      <c r="L50" s="62"/>
      <c r="M50" s="40">
        <v>4.6828400000000006</v>
      </c>
      <c r="N50" s="32"/>
      <c r="O50" s="40">
        <f>M50</f>
        <v>4.6828400000000006</v>
      </c>
      <c r="P50" s="32"/>
      <c r="Q50" s="40">
        <f>O50-M50</f>
        <v>0</v>
      </c>
      <c r="R50" s="62"/>
      <c r="S50" s="135">
        <f t="shared" si="5"/>
        <v>0</v>
      </c>
      <c r="T50" s="62"/>
      <c r="U50" s="43"/>
      <c r="W50" s="43"/>
      <c r="X50" s="58"/>
      <c r="Y50" s="45"/>
    </row>
    <row r="51" spans="1:25" ht="21.95" customHeight="1">
      <c r="A51" s="89">
        <f>MAX(A$14:A50)+1</f>
        <v>35</v>
      </c>
      <c r="C51" s="103" t="s">
        <v>65</v>
      </c>
      <c r="E51" s="122"/>
      <c r="F51" s="133"/>
      <c r="G51" s="122"/>
      <c r="I51" s="47">
        <f>SUM(I48:I50)+I47</f>
        <v>12428.416666666664</v>
      </c>
      <c r="K51" s="47">
        <f>SUM(K48:K50)+K47</f>
        <v>108439.64925324621</v>
      </c>
      <c r="M51" s="40">
        <f>SUM(M48:M50)+M47</f>
        <v>15563.651311699999</v>
      </c>
      <c r="N51" s="32"/>
      <c r="O51" s="40">
        <f>SUM(O48:O50)+O47</f>
        <v>15638.350839999999</v>
      </c>
      <c r="P51" s="32"/>
      <c r="Q51" s="40">
        <f>SUM(Q48:Q50)+Q47</f>
        <v>74.699528300000111</v>
      </c>
      <c r="S51" s="135">
        <f t="shared" si="5"/>
        <v>4.7996146151028599E-3</v>
      </c>
      <c r="U51" s="43">
        <f>ROUND(100*O51/K51,2)</f>
        <v>14.42</v>
      </c>
      <c r="W51" s="43">
        <f>ROUND(100*M51/K51,2)</f>
        <v>14.35</v>
      </c>
      <c r="X51" s="58"/>
      <c r="Y51" s="45">
        <f>M51/$M$53</f>
        <v>9.4589306106079279E-3</v>
      </c>
    </row>
    <row r="52" spans="1:25" ht="24.95" customHeight="1" thickBot="1">
      <c r="A52" s="89">
        <f>MAX(A$14:A51)+1</f>
        <v>36</v>
      </c>
      <c r="C52" s="103" t="s">
        <v>66</v>
      </c>
      <c r="E52" s="122"/>
      <c r="F52" s="133"/>
      <c r="G52" s="122"/>
      <c r="I52" s="66">
        <f>I51+I39+I18</f>
        <v>830791.58333333326</v>
      </c>
      <c r="K52" s="66">
        <f>K51+K39+K18</f>
        <v>24441812.591059171</v>
      </c>
      <c r="M52" s="67">
        <f>M51+M39+M18</f>
        <v>1702237.8295219857</v>
      </c>
      <c r="N52" s="32"/>
      <c r="O52" s="67">
        <f>O51+O39+O18</f>
        <v>1934654.1272535268</v>
      </c>
      <c r="P52" s="32"/>
      <c r="Q52" s="67">
        <f>Q51+Q39+Q18</f>
        <v>232416.29773154121</v>
      </c>
      <c r="S52" s="146">
        <f t="shared" si="5"/>
        <v>0.13653573766293706</v>
      </c>
      <c r="U52" s="69">
        <f>ROUND(100*O52/K52,2)</f>
        <v>7.92</v>
      </c>
      <c r="W52" s="69">
        <f>ROUND(100*M52/K52,2)</f>
        <v>6.96</v>
      </c>
      <c r="X52" s="58"/>
      <c r="Y52" s="45">
        <f>M52/$M$53</f>
        <v>1.0345483325044744</v>
      </c>
    </row>
    <row r="53" spans="1:25" ht="35.1" customHeight="1" thickTop="1" thickBot="1">
      <c r="A53" s="89">
        <f>MAX(A$14:A52)+1</f>
        <v>37</v>
      </c>
      <c r="C53" s="147" t="s">
        <v>91</v>
      </c>
      <c r="E53" s="122"/>
      <c r="F53" s="133"/>
      <c r="G53" s="122"/>
      <c r="I53" s="66">
        <f>I47+I40+I18-I17</f>
        <v>830783.58333333326</v>
      </c>
      <c r="K53" s="66">
        <f>K47+K40+K18-K17</f>
        <v>22968747.476009883</v>
      </c>
      <c r="M53" s="67">
        <f>M47+M40+M18-M17</f>
        <v>1645392.2702684589</v>
      </c>
      <c r="N53" s="32"/>
      <c r="O53" s="67">
        <f>O47+O40+O18-O17</f>
        <v>1877808.568</v>
      </c>
      <c r="P53" s="32"/>
      <c r="Q53" s="67">
        <f>Q47+Q40+Q18-Q17</f>
        <v>232416.29773154121</v>
      </c>
      <c r="S53" s="146">
        <f t="shared" si="5"/>
        <v>0.14125281972645989</v>
      </c>
      <c r="U53" s="69">
        <f>ROUND(100*O53/K53,2)</f>
        <v>8.18</v>
      </c>
      <c r="W53" s="69">
        <f>ROUND(100*M53/K53,2)</f>
        <v>7.16</v>
      </c>
      <c r="X53" s="58"/>
      <c r="Y53" s="45">
        <f>M53/$M$53</f>
        <v>1</v>
      </c>
    </row>
    <row r="54" spans="1:25" ht="16.5" thickTop="1">
      <c r="E54" s="122"/>
      <c r="F54" s="133"/>
      <c r="G54" s="122"/>
    </row>
    <row r="55" spans="1:25">
      <c r="C55" s="131"/>
      <c r="M55" s="31">
        <f>M53+M17+M34+M35+M38+M48+M49+M50</f>
        <v>1702237.8295219857</v>
      </c>
    </row>
    <row r="56" spans="1:25">
      <c r="C56" s="131"/>
      <c r="M56" s="45"/>
    </row>
    <row r="57" spans="1:25">
      <c r="M57" s="45"/>
    </row>
  </sheetData>
  <phoneticPr fontId="67" type="noConversion"/>
  <printOptions horizontalCentered="1"/>
  <pageMargins left="0.5" right="0.5" top="1" bottom="0.5" header="0.5" footer="0.25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view="pageBreakPreview" zoomScale="60" workbookViewId="0">
      <selection activeCell="D25" sqref="D25"/>
    </sheetView>
  </sheetViews>
  <sheetFormatPr defaultRowHeight="15"/>
  <cols>
    <col min="1" max="1" width="22.25" style="755" customWidth="1"/>
    <col min="2" max="2" width="21.125" style="755" customWidth="1"/>
    <col min="3" max="4" width="9" style="755" customWidth="1"/>
    <col min="5" max="5" width="9.875" style="755" bestFit="1" customWidth="1"/>
    <col min="6" max="16384" width="9" style="755"/>
  </cols>
  <sheetData>
    <row r="1" spans="1:2">
      <c r="A1" s="754" t="s">
        <v>587</v>
      </c>
      <c r="B1" s="754"/>
    </row>
    <row r="2" spans="1:2">
      <c r="A2" s="754" t="s">
        <v>588</v>
      </c>
      <c r="B2" s="756"/>
    </row>
    <row r="3" spans="1:2">
      <c r="A3" s="757" t="s">
        <v>1</v>
      </c>
      <c r="B3" s="756"/>
    </row>
    <row r="4" spans="1:2">
      <c r="A4" s="756" t="s">
        <v>542</v>
      </c>
      <c r="B4" s="756"/>
    </row>
    <row r="5" spans="1:2">
      <c r="A5" s="756" t="s">
        <v>543</v>
      </c>
      <c r="B5" s="756"/>
    </row>
    <row r="6" spans="1:2">
      <c r="A6" s="756" t="s">
        <v>544</v>
      </c>
      <c r="B6" s="756"/>
    </row>
    <row r="7" spans="1:2">
      <c r="A7" s="756"/>
      <c r="B7" s="756"/>
    </row>
    <row r="8" spans="1:2">
      <c r="A8" s="758"/>
      <c r="B8" s="759"/>
    </row>
    <row r="9" spans="1:2">
      <c r="A9" s="760"/>
      <c r="B9" s="761"/>
    </row>
    <row r="10" spans="1:2">
      <c r="A10" s="762"/>
      <c r="B10" s="763" t="s">
        <v>23</v>
      </c>
    </row>
    <row r="11" spans="1:2" ht="15.75" thickBot="1">
      <c r="A11" s="764" t="s">
        <v>16</v>
      </c>
      <c r="B11" s="765" t="s">
        <v>125</v>
      </c>
    </row>
    <row r="12" spans="1:2">
      <c r="A12" s="766"/>
      <c r="B12" s="767"/>
    </row>
    <row r="13" spans="1:2">
      <c r="A13" s="766" t="s">
        <v>545</v>
      </c>
      <c r="B13" s="767"/>
    </row>
    <row r="14" spans="1:2">
      <c r="A14" s="768" t="s">
        <v>546</v>
      </c>
      <c r="B14" s="769">
        <v>8242165.8291633697</v>
      </c>
    </row>
    <row r="15" spans="1:2">
      <c r="A15" s="768" t="s">
        <v>547</v>
      </c>
      <c r="B15" s="769">
        <v>23795663.383866847</v>
      </c>
    </row>
    <row r="16" spans="1:2">
      <c r="A16" s="768" t="s">
        <v>548</v>
      </c>
      <c r="B16" s="769">
        <v>98571367.548500255</v>
      </c>
    </row>
    <row r="17" spans="1:2">
      <c r="A17" s="768" t="s">
        <v>549</v>
      </c>
      <c r="B17" s="770">
        <v>37602584.028560169</v>
      </c>
    </row>
    <row r="18" spans="1:2">
      <c r="A18" s="768" t="s">
        <v>550</v>
      </c>
      <c r="B18" s="771">
        <v>35292010.516451046</v>
      </c>
    </row>
    <row r="19" spans="1:2">
      <c r="A19" s="772" t="s">
        <v>551</v>
      </c>
      <c r="B19" s="773">
        <f>SUM(B14:B18)</f>
        <v>203503791.30654168</v>
      </c>
    </row>
    <row r="20" spans="1:2">
      <c r="A20" s="774"/>
      <c r="B20" s="775"/>
    </row>
    <row r="21" spans="1:2">
      <c r="A21" s="776" t="s">
        <v>100</v>
      </c>
      <c r="B21" s="774"/>
    </row>
    <row r="22" spans="1:2">
      <c r="A22" s="768" t="s">
        <v>552</v>
      </c>
      <c r="B22" s="771">
        <v>719831.83333333326</v>
      </c>
    </row>
    <row r="23" spans="1:2">
      <c r="A23" s="772"/>
      <c r="B23" s="774"/>
    </row>
    <row r="24" spans="1:2">
      <c r="A24" s="777" t="s">
        <v>553</v>
      </c>
      <c r="B24" s="774"/>
    </row>
    <row r="25" spans="1:2" ht="15.75" thickBot="1">
      <c r="A25" s="768" t="s">
        <v>554</v>
      </c>
      <c r="B25" s="778">
        <f>B19/B22/12</f>
        <v>23.559182145383229</v>
      </c>
    </row>
    <row r="26" spans="1:2" ht="15.75" thickTop="1">
      <c r="A26" s="779"/>
      <c r="B26" s="779"/>
    </row>
  </sheetData>
  <phoneticPr fontId="67" type="noConversion"/>
  <printOptions horizontalCentered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view="pageBreakPreview" zoomScale="60" workbookViewId="0">
      <selection activeCell="C14" sqref="C14"/>
    </sheetView>
  </sheetViews>
  <sheetFormatPr defaultRowHeight="15"/>
  <cols>
    <col min="1" max="1" width="35.25" style="780" bestFit="1" customWidth="1"/>
    <col min="2" max="2" width="12.25" style="780" bestFit="1" customWidth="1"/>
    <col min="3" max="5" width="12" style="780" customWidth="1"/>
    <col min="6" max="16384" width="9" style="780"/>
  </cols>
  <sheetData>
    <row r="1" spans="1:4" s="845" customFormat="1" ht="12.75">
      <c r="A1" s="843" t="s">
        <v>589</v>
      </c>
      <c r="B1" s="843"/>
      <c r="C1" s="844"/>
    </row>
    <row r="2" spans="1:4" s="845" customFormat="1" ht="12.75">
      <c r="A2" s="754" t="s">
        <v>588</v>
      </c>
      <c r="B2" s="754"/>
      <c r="C2" s="844"/>
    </row>
    <row r="3" spans="1:4" s="845" customFormat="1" ht="12.75">
      <c r="A3" s="843" t="s">
        <v>1</v>
      </c>
      <c r="B3" s="843"/>
      <c r="C3" s="844"/>
    </row>
    <row r="4" spans="1:4" s="845" customFormat="1" ht="12.75">
      <c r="A4" s="843" t="s">
        <v>542</v>
      </c>
      <c r="B4" s="843"/>
      <c r="C4" s="844"/>
    </row>
    <row r="5" spans="1:4" s="845" customFormat="1" ht="12.75">
      <c r="A5" s="843" t="s">
        <v>543</v>
      </c>
      <c r="B5" s="843"/>
      <c r="C5" s="844"/>
    </row>
    <row r="6" spans="1:4" s="845" customFormat="1" ht="12.75">
      <c r="A6" s="843" t="s">
        <v>544</v>
      </c>
      <c r="B6" s="843"/>
      <c r="C6" s="844"/>
    </row>
    <row r="7" spans="1:4" s="845" customFormat="1" ht="12.75">
      <c r="A7" s="846"/>
      <c r="B7" s="846"/>
    </row>
    <row r="10" spans="1:4">
      <c r="A10" s="848" t="s">
        <v>16</v>
      </c>
      <c r="B10" s="848"/>
      <c r="C10" s="1114" t="s">
        <v>555</v>
      </c>
      <c r="D10" s="1115"/>
    </row>
    <row r="11" spans="1:4">
      <c r="A11" s="781"/>
      <c r="B11" s="782"/>
      <c r="C11" s="783" t="s">
        <v>556</v>
      </c>
      <c r="D11" s="784" t="s">
        <v>557</v>
      </c>
    </row>
    <row r="12" spans="1:4">
      <c r="A12" s="785" t="s">
        <v>558</v>
      </c>
      <c r="B12" s="782"/>
      <c r="C12" s="786">
        <v>30136802.428793456</v>
      </c>
      <c r="D12" s="787">
        <f t="shared" ref="D12:D21" si="0">+C12</f>
        <v>30136802.428793456</v>
      </c>
    </row>
    <row r="13" spans="1:4">
      <c r="A13" s="788" t="s">
        <v>559</v>
      </c>
      <c r="B13" s="782"/>
      <c r="C13" s="789">
        <v>35292010.516451046</v>
      </c>
      <c r="D13" s="787">
        <f t="shared" si="0"/>
        <v>35292010.516451046</v>
      </c>
    </row>
    <row r="14" spans="1:4">
      <c r="A14" s="790" t="s">
        <v>560</v>
      </c>
      <c r="B14" s="782"/>
      <c r="C14" s="791">
        <v>4497559.6655456098</v>
      </c>
      <c r="D14" s="787">
        <f t="shared" si="0"/>
        <v>4497559.6655456098</v>
      </c>
    </row>
    <row r="15" spans="1:4">
      <c r="A15" s="790" t="s">
        <v>561</v>
      </c>
      <c r="B15" s="782"/>
      <c r="C15" s="791">
        <v>1881619.281719639</v>
      </c>
      <c r="D15" s="787">
        <f t="shared" si="0"/>
        <v>1881619.281719639</v>
      </c>
    </row>
    <row r="16" spans="1:4">
      <c r="A16" s="790" t="s">
        <v>562</v>
      </c>
      <c r="B16" s="782"/>
      <c r="C16" s="791">
        <v>3272814.9857380297</v>
      </c>
      <c r="D16" s="787">
        <f t="shared" si="0"/>
        <v>3272814.9857380297</v>
      </c>
    </row>
    <row r="17" spans="1:5">
      <c r="A17" s="790" t="s">
        <v>563</v>
      </c>
      <c r="B17" s="782"/>
      <c r="C17" s="791">
        <v>175245000.89759576</v>
      </c>
      <c r="D17" s="787">
        <f t="shared" si="0"/>
        <v>175245000.89759576</v>
      </c>
    </row>
    <row r="18" spans="1:5">
      <c r="A18" s="790" t="s">
        <v>564</v>
      </c>
      <c r="B18" s="782"/>
      <c r="C18" s="791">
        <v>59075449.879886828</v>
      </c>
      <c r="D18" s="787">
        <f t="shared" si="0"/>
        <v>59075449.879886828</v>
      </c>
    </row>
    <row r="19" spans="1:5">
      <c r="A19" s="790" t="s">
        <v>565</v>
      </c>
      <c r="B19" s="782"/>
      <c r="C19" s="791">
        <v>-21772247.259451881</v>
      </c>
      <c r="D19" s="792">
        <f t="shared" si="0"/>
        <v>-21772247.259451881</v>
      </c>
    </row>
    <row r="20" spans="1:5">
      <c r="A20" s="790" t="s">
        <v>566</v>
      </c>
      <c r="B20" s="782"/>
      <c r="C20" s="791">
        <v>-48080623.183180794</v>
      </c>
      <c r="D20" s="792">
        <f t="shared" si="0"/>
        <v>-48080623.183180794</v>
      </c>
    </row>
    <row r="21" spans="1:5">
      <c r="A21" s="790" t="s">
        <v>567</v>
      </c>
      <c r="B21" s="782"/>
      <c r="C21" s="789">
        <f>+C17+C18+C19+C20</f>
        <v>164467580.33484989</v>
      </c>
      <c r="D21" s="787">
        <f t="shared" si="0"/>
        <v>164467580.33484989</v>
      </c>
    </row>
    <row r="22" spans="1:5">
      <c r="A22" s="849" t="s">
        <v>591</v>
      </c>
      <c r="B22" s="793"/>
      <c r="C22" s="794">
        <f>C21*D37</f>
        <v>13557013.306727575</v>
      </c>
      <c r="D22" s="795">
        <f>D21*E37</f>
        <v>19055227.848035239</v>
      </c>
    </row>
    <row r="23" spans="1:5">
      <c r="A23" s="790" t="s">
        <v>568</v>
      </c>
      <c r="B23" s="796"/>
      <c r="C23" s="789">
        <f>C12+C13+C14+C15+C16+C22</f>
        <v>88637820.184975356</v>
      </c>
      <c r="D23" s="792">
        <v>94136034.593701363</v>
      </c>
    </row>
    <row r="24" spans="1:5">
      <c r="A24" s="790"/>
      <c r="B24" s="796"/>
      <c r="C24" s="789"/>
      <c r="D24" s="787"/>
    </row>
    <row r="25" spans="1:5">
      <c r="A25" s="790" t="s">
        <v>552</v>
      </c>
      <c r="B25" s="796"/>
      <c r="C25" s="789">
        <v>719831.83333333326</v>
      </c>
      <c r="D25" s="787">
        <f>+C25</f>
        <v>719831.83333333326</v>
      </c>
    </row>
    <row r="26" spans="1:5">
      <c r="A26" s="790"/>
      <c r="B26" s="796"/>
      <c r="C26" s="797"/>
      <c r="D26" s="798"/>
    </row>
    <row r="27" spans="1:5">
      <c r="A27" s="799" t="s">
        <v>437</v>
      </c>
      <c r="B27" s="800"/>
      <c r="C27" s="801">
        <f>C23/C25/12</f>
        <v>10.26140366870125</v>
      </c>
      <c r="D27" s="802">
        <f>D23/D25/12</f>
        <v>10.897919744878072</v>
      </c>
    </row>
    <row r="29" spans="1:5">
      <c r="A29" s="847" t="s">
        <v>590</v>
      </c>
    </row>
    <row r="30" spans="1:5">
      <c r="A30" s="803"/>
    </row>
    <row r="31" spans="1:5">
      <c r="A31" s="804" t="s">
        <v>569</v>
      </c>
      <c r="B31" s="805"/>
      <c r="C31" s="805"/>
      <c r="D31" s="805"/>
      <c r="E31" s="805"/>
    </row>
    <row r="32" spans="1:5">
      <c r="A32" s="806"/>
      <c r="B32" s="807" t="s">
        <v>570</v>
      </c>
      <c r="C32" s="807" t="s">
        <v>571</v>
      </c>
      <c r="D32" s="808" t="s">
        <v>572</v>
      </c>
      <c r="E32" s="808" t="s">
        <v>572</v>
      </c>
    </row>
    <row r="33" spans="1:5">
      <c r="A33" s="809"/>
      <c r="B33" s="810" t="s">
        <v>573</v>
      </c>
      <c r="C33" s="810" t="s">
        <v>574</v>
      </c>
      <c r="D33" s="811" t="s">
        <v>575</v>
      </c>
      <c r="E33" s="811" t="s">
        <v>576</v>
      </c>
    </row>
    <row r="34" spans="1:5">
      <c r="A34" s="812" t="s">
        <v>577</v>
      </c>
      <c r="B34" s="813">
        <v>0.47799999999999998</v>
      </c>
      <c r="C34" s="814">
        <v>5.8099999999999999E-2</v>
      </c>
      <c r="D34" s="815">
        <v>2.7771799999999999E-2</v>
      </c>
      <c r="E34" s="816">
        <f>+D34</f>
        <v>2.7771799999999999E-2</v>
      </c>
    </row>
    <row r="35" spans="1:5">
      <c r="A35" s="812" t="s">
        <v>578</v>
      </c>
      <c r="B35" s="813">
        <v>3.0000000000000001E-3</v>
      </c>
      <c r="C35" s="814">
        <v>5.4300000000000001E-2</v>
      </c>
      <c r="D35" s="815">
        <v>1.629E-4</v>
      </c>
      <c r="E35" s="816">
        <f>D35*(1/(1-$B$39))</f>
        <v>2.6253444858096022E-4</v>
      </c>
    </row>
    <row r="36" spans="1:5">
      <c r="A36" s="812" t="s">
        <v>579</v>
      </c>
      <c r="B36" s="817">
        <v>0.51900000000000002</v>
      </c>
      <c r="C36" s="818">
        <v>0.105</v>
      </c>
      <c r="D36" s="819">
        <v>5.4495000000000002E-2</v>
      </c>
      <c r="E36" s="820">
        <f>D36*(1/(1-$B$39))</f>
        <v>8.7825750616448289E-2</v>
      </c>
    </row>
    <row r="37" spans="1:5">
      <c r="A37" s="821" t="s">
        <v>580</v>
      </c>
      <c r="B37" s="822">
        <v>1</v>
      </c>
      <c r="C37" s="823"/>
      <c r="D37" s="824">
        <f>SUM(D34:D36)</f>
        <v>8.2429699999999995E-2</v>
      </c>
      <c r="E37" s="824">
        <f>SUM(E34:E36)</f>
        <v>0.11586008506502925</v>
      </c>
    </row>
    <row r="38" spans="1:5">
      <c r="A38" s="825"/>
      <c r="B38" s="826"/>
      <c r="C38" s="826"/>
      <c r="D38" s="826"/>
      <c r="E38" s="827"/>
    </row>
    <row r="39" spans="1:5">
      <c r="A39" s="828" t="s">
        <v>581</v>
      </c>
      <c r="B39" s="829">
        <v>0.37950999999999996</v>
      </c>
      <c r="C39" s="830"/>
      <c r="D39" s="830"/>
      <c r="E39" s="831"/>
    </row>
    <row r="40" spans="1:5">
      <c r="A40" s="832"/>
      <c r="B40" s="832"/>
      <c r="C40" s="832"/>
      <c r="D40" s="832"/>
      <c r="E40" s="832"/>
    </row>
    <row r="41" spans="1:5">
      <c r="A41" s="804" t="s">
        <v>582</v>
      </c>
      <c r="B41" s="805"/>
      <c r="C41" s="805"/>
      <c r="D41" s="832"/>
      <c r="E41" s="832"/>
    </row>
    <row r="42" spans="1:5">
      <c r="A42" s="833" t="s">
        <v>583</v>
      </c>
      <c r="B42" s="834" t="s">
        <v>86</v>
      </c>
      <c r="C42" s="835" t="s">
        <v>48</v>
      </c>
      <c r="D42" s="832"/>
      <c r="E42" s="832"/>
    </row>
    <row r="43" spans="1:5">
      <c r="A43" s="836" t="s">
        <v>584</v>
      </c>
      <c r="B43" s="837">
        <v>14082962.106656</v>
      </c>
      <c r="C43" s="838">
        <f>+B43/$B$45</f>
        <v>0.198544376474134</v>
      </c>
      <c r="D43" s="832"/>
      <c r="E43" s="832"/>
    </row>
    <row r="44" spans="1:5">
      <c r="A44" s="836" t="s">
        <v>585</v>
      </c>
      <c r="B44" s="839">
        <v>56848092.989184</v>
      </c>
      <c r="C44" s="840">
        <f>+B44/$B$45</f>
        <v>0.80145562352586586</v>
      </c>
      <c r="D44" s="832"/>
      <c r="E44" s="832"/>
    </row>
    <row r="45" spans="1:5">
      <c r="A45" s="841" t="s">
        <v>586</v>
      </c>
      <c r="B45" s="842">
        <f>SUM(B43:B44)</f>
        <v>70931055.095840007</v>
      </c>
      <c r="C45" s="840">
        <f>+B45/$B$45</f>
        <v>1</v>
      </c>
      <c r="D45" s="832"/>
      <c r="E45" s="832"/>
    </row>
  </sheetData>
  <mergeCells count="1">
    <mergeCell ref="C10:D10"/>
  </mergeCells>
  <phoneticPr fontId="67" type="noConversion"/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22</vt:i4>
      </vt:variant>
    </vt:vector>
  </HeadingPairs>
  <TitlesOfParts>
    <vt:vector size="43" baseType="lpstr">
      <vt:lpstr>Billing Determinants</vt:lpstr>
      <vt:lpstr>Price Summary</vt:lpstr>
      <vt:lpstr>Company Rate Spread</vt:lpstr>
      <vt:lpstr>OCS Rate Spread</vt:lpstr>
      <vt:lpstr>OCS Schedule 1 Proposal</vt:lpstr>
      <vt:lpstr>OCS Sch 1 CC &amp; Energy Charge</vt:lpstr>
      <vt:lpstr>Exhibit RMP-(WRG-1)</vt:lpstr>
      <vt:lpstr>Exhibit RMP-(WRG-2a)</vt:lpstr>
      <vt:lpstr>Exhibit RMP-(WRG-2b)</vt:lpstr>
      <vt:lpstr>Exhibit RMP-(WRG-5)</vt:lpstr>
      <vt:lpstr>Exhibit RMP-(WRG-6)-Sch1</vt:lpstr>
      <vt:lpstr>Exhibit RMP-(WRG-6)-Sch23</vt:lpstr>
      <vt:lpstr>Exhibit RMP-(WRG-6)-Sch6</vt:lpstr>
      <vt:lpstr>Exhibit RMP-(WRG-6)-Sch8</vt:lpstr>
      <vt:lpstr>Exhibit RMP-(WRG-6)-Sch9</vt:lpstr>
      <vt:lpstr>Exhibit RMP-(WRG-6)-Sch10</vt:lpstr>
      <vt:lpstr>RateSpread</vt:lpstr>
      <vt:lpstr>MPA</vt:lpstr>
      <vt:lpstr>OCS Sch 1 Total Bill Changes SG</vt:lpstr>
      <vt:lpstr>OCS Sch 1 Bill Impacts</vt:lpstr>
      <vt:lpstr>Table 3</vt:lpstr>
      <vt:lpstr>'Company Rate Spread'!Print_Area</vt:lpstr>
      <vt:lpstr>'Exhibit RMP-(WRG-1)'!Print_Area</vt:lpstr>
      <vt:lpstr>'Exhibit RMP-(WRG-2a)'!Print_Area</vt:lpstr>
      <vt:lpstr>'Exhibit RMP-(WRG-2b)'!Print_Area</vt:lpstr>
      <vt:lpstr>'Exhibit RMP-(WRG-5)'!Print_Area</vt:lpstr>
      <vt:lpstr>'Exhibit RMP-(WRG-6)-Sch1'!Print_Area</vt:lpstr>
      <vt:lpstr>'Exhibit RMP-(WRG-6)-Sch10'!Print_Area</vt:lpstr>
      <vt:lpstr>'Exhibit RMP-(WRG-6)-Sch23'!Print_Area</vt:lpstr>
      <vt:lpstr>'Exhibit RMP-(WRG-6)-Sch6'!Print_Area</vt:lpstr>
      <vt:lpstr>'Exhibit RMP-(WRG-6)-Sch8'!Print_Area</vt:lpstr>
      <vt:lpstr>'Exhibit RMP-(WRG-6)-Sch9'!Print_Area</vt:lpstr>
      <vt:lpstr>MPA!Print_Area</vt:lpstr>
      <vt:lpstr>'OCS Rate Spread'!Print_Area</vt:lpstr>
      <vt:lpstr>RateSpread!Print_Area</vt:lpstr>
      <vt:lpstr>'Company Rate Spread'!Print_Titles</vt:lpstr>
      <vt:lpstr>'Exhibit RMP-(WRG-1)'!Print_Titles</vt:lpstr>
      <vt:lpstr>'Exhibit RMP-(WRG-5)'!Print_Titles</vt:lpstr>
      <vt:lpstr>MPA!Print_Titles</vt:lpstr>
      <vt:lpstr>'OCS Rate Spread'!Print_Titles</vt:lpstr>
      <vt:lpstr>RateSpread!Print_Titles</vt:lpstr>
      <vt:lpstr>'Exhibit RMP-(WRG-5)'!Print_Titles_MI</vt:lpstr>
      <vt:lpstr>MPA!Print_Titles_MI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laurieharris</cp:lastModifiedBy>
  <cp:lastPrinted>2014-05-21T20:25:50Z</cp:lastPrinted>
  <dcterms:created xsi:type="dcterms:W3CDTF">2011-02-03T16:14:14Z</dcterms:created>
  <dcterms:modified xsi:type="dcterms:W3CDTF">2014-05-22T17:14:32Z</dcterms:modified>
</cp:coreProperties>
</file>