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360" yWindow="75" windowWidth="28020" windowHeight="20955"/>
  </bookViews>
  <sheets>
    <sheet name="UAE Direct Exhibit COS 2.1" sheetId="1" r:id="rId1"/>
    <sheet name="UAE Direct Exhibit COS 2.2" sheetId="2" r:id="rId2"/>
    <sheet name="UAE Direct Exhibit COS 2.3" sheetId="3" r:id="rId3"/>
  </sheets>
  <externalReferences>
    <externalReference r:id="rId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#REF!</definedName>
    <definedName name="copy" hidden="1">#REF!</definedName>
    <definedName name="dsd" hidden="1">[1]Inputs!#REF!</definedName>
    <definedName name="DUDE" hidden="1">#REF!</definedName>
    <definedName name="limcount" hidden="1">1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 calcMode="manual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" i="3" l="1"/>
  <c r="L44" i="3"/>
  <c r="R44" i="3"/>
  <c r="H45" i="3"/>
  <c r="F45" i="3"/>
  <c r="H37" i="3"/>
  <c r="H38" i="3"/>
  <c r="L36" i="3"/>
  <c r="L34" i="3"/>
  <c r="R34" i="3"/>
  <c r="J29" i="3"/>
  <c r="H29" i="3"/>
  <c r="F29" i="3"/>
  <c r="J26" i="3"/>
  <c r="H26" i="3"/>
  <c r="F26" i="3"/>
  <c r="J22" i="3"/>
  <c r="H22" i="3"/>
  <c r="F37" i="3"/>
  <c r="F38" i="3"/>
  <c r="F17" i="3"/>
  <c r="L16" i="3"/>
  <c r="A15" i="3"/>
  <c r="J17" i="3"/>
  <c r="H17" i="3"/>
  <c r="D11" i="3"/>
  <c r="F11" i="3"/>
  <c r="H11" i="3"/>
  <c r="C11" i="1"/>
  <c r="C13" i="1"/>
  <c r="C14" i="1"/>
  <c r="H50" i="3"/>
  <c r="L28" i="3"/>
  <c r="R28" i="3"/>
  <c r="F50" i="3"/>
  <c r="F48" i="3"/>
  <c r="F49" i="3"/>
  <c r="H48" i="3"/>
  <c r="H49" i="3"/>
  <c r="L40" i="3"/>
  <c r="L41" i="3"/>
  <c r="R41" i="3"/>
  <c r="L42" i="3"/>
  <c r="R42" i="3"/>
  <c r="J45" i="3"/>
  <c r="J48" i="3"/>
  <c r="F22" i="3"/>
  <c r="L31" i="3"/>
  <c r="R31" i="3"/>
  <c r="J11" i="3"/>
  <c r="L23" i="3"/>
  <c r="R23" i="3"/>
  <c r="J37" i="3"/>
  <c r="J38" i="3"/>
  <c r="A16" i="3"/>
  <c r="L46" i="3"/>
  <c r="R46" i="3"/>
  <c r="L43" i="3"/>
  <c r="R43" i="3"/>
  <c r="L15" i="3"/>
  <c r="R15" i="3"/>
  <c r="L21" i="3"/>
  <c r="R21" i="3"/>
  <c r="L20" i="3"/>
  <c r="R20" i="3"/>
  <c r="J50" i="3"/>
  <c r="L35" i="3"/>
  <c r="R35" i="3"/>
  <c r="L32" i="3"/>
  <c r="R32" i="3"/>
  <c r="L30" i="3"/>
  <c r="R30" i="3"/>
  <c r="L25" i="3"/>
  <c r="R25" i="3"/>
  <c r="L27" i="3"/>
  <c r="A17" i="3"/>
  <c r="L11" i="3"/>
  <c r="N12" i="3"/>
  <c r="L45" i="3"/>
  <c r="R40" i="3"/>
  <c r="J49" i="3"/>
  <c r="N11" i="3"/>
  <c r="L33" i="3"/>
  <c r="R33" i="3"/>
  <c r="L24" i="3"/>
  <c r="A19" i="3"/>
  <c r="A20" i="3"/>
  <c r="A21" i="3"/>
  <c r="R12" i="3"/>
  <c r="R27" i="3"/>
  <c r="L29" i="3"/>
  <c r="R29" i="3"/>
  <c r="L19" i="3"/>
  <c r="L14" i="3"/>
  <c r="L48" i="3"/>
  <c r="R45" i="3"/>
  <c r="P11" i="3"/>
  <c r="R11" i="3"/>
  <c r="P12" i="3"/>
  <c r="L17" i="3"/>
  <c r="R17" i="3"/>
  <c r="R14" i="3"/>
  <c r="L37" i="3"/>
  <c r="R19" i="3"/>
  <c r="L22" i="3"/>
  <c r="R22" i="3"/>
  <c r="A22" i="3"/>
  <c r="R48" i="3"/>
  <c r="R24" i="3"/>
  <c r="L26" i="3"/>
  <c r="R26" i="3"/>
  <c r="L49" i="3"/>
  <c r="R49" i="3"/>
  <c r="A23" i="3"/>
  <c r="L38" i="3"/>
  <c r="R37" i="3"/>
  <c r="R38" i="3"/>
  <c r="L50" i="3"/>
  <c r="R50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40" i="3"/>
  <c r="A41" i="3"/>
  <c r="A42" i="3"/>
  <c r="A43" i="3"/>
  <c r="A44" i="3"/>
  <c r="A45" i="3"/>
  <c r="A46" i="3"/>
  <c r="A47" i="3"/>
  <c r="A48" i="3"/>
  <c r="A49" i="3"/>
  <c r="A50" i="3"/>
</calcChain>
</file>

<file path=xl/sharedStrings.xml><?xml version="1.0" encoding="utf-8"?>
<sst xmlns="http://schemas.openxmlformats.org/spreadsheetml/2006/main" count="198" uniqueCount="164">
  <si>
    <t>Revenue Credits Attributable to Transmission and Distribution Voltages</t>
  </si>
  <si>
    <t xml:space="preserve">Line </t>
  </si>
  <si>
    <t xml:space="preserve">No. </t>
  </si>
  <si>
    <t>Revenue Components of Revenue Credit by Voltage</t>
  </si>
  <si>
    <t>Special Contract 3 Industrial customer revenues</t>
  </si>
  <si>
    <t>Schedule 21 revenues - Distribution Voltage</t>
  </si>
  <si>
    <t>Schedule 21 revenues - Transmission Voltage</t>
  </si>
  <si>
    <t>Schedule 31 revenues - Distribution Voltage</t>
  </si>
  <si>
    <t>Schedule 31 revenues - Transmission Voltage</t>
  </si>
  <si>
    <t xml:space="preserve">Total </t>
  </si>
  <si>
    <t>Rocky Mountain Power</t>
  </si>
  <si>
    <t>Cost Of Service By Rate Schedule</t>
  </si>
  <si>
    <t>State of Utah</t>
  </si>
  <si>
    <t>12 Months Ended June 2015</t>
  </si>
  <si>
    <t>2010 Protocol (Non Wgt)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</si>
  <si>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</si>
  <si>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</si>
  <si>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</si>
  <si>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</si>
  <si>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</si>
  <si>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</si>
  <si>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</si>
  <si>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</si>
  <si>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</si>
  <si>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</si>
  <si>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</si>
  <si>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</si>
  <si>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</si>
  <si>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</si>
  <si>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</si>
  <si>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Return on</t>
  </si>
  <si>
    <t>Rate of</t>
  </si>
  <si>
    <t>Total</t>
  </si>
  <si>
    <t>Generation</t>
  </si>
  <si>
    <t xml:space="preserve">Transmission </t>
  </si>
  <si>
    <t>Distribution</t>
  </si>
  <si>
    <t xml:space="preserve">Retail </t>
  </si>
  <si>
    <t>Misc</t>
  </si>
  <si>
    <t>Increase</t>
  </si>
  <si>
    <t>Percentage</t>
  </si>
  <si>
    <t>Line</t>
  </si>
  <si>
    <t>Schedule</t>
  </si>
  <si>
    <t>Description</t>
  </si>
  <si>
    <t>Annual</t>
  </si>
  <si>
    <t>Rate</t>
  </si>
  <si>
    <t>Return</t>
  </si>
  <si>
    <t>Cost of</t>
  </si>
  <si>
    <t>(Decrease)</t>
  </si>
  <si>
    <t>Change from</t>
  </si>
  <si>
    <t>No.</t>
  </si>
  <si>
    <t>Revenue</t>
  </si>
  <si>
    <t>Base</t>
  </si>
  <si>
    <t>Index</t>
  </si>
  <si>
    <t>Service</t>
  </si>
  <si>
    <t>to = ROR</t>
  </si>
  <si>
    <t>1</t>
  </si>
  <si>
    <t>Residential</t>
  </si>
  <si>
    <t>6</t>
  </si>
  <si>
    <t xml:space="preserve">General Service - Large </t>
  </si>
  <si>
    <t>8</t>
  </si>
  <si>
    <t>General Service - Over 1 MW</t>
  </si>
  <si>
    <t>7,11,12</t>
  </si>
  <si>
    <t>Street &amp; Area Lighting</t>
  </si>
  <si>
    <t>9</t>
  </si>
  <si>
    <t>General Service - High Voltage</t>
  </si>
  <si>
    <t>10</t>
  </si>
  <si>
    <t>Irrigation</t>
  </si>
  <si>
    <t>Traffic Signals</t>
  </si>
  <si>
    <t>Outdoor Lighting</t>
  </si>
  <si>
    <t>23</t>
  </si>
  <si>
    <t xml:space="preserve">General Service - Small </t>
  </si>
  <si>
    <t>SpC</t>
  </si>
  <si>
    <t>Customer 1</t>
  </si>
  <si>
    <t>Customer 2</t>
  </si>
  <si>
    <t>Total Utah Jurisdiction</t>
  </si>
  <si>
    <t>Footnotes :</t>
  </si>
  <si>
    <t>Column C :</t>
  </si>
  <si>
    <t xml:space="preserve">Annual revenues based on July 2014 thru June 2015 forecasted data. </t>
  </si>
  <si>
    <t xml:space="preserve">Column D :  </t>
  </si>
  <si>
    <t xml:space="preserve">Calculated Return on Ratebase per July 2014 thru June 2015 Embedded Cost of Service Study </t>
  </si>
  <si>
    <t xml:space="preserve">Column E : </t>
  </si>
  <si>
    <t>Rate of Return Index. Rate of return by rate schedule, divided by Utah Jurisdiction's normalized rate of return.</t>
  </si>
  <si>
    <t xml:space="preserve">Column F : </t>
  </si>
  <si>
    <t>Calculated Full Cost of Service at Jurisdictional Rate of Return per the July 2014 thru June 2015 Embedded COS Study</t>
  </si>
  <si>
    <t xml:space="preserve">Column G : </t>
  </si>
  <si>
    <t>Calculated Generation Cost of Service at Jurisdictional Rate of Return per the July 2014 thru June 2015 Embedded COS Study.</t>
  </si>
  <si>
    <t xml:space="preserve">Column H : </t>
  </si>
  <si>
    <t>Calculated Transmission Cost of Service at Jurisdictional Rate of Return per the July 2014 thru June 2015 Embedded COS Study.</t>
  </si>
  <si>
    <t xml:space="preserve">Column I : </t>
  </si>
  <si>
    <t>Calculated Distribution Cost of Service at Jurisdictional Rate of Return per the July 2014 thru June 2015 Embedded COS Study.</t>
  </si>
  <si>
    <t xml:space="preserve">Column J :  </t>
  </si>
  <si>
    <t>Calculated Retail Cost of Service at Jurisdictional Rate of Return per the July 2014 thru June 2015 Embedded COS Study.</t>
  </si>
  <si>
    <t xml:space="preserve">Column K : </t>
  </si>
  <si>
    <t>Calculated Miscellaneous Cost of Service at Jurisdictional Rate of Return per the July 2014 thru June 2015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</si>
  <si>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</si>
  <si>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</si>
  <si>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</si>
  <si>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</si>
  <si>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UAE Rate Spread Recommendation</t>
  </si>
  <si>
    <t>at Hypothetical $10 Million Base Revenue Increase</t>
  </si>
  <si>
    <t>Forecast Test Period 12 Months Ending June 2015</t>
  </si>
  <si>
    <t>No. of</t>
  </si>
  <si>
    <t xml:space="preserve">Present </t>
  </si>
  <si>
    <t>Proposed</t>
  </si>
  <si>
    <t>Sch</t>
  </si>
  <si>
    <t>Customers</t>
  </si>
  <si>
    <t>MWh</t>
  </si>
  <si>
    <t>Revenues</t>
  </si>
  <si>
    <t xml:space="preserve">Avg </t>
  </si>
  <si>
    <t>Forecast</t>
  </si>
  <si>
    <t>($000)</t>
  </si>
  <si>
    <t>Change</t>
  </si>
  <si>
    <t>(%)</t>
  </si>
  <si>
    <t>¢/kWh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</si>
  <si>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</si>
  <si>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</si>
  <si>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</si>
  <si>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</si>
  <si>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</si>
  <si>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</si>
  <si>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</si>
  <si>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</si>
  <si>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</si>
  <si>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</si>
  <si>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</si>
  <si>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</si>
  <si>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</si>
  <si>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</si>
  <si>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</si>
  <si>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</si>
  <si>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</si>
  <si>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</si>
  <si>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</si>
  <si>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</si>
  <si>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</si>
  <si>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</si>
  <si>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</si>
  <si>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</si>
  <si>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</si>
  <si>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</si>
  <si>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</si>
  <si>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</si>
  <si>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</si>
  <si>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</si>
  <si>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</si>
  <si>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Traffic Signal Systems</t>
  </si>
  <si>
    <t>Metered Outdoor Lighting</t>
  </si>
  <si>
    <t>Subtotal Public Street Lighting</t>
  </si>
  <si>
    <t>Security Area Lighting-Contracts (PTL)</t>
  </si>
  <si>
    <t>Total Public Street Lighting</t>
  </si>
  <si>
    <t>Total Sales to Ultimate Customers</t>
  </si>
  <si>
    <t>Total Sales to Ultimate Customers (excluding Contract 2, AGA)</t>
  </si>
  <si>
    <t>Total Commercial &amp; Industrial (excluding Contract 2, AGA)</t>
  </si>
  <si>
    <t>UAE COS - RMP COS</t>
  </si>
  <si>
    <t>As-Filed COS Study</t>
  </si>
  <si>
    <t xml:space="preserve">$ Diff. from </t>
  </si>
  <si>
    <t>Current Rev.</t>
  </si>
  <si>
    <t>RMP (JRS-3)</t>
  </si>
  <si>
    <t xml:space="preserve">Revenue Credit Transmission Voltage Proportion </t>
  </si>
  <si>
    <t xml:space="preserve">Revenue Credit Distribution Voltage Proportion </t>
  </si>
  <si>
    <t xml:space="preserve">Difference from RMP </t>
  </si>
  <si>
    <t xml:space="preserve">           7.72% = Target Return on Rate Base</t>
  </si>
  <si>
    <t xml:space="preserve">Impact of UAE Recommended Revenue Credit Functionalization </t>
  </si>
  <si>
    <t>Data Source: Exhibit RMP___(JRS-5).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</si>
</sst>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00%"/>
    <numFmt numFmtId="167" formatCode="0_)"/>
    <numFmt numFmtId="168" formatCode="General_)"/>
    <numFmt numFmtId="169" formatCode="_(* #,##0_);_(* \(#,##0\);_(* &quot;-&quot;??_);_(@_)"/>
    <numFmt numFmtId="170" formatCode="&quot;$&quot;#,##0.0000_);\(&quot;$&quot;#,##0.0000\)"/>
    <numFmt numFmtId="171" formatCode="_(&quot;$&quot;* #,##0_);_(&quot;$&quot;* \(#,##0\);_(&quot;$&quot;* &quot;-&quot;??_);_(@_)"/>
    <numFmt numFmtId="172" formatCode="_(&quot;$&quot;* #,##0.0_);_(&quot;$&quot;* \(#,##0.0\);_(&quot;$&quot;* &quot;-&quot;??_);_(@_)"/>
    <numFmt numFmtId="173" formatCode="&quot;$&quot;###0;[Red]\(&quot;$&quot;###0\)"/>
    <numFmt numFmtId="174" formatCode="0.0"/>
    <numFmt numFmtId="175" formatCode="&quot;$&quot;#,##0.00"/>
    <numFmt numFmtId="176" formatCode="mmm\ dd\,\ yyyy"/>
  </numFmts>
  <fonts count="45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Swiss"/>
      <family val="2"/>
    </font>
    <font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sz val="11"/>
      <color indexed="12"/>
      <name val="Times New Roman"/>
      <family val="1"/>
    </font>
    <font>
      <sz val="11"/>
      <color rgb="FF0000FF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SWISS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1"/>
      <color indexed="8"/>
      <name val="Century Schoolbook"/>
      <family val="2"/>
    </font>
    <font>
      <b/>
      <sz val="12"/>
      <name val="Arial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sz val="16"/>
      <name val="Times New Roman"/>
      <family val="1"/>
    </font>
    <font>
      <b/>
      <sz val="2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9"/>
      <name val="Times New Roman"/>
      <family val="1"/>
    </font>
    <font>
      <sz val="8"/>
      <name val="Times New Roman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</borders>
  <cellStyleXfs count="225">
    <xf numFmtId="0" fontId="0" fillId="0" borderId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/>
    <xf numFmtId="0" fontId="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6" fillId="0" borderId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5" fillId="0" borderId="0" applyFont="0" applyFill="0" applyBorder="0" applyProtection="0">
      <alignment horizontal="right"/>
    </xf>
    <xf numFmtId="0" fontId="16" fillId="0" borderId="0" applyFont="0" applyFill="0" applyBorder="0" applyAlignment="0" applyProtection="0">
      <alignment horizontal="left"/>
    </xf>
    <xf numFmtId="174" fontId="17" fillId="0" borderId="0" applyNumberFormat="0" applyFill="0" applyBorder="0" applyAlignment="0" applyProtection="0"/>
    <xf numFmtId="169" fontId="18" fillId="0" borderId="0" applyFont="0" applyAlignment="0" applyProtection="0"/>
    <xf numFmtId="0" fontId="19" fillId="0" borderId="30" applyNumberForma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0" fillId="0" borderId="0"/>
    <xf numFmtId="0" fontId="6" fillId="0" borderId="0"/>
    <xf numFmtId="0" fontId="8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2" fillId="0" borderId="0"/>
    <xf numFmtId="168" fontId="23" fillId="0" borderId="0"/>
    <xf numFmtId="0" fontId="13" fillId="0" borderId="0"/>
    <xf numFmtId="0" fontId="12" fillId="0" borderId="0"/>
    <xf numFmtId="0" fontId="12" fillId="0" borderId="0"/>
    <xf numFmtId="0" fontId="6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8" fillId="0" borderId="0"/>
    <xf numFmtId="41" fontId="14" fillId="0" borderId="0" applyFont="0" applyFill="0" applyBorder="0" applyAlignment="0" applyProtection="0"/>
    <xf numFmtId="175" fontId="2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6" fillId="0" borderId="0"/>
    <xf numFmtId="0" fontId="8" fillId="0" borderId="0"/>
    <xf numFmtId="0" fontId="20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12" fontId="25" fillId="15" borderId="31">
      <alignment horizontal="left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7" fillId="16" borderId="32" applyNumberFormat="0" applyProtection="0">
      <alignment vertical="center"/>
    </xf>
    <xf numFmtId="4" fontId="28" fillId="17" borderId="32" applyNumberFormat="0" applyProtection="0">
      <alignment vertical="center"/>
    </xf>
    <xf numFmtId="4" fontId="27" fillId="17" borderId="32" applyNumberFormat="0" applyProtection="0">
      <alignment vertical="center"/>
    </xf>
    <xf numFmtId="0" fontId="27" fillId="17" borderId="32" applyNumberFormat="0" applyProtection="0">
      <alignment horizontal="left" vertical="top" indent="1"/>
    </xf>
    <xf numFmtId="4" fontId="27" fillId="18" borderId="0" applyNumberFormat="0" applyProtection="0">
      <alignment horizontal="left" vertical="center" indent="1"/>
    </xf>
    <xf numFmtId="4" fontId="27" fillId="18" borderId="32" applyNumberFormat="0" applyProtection="0"/>
    <xf numFmtId="4" fontId="29" fillId="19" borderId="32" applyNumberFormat="0" applyProtection="0">
      <alignment horizontal="right" vertical="center"/>
    </xf>
    <xf numFmtId="4" fontId="29" fillId="20" borderId="32" applyNumberFormat="0" applyProtection="0">
      <alignment horizontal="right" vertical="center"/>
    </xf>
    <xf numFmtId="4" fontId="29" fillId="21" borderId="32" applyNumberFormat="0" applyProtection="0">
      <alignment horizontal="right" vertical="center"/>
    </xf>
    <xf numFmtId="4" fontId="29" fillId="22" borderId="32" applyNumberFormat="0" applyProtection="0">
      <alignment horizontal="right" vertical="center"/>
    </xf>
    <xf numFmtId="4" fontId="29" fillId="23" borderId="32" applyNumberFormat="0" applyProtection="0">
      <alignment horizontal="right" vertical="center"/>
    </xf>
    <xf numFmtId="4" fontId="29" fillId="24" borderId="32" applyNumberFormat="0" applyProtection="0">
      <alignment horizontal="right" vertical="center"/>
    </xf>
    <xf numFmtId="4" fontId="29" fillId="25" borderId="32" applyNumberFormat="0" applyProtection="0">
      <alignment horizontal="right" vertical="center"/>
    </xf>
    <xf numFmtId="4" fontId="29" fillId="26" borderId="32" applyNumberFormat="0" applyProtection="0">
      <alignment horizontal="right" vertical="center"/>
    </xf>
    <xf numFmtId="4" fontId="29" fillId="27" borderId="32" applyNumberFormat="0" applyProtection="0">
      <alignment horizontal="right" vertical="center"/>
    </xf>
    <xf numFmtId="4" fontId="27" fillId="28" borderId="33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31" borderId="32" applyNumberFormat="0" applyProtection="0">
      <alignment horizontal="right" vertical="center"/>
    </xf>
    <xf numFmtId="4" fontId="31" fillId="0" borderId="0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0" fontId="8" fillId="30" borderId="32" applyNumberFormat="0" applyProtection="0">
      <alignment horizontal="left" vertical="center" indent="1"/>
    </xf>
    <xf numFmtId="0" fontId="8" fillId="30" borderId="32" applyNumberFormat="0" applyProtection="0">
      <alignment horizontal="left" vertical="top" indent="1"/>
    </xf>
    <xf numFmtId="0" fontId="8" fillId="18" borderId="32" applyNumberFormat="0" applyProtection="0">
      <alignment horizontal="left" vertical="center" indent="1"/>
    </xf>
    <xf numFmtId="0" fontId="8" fillId="18" borderId="32" applyNumberFormat="0" applyProtection="0">
      <alignment horizontal="left" vertical="top" indent="1"/>
    </xf>
    <xf numFmtId="0" fontId="8" fillId="32" borderId="32" applyNumberFormat="0" applyProtection="0">
      <alignment horizontal="left" vertical="center" indent="1"/>
    </xf>
    <xf numFmtId="0" fontId="8" fillId="32" borderId="32" applyNumberFormat="0" applyProtection="0">
      <alignment horizontal="left" vertical="top" indent="1"/>
    </xf>
    <xf numFmtId="0" fontId="8" fillId="33" borderId="32" applyNumberFormat="0" applyProtection="0">
      <alignment horizontal="left" vertical="center" indent="1"/>
    </xf>
    <xf numFmtId="0" fontId="8" fillId="33" borderId="32" applyNumberFormat="0" applyProtection="0">
      <alignment horizontal="left" vertical="top" indent="1"/>
    </xf>
    <xf numFmtId="4" fontId="29" fillId="34" borderId="32" applyNumberFormat="0" applyProtection="0">
      <alignment vertical="center"/>
    </xf>
    <xf numFmtId="4" fontId="33" fillId="34" borderId="32" applyNumberFormat="0" applyProtection="0">
      <alignment vertical="center"/>
    </xf>
    <xf numFmtId="4" fontId="29" fillId="34" borderId="32" applyNumberFormat="0" applyProtection="0">
      <alignment horizontal="left" vertical="center" indent="1"/>
    </xf>
    <xf numFmtId="0" fontId="29" fillId="34" borderId="32" applyNumberFormat="0" applyProtection="0">
      <alignment horizontal="left" vertical="top" indent="1"/>
    </xf>
    <xf numFmtId="4" fontId="29" fillId="35" borderId="34" applyNumberFormat="0" applyProtection="0">
      <alignment horizontal="right" vertical="center"/>
    </xf>
    <xf numFmtId="4" fontId="33" fillId="29" borderId="32" applyNumberFormat="0" applyProtection="0">
      <alignment horizontal="right" vertical="center"/>
    </xf>
    <xf numFmtId="4" fontId="29" fillId="35" borderId="32" applyNumberFormat="0" applyProtection="0">
      <alignment horizontal="left" vertical="center" indent="1"/>
    </xf>
    <xf numFmtId="0" fontId="29" fillId="18" borderId="32" applyNumberFormat="0" applyProtection="0">
      <alignment horizontal="center" vertical="top"/>
    </xf>
    <xf numFmtId="4" fontId="34" fillId="0" borderId="0" applyNumberFormat="0" applyProtection="0">
      <alignment horizontal="left" vertical="center"/>
    </xf>
    <xf numFmtId="4" fontId="35" fillId="36" borderId="0" applyNumberFormat="0" applyProtection="0">
      <alignment horizontal="left"/>
    </xf>
    <xf numFmtId="4" fontId="36" fillId="29" borderId="32" applyNumberFormat="0" applyProtection="0">
      <alignment horizontal="right" vertical="center"/>
    </xf>
    <xf numFmtId="176" fontId="8" fillId="0" borderId="0" applyFill="0" applyBorder="0" applyAlignment="0" applyProtection="0">
      <alignment wrapText="1"/>
    </xf>
    <xf numFmtId="0" fontId="37" fillId="0" borderId="0" applyNumberFormat="0" applyFill="0" applyBorder="0">
      <alignment horizontal="center" wrapText="1"/>
    </xf>
    <xf numFmtId="0" fontId="37" fillId="0" borderId="0" applyNumberFormat="0" applyFill="0" applyBorder="0">
      <alignment horizontal="center" wrapText="1"/>
    </xf>
    <xf numFmtId="168" fontId="38" fillId="0" borderId="0">
      <alignment horizontal="left"/>
    </xf>
    <xf numFmtId="37" fontId="19" fillId="17" borderId="0" applyNumberFormat="0" applyBorder="0" applyAlignment="0" applyProtection="0"/>
    <xf numFmtId="37" fontId="19" fillId="0" borderId="0"/>
    <xf numFmtId="3" fontId="39" fillId="37" borderId="35" applyProtection="0"/>
  </cellStyleXfs>
  <cellXfs count="172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0" borderId="0" xfId="0" applyFont="1"/>
    <xf numFmtId="41" fontId="3" fillId="0" borderId="0" xfId="0" applyNumberFormat="1" applyFont="1" applyFill="1" applyAlignment="1" applyProtection="1">
      <alignment horizontal="centerContinuous"/>
      <protection locked="0"/>
    </xf>
    <xf numFmtId="1" fontId="3" fillId="0" borderId="0" xfId="0" applyNumberFormat="1" applyFont="1" applyFill="1" applyAlignment="1">
      <alignment horizontal="centerContinuous"/>
    </xf>
    <xf numFmtId="1" fontId="3" fillId="0" borderId="0" xfId="0" applyNumberFormat="1" applyFont="1" applyFill="1" applyAlignment="1"/>
    <xf numFmtId="41" fontId="4" fillId="0" borderId="0" xfId="0" applyNumberFormat="1" applyFont="1" applyFill="1"/>
    <xf numFmtId="166" fontId="3" fillId="0" borderId="0" xfId="1" quotePrefix="1" applyNumberFormat="1" applyFont="1" applyFill="1" applyAlignment="1">
      <alignment horizontal="centerContinuous"/>
    </xf>
    <xf numFmtId="1" fontId="3" fillId="0" borderId="0" xfId="0" quotePrefix="1" applyNumberFormat="1" applyFont="1" applyFill="1" applyAlignment="1">
      <alignment horizontal="centerContinuous"/>
    </xf>
    <xf numFmtId="41" fontId="4" fillId="0" borderId="0" xfId="0" applyNumberFormat="1" applyFont="1" applyFill="1" applyProtection="1">
      <protection locked="0"/>
    </xf>
    <xf numFmtId="41" fontId="4" fillId="0" borderId="0" xfId="0" applyNumberFormat="1" applyFont="1" applyFill="1" applyAlignment="1" applyProtection="1">
      <alignment horizontal="center"/>
      <protection locked="0"/>
    </xf>
    <xf numFmtId="41" fontId="4" fillId="0" borderId="11" xfId="2" applyFont="1" applyFill="1" applyBorder="1" applyProtection="1">
      <protection locked="0"/>
    </xf>
    <xf numFmtId="41" fontId="4" fillId="0" borderId="12" xfId="2" applyFont="1" applyFill="1" applyBorder="1" applyProtection="1">
      <protection locked="0"/>
    </xf>
    <xf numFmtId="41" fontId="4" fillId="0" borderId="13" xfId="2" applyFont="1" applyFill="1" applyBorder="1" applyProtection="1">
      <protection locked="0"/>
    </xf>
    <xf numFmtId="41" fontId="4" fillId="0" borderId="14" xfId="2" applyFont="1" applyFill="1" applyBorder="1" applyAlignment="1" applyProtection="1">
      <alignment horizontal="center"/>
      <protection locked="0"/>
    </xf>
    <xf numFmtId="41" fontId="4" fillId="0" borderId="11" xfId="2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1" fontId="4" fillId="0" borderId="15" xfId="2" applyFont="1" applyFill="1" applyBorder="1" applyAlignment="1" applyProtection="1">
      <alignment horizontal="center"/>
      <protection locked="0"/>
    </xf>
    <xf numFmtId="41" fontId="4" fillId="0" borderId="16" xfId="2" applyFont="1" applyFill="1" applyBorder="1" applyAlignment="1" applyProtection="1">
      <alignment horizontal="center"/>
      <protection locked="0"/>
    </xf>
    <xf numFmtId="41" fontId="4" fillId="0" borderId="17" xfId="2" applyFont="1" applyFill="1" applyBorder="1" applyAlignment="1" applyProtection="1">
      <alignment horizontal="center"/>
      <protection locked="0"/>
    </xf>
    <xf numFmtId="41" fontId="4" fillId="0" borderId="18" xfId="2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1" fontId="4" fillId="0" borderId="20" xfId="2" applyFont="1" applyFill="1" applyBorder="1" applyAlignment="1" applyProtection="1">
      <alignment horizontal="center"/>
      <protection locked="0"/>
    </xf>
    <xf numFmtId="41" fontId="4" fillId="0" borderId="21" xfId="2" applyFont="1" applyFill="1" applyBorder="1" applyProtection="1">
      <protection locked="0"/>
    </xf>
    <xf numFmtId="41" fontId="4" fillId="0" borderId="22" xfId="2" applyFont="1" applyFill="1" applyBorder="1" applyAlignment="1" applyProtection="1">
      <alignment horizontal="center"/>
      <protection locked="0"/>
    </xf>
    <xf numFmtId="41" fontId="4" fillId="0" borderId="23" xfId="2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4" fillId="0" borderId="24" xfId="2" applyNumberFormat="1" applyFont="1" applyFill="1" applyBorder="1" applyAlignment="1" applyProtection="1">
      <alignment horizontal="center"/>
      <protection locked="0"/>
    </xf>
    <xf numFmtId="41" fontId="4" fillId="0" borderId="24" xfId="2" applyFont="1" applyFill="1" applyBorder="1" applyAlignment="1" applyProtection="1">
      <alignment horizontal="center"/>
      <protection locked="0"/>
    </xf>
    <xf numFmtId="41" fontId="4" fillId="0" borderId="24" xfId="2" applyFont="1" applyFill="1" applyBorder="1" applyProtection="1">
      <protection locked="0"/>
    </xf>
    <xf numFmtId="37" fontId="4" fillId="0" borderId="24" xfId="2" applyNumberFormat="1" applyFont="1" applyFill="1" applyBorder="1" applyProtection="1">
      <protection locked="0"/>
    </xf>
    <xf numFmtId="10" fontId="4" fillId="0" borderId="24" xfId="2" applyNumberFormat="1" applyFont="1" applyFill="1" applyBorder="1" applyProtection="1">
      <protection locked="0"/>
    </xf>
    <xf numFmtId="39" fontId="4" fillId="0" borderId="24" xfId="2" applyNumberFormat="1" applyFont="1" applyFill="1" applyBorder="1" applyProtection="1">
      <protection locked="0"/>
    </xf>
    <xf numFmtId="37" fontId="2" fillId="0" borderId="25" xfId="0" applyNumberFormat="1" applyFont="1" applyBorder="1"/>
    <xf numFmtId="10" fontId="2" fillId="0" borderId="26" xfId="0" applyNumberFormat="1" applyFont="1" applyBorder="1"/>
    <xf numFmtId="37" fontId="4" fillId="0" borderId="24" xfId="2" applyNumberFormat="1" applyFont="1" applyFill="1" applyBorder="1" applyAlignment="1" applyProtection="1">
      <alignment horizontal="center"/>
      <protection locked="0"/>
    </xf>
    <xf numFmtId="37" fontId="2" fillId="0" borderId="27" xfId="0" applyNumberFormat="1" applyFont="1" applyBorder="1"/>
    <xf numFmtId="10" fontId="2" fillId="0" borderId="28" xfId="0" applyNumberFormat="1" applyFont="1" applyBorder="1"/>
    <xf numFmtId="41" fontId="4" fillId="0" borderId="24" xfId="2" quotePrefix="1" applyFont="1" applyFill="1" applyBorder="1" applyAlignment="1" applyProtection="1">
      <alignment horizontal="center"/>
      <protection locked="0"/>
    </xf>
    <xf numFmtId="0" fontId="4" fillId="0" borderId="24" xfId="2" applyNumberFormat="1" applyFont="1" applyFill="1" applyBorder="1" applyAlignment="1" applyProtection="1">
      <alignment horizontal="center"/>
      <protection locked="0"/>
    </xf>
    <xf numFmtId="37" fontId="4" fillId="0" borderId="15" xfId="2" applyNumberFormat="1" applyFont="1" applyFill="1" applyBorder="1" applyAlignment="1" applyProtection="1">
      <alignment horizontal="center"/>
      <protection locked="0"/>
    </xf>
    <xf numFmtId="41" fontId="4" fillId="0" borderId="15" xfId="2" applyFont="1" applyFill="1" applyBorder="1" applyProtection="1">
      <protection locked="0"/>
    </xf>
    <xf numFmtId="37" fontId="4" fillId="0" borderId="15" xfId="2" applyNumberFormat="1" applyFont="1" applyFill="1" applyBorder="1" applyProtection="1">
      <protection locked="0"/>
    </xf>
    <xf numFmtId="39" fontId="4" fillId="0" borderId="15" xfId="2" applyNumberFormat="1" applyFont="1" applyFill="1" applyBorder="1" applyProtection="1">
      <protection locked="0"/>
    </xf>
    <xf numFmtId="10" fontId="4" fillId="0" borderId="15" xfId="2" applyNumberFormat="1" applyFont="1" applyFill="1" applyBorder="1" applyProtection="1">
      <protection locked="0"/>
    </xf>
    <xf numFmtId="37" fontId="2" fillId="0" borderId="17" xfId="0" applyNumberFormat="1" applyFont="1" applyBorder="1"/>
    <xf numFmtId="10" fontId="2" fillId="0" borderId="19" xfId="0" applyNumberFormat="1" applyFont="1" applyBorder="1"/>
    <xf numFmtId="10" fontId="4" fillId="0" borderId="15" xfId="1" applyNumberFormat="1" applyFont="1" applyFill="1" applyBorder="1" applyProtection="1">
      <protection locked="0"/>
    </xf>
    <xf numFmtId="37" fontId="4" fillId="0" borderId="20" xfId="2" applyNumberFormat="1" applyFont="1" applyFill="1" applyBorder="1" applyAlignment="1" applyProtection="1">
      <alignment horizontal="center"/>
      <protection locked="0"/>
    </xf>
    <xf numFmtId="41" fontId="4" fillId="0" borderId="20" xfId="2" applyFont="1" applyFill="1" applyBorder="1" applyProtection="1">
      <protection locked="0"/>
    </xf>
    <xf numFmtId="5" fontId="4" fillId="0" borderId="20" xfId="2" applyNumberFormat="1" applyFont="1" applyFill="1" applyBorder="1" applyProtection="1">
      <protection locked="0"/>
    </xf>
    <xf numFmtId="10" fontId="4" fillId="0" borderId="20" xfId="2" applyNumberFormat="1" applyFont="1" applyFill="1" applyBorder="1" applyProtection="1">
      <protection locked="0"/>
    </xf>
    <xf numFmtId="39" fontId="4" fillId="0" borderId="20" xfId="2" applyNumberFormat="1" applyFont="1" applyFill="1" applyBorder="1" applyProtection="1">
      <protection locked="0"/>
    </xf>
    <xf numFmtId="37" fontId="4" fillId="0" borderId="20" xfId="2" applyNumberFormat="1" applyFont="1" applyFill="1" applyBorder="1" applyProtection="1">
      <protection locked="0"/>
    </xf>
    <xf numFmtId="10" fontId="4" fillId="0" borderId="20" xfId="1" applyNumberFormat="1" applyFont="1" applyFill="1" applyBorder="1" applyProtection="1">
      <protection locked="0"/>
    </xf>
    <xf numFmtId="37" fontId="2" fillId="0" borderId="22" xfId="0" applyNumberFormat="1" applyFont="1" applyBorder="1"/>
    <xf numFmtId="10" fontId="2" fillId="0" borderId="10" xfId="0" applyNumberFormat="1" applyFont="1" applyBorder="1"/>
    <xf numFmtId="168" fontId="7" fillId="0" borderId="0" xfId="3" applyNumberFormat="1" applyFont="1" applyAlignment="1"/>
    <xf numFmtId="168" fontId="3" fillId="0" borderId="0" xfId="3" applyFont="1" applyAlignment="1">
      <alignment horizontal="centerContinuous"/>
    </xf>
    <xf numFmtId="168" fontId="3" fillId="0" borderId="0" xfId="3" applyFont="1" applyFill="1" applyAlignment="1">
      <alignment horizontal="centerContinuous"/>
    </xf>
    <xf numFmtId="168" fontId="4" fillId="0" borderId="0" xfId="3" applyFont="1" applyFill="1" applyAlignment="1">
      <alignment horizontal="centerContinuous"/>
    </xf>
    <xf numFmtId="10" fontId="4" fillId="0" borderId="0" xfId="3" applyNumberFormat="1" applyFont="1" applyFill="1" applyAlignment="1">
      <alignment horizontal="centerContinuous"/>
    </xf>
    <xf numFmtId="2" fontId="4" fillId="0" borderId="0" xfId="3" applyNumberFormat="1" applyFont="1" applyFill="1" applyAlignment="1">
      <alignment horizontal="centerContinuous"/>
    </xf>
    <xf numFmtId="0" fontId="4" fillId="0" borderId="0" xfId="4" applyFont="1" applyAlignment="1">
      <alignment horizontal="centerContinuous"/>
    </xf>
    <xf numFmtId="168" fontId="4" fillId="0" borderId="0" xfId="3" applyFont="1"/>
    <xf numFmtId="168" fontId="3" fillId="0" borderId="0" xfId="3" applyFont="1" applyFill="1" applyAlignment="1">
      <alignment horizontal="center"/>
    </xf>
    <xf numFmtId="168" fontId="3" fillId="0" borderId="0" xfId="3" applyFont="1" applyAlignment="1">
      <alignment horizontal="center"/>
    </xf>
    <xf numFmtId="168" fontId="3" fillId="0" borderId="0" xfId="3" applyFont="1" applyFill="1" applyBorder="1" applyAlignment="1">
      <alignment horizontal="center"/>
    </xf>
    <xf numFmtId="168" fontId="3" fillId="0" borderId="0" xfId="3" applyFont="1" applyFill="1" applyBorder="1" applyAlignment="1">
      <alignment horizontal="centerContinuous"/>
    </xf>
    <xf numFmtId="2" fontId="4" fillId="0" borderId="0" xfId="3" applyNumberFormat="1" applyFont="1" applyFill="1" applyBorder="1" applyAlignment="1">
      <alignment horizontal="centerContinuous"/>
    </xf>
    <xf numFmtId="168" fontId="3" fillId="0" borderId="0" xfId="3" applyFont="1"/>
    <xf numFmtId="10" fontId="3" fillId="0" borderId="0" xfId="3" applyNumberFormat="1" applyFont="1" applyFill="1" applyBorder="1" applyAlignment="1">
      <alignment horizontal="centerContinuous"/>
    </xf>
    <xf numFmtId="2" fontId="3" fillId="0" borderId="0" xfId="3" applyNumberFormat="1" applyFont="1" applyFill="1" applyBorder="1" applyAlignment="1">
      <alignment horizontal="center"/>
    </xf>
    <xf numFmtId="168" fontId="3" fillId="0" borderId="2" xfId="3" applyFont="1" applyBorder="1" applyAlignment="1">
      <alignment horizontal="center"/>
    </xf>
    <xf numFmtId="168" fontId="3" fillId="0" borderId="2" xfId="3" applyFont="1" applyFill="1" applyBorder="1" applyAlignment="1">
      <alignment horizontal="center"/>
    </xf>
    <xf numFmtId="168" fontId="3" fillId="0" borderId="2" xfId="3" quotePrefix="1" applyFont="1" applyFill="1" applyBorder="1" applyAlignment="1">
      <alignment horizontal="center"/>
    </xf>
    <xf numFmtId="10" fontId="3" fillId="0" borderId="2" xfId="3" applyNumberFormat="1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/>
    </xf>
    <xf numFmtId="37" fontId="3" fillId="0" borderId="0" xfId="3" quotePrefix="1" applyNumberFormat="1" applyFont="1" applyAlignment="1">
      <alignment horizontal="center"/>
    </xf>
    <xf numFmtId="37" fontId="3" fillId="0" borderId="0" xfId="3" quotePrefix="1" applyNumberFormat="1" applyFont="1" applyFill="1" applyAlignment="1">
      <alignment horizontal="center"/>
    </xf>
    <xf numFmtId="168" fontId="3" fillId="0" borderId="0" xfId="3" applyFont="1" applyFill="1"/>
    <xf numFmtId="168" fontId="3" fillId="0" borderId="0" xfId="3" applyFont="1" applyAlignment="1">
      <alignment horizontal="left"/>
    </xf>
    <xf numFmtId="168" fontId="4" fillId="0" borderId="0" xfId="3" applyFont="1" applyFill="1"/>
    <xf numFmtId="10" fontId="4" fillId="0" borderId="0" xfId="3" applyNumberFormat="1" applyFont="1" applyFill="1"/>
    <xf numFmtId="2" fontId="4" fillId="0" borderId="0" xfId="3" applyNumberFormat="1" applyFont="1" applyFill="1"/>
    <xf numFmtId="168" fontId="4" fillId="0" borderId="0" xfId="3" applyFont="1" applyAlignment="1">
      <alignment horizontal="left" indent="1"/>
    </xf>
    <xf numFmtId="168" fontId="4" fillId="0" borderId="0" xfId="3" applyFont="1" applyAlignment="1">
      <alignment horizontal="right"/>
    </xf>
    <xf numFmtId="169" fontId="4" fillId="0" borderId="0" xfId="5" applyNumberFormat="1" applyFont="1" applyFill="1"/>
    <xf numFmtId="5" fontId="4" fillId="0" borderId="0" xfId="6" applyNumberFormat="1" applyFont="1" applyFill="1"/>
    <xf numFmtId="5" fontId="4" fillId="0" borderId="0" xfId="3" applyNumberFormat="1" applyFont="1" applyFill="1"/>
    <xf numFmtId="10" fontId="2" fillId="0" borderId="0" xfId="6" applyNumberFormat="1" applyFont="1" applyFill="1"/>
    <xf numFmtId="168" fontId="4" fillId="0" borderId="0" xfId="3" applyFont="1" applyBorder="1" applyAlignment="1">
      <alignment horizontal="right"/>
    </xf>
    <xf numFmtId="168" fontId="4" fillId="0" borderId="2" xfId="3" applyFont="1" applyFill="1" applyBorder="1" applyAlignment="1">
      <alignment horizontal="right"/>
    </xf>
    <xf numFmtId="5" fontId="4" fillId="0" borderId="2" xfId="6" applyNumberFormat="1" applyFont="1" applyFill="1" applyBorder="1"/>
    <xf numFmtId="2" fontId="4" fillId="0" borderId="2" xfId="3" applyNumberFormat="1" applyFont="1" applyFill="1" applyBorder="1"/>
    <xf numFmtId="168" fontId="3" fillId="0" borderId="0" xfId="3" applyFont="1" applyAlignment="1"/>
    <xf numFmtId="170" fontId="4" fillId="0" borderId="0" xfId="6" applyNumberFormat="1" applyFont="1" applyFill="1"/>
    <xf numFmtId="168" fontId="4" fillId="0" borderId="0" xfId="3" quotePrefix="1" applyFont="1" applyAlignment="1">
      <alignment horizontal="right"/>
    </xf>
    <xf numFmtId="169" fontId="4" fillId="0" borderId="2" xfId="5" applyNumberFormat="1" applyFont="1" applyFill="1" applyBorder="1"/>
    <xf numFmtId="10" fontId="2" fillId="0" borderId="2" xfId="6" applyNumberFormat="1" applyFont="1" applyFill="1" applyBorder="1"/>
    <xf numFmtId="168" fontId="11" fillId="0" borderId="0" xfId="3" applyFont="1"/>
    <xf numFmtId="168" fontId="10" fillId="0" borderId="0" xfId="3" applyFont="1" applyFill="1"/>
    <xf numFmtId="3" fontId="4" fillId="0" borderId="0" xfId="3" applyNumberFormat="1" applyFont="1" applyFill="1"/>
    <xf numFmtId="5" fontId="4" fillId="0" borderId="0" xfId="3" applyNumberFormat="1" applyFont="1" applyFill="1" applyBorder="1"/>
    <xf numFmtId="5" fontId="4" fillId="0" borderId="0" xfId="6" applyNumberFormat="1" applyFont="1" applyFill="1" applyBorder="1"/>
    <xf numFmtId="168" fontId="4" fillId="0" borderId="0" xfId="3" applyFont="1" applyFill="1" applyBorder="1"/>
    <xf numFmtId="10" fontId="2" fillId="0" borderId="0" xfId="6" applyNumberFormat="1" applyFont="1" applyFill="1" applyBorder="1"/>
    <xf numFmtId="2" fontId="4" fillId="0" borderId="0" xfId="3" applyNumberFormat="1" applyFont="1" applyFill="1" applyBorder="1"/>
    <xf numFmtId="168" fontId="11" fillId="0" borderId="0" xfId="3" applyFont="1" applyAlignment="1">
      <alignment horizontal="left" indent="1"/>
    </xf>
    <xf numFmtId="171" fontId="4" fillId="0" borderId="0" xfId="6" applyNumberFormat="1" applyFont="1" applyFill="1"/>
    <xf numFmtId="171" fontId="4" fillId="0" borderId="0" xfId="3" applyNumberFormat="1" applyFont="1" applyFill="1"/>
    <xf numFmtId="169" fontId="4" fillId="0" borderId="2" xfId="5" applyNumberFormat="1" applyFont="1" applyFill="1" applyBorder="1" applyAlignment="1">
      <alignment horizontal="right"/>
    </xf>
    <xf numFmtId="168" fontId="4" fillId="0" borderId="0" xfId="3" applyFont="1" applyBorder="1"/>
    <xf numFmtId="5" fontId="4" fillId="0" borderId="2" xfId="5" applyNumberFormat="1" applyFont="1" applyFill="1" applyBorder="1"/>
    <xf numFmtId="169" fontId="4" fillId="0" borderId="29" xfId="5" applyNumberFormat="1" applyFont="1" applyFill="1" applyBorder="1"/>
    <xf numFmtId="5" fontId="4" fillId="0" borderId="29" xfId="6" applyNumberFormat="1" applyFont="1" applyFill="1" applyBorder="1"/>
    <xf numFmtId="10" fontId="2" fillId="0" borderId="29" xfId="6" applyNumberFormat="1" applyFont="1" applyFill="1" applyBorder="1"/>
    <xf numFmtId="2" fontId="4" fillId="0" borderId="29" xfId="3" applyNumberFormat="1" applyFont="1" applyFill="1" applyBorder="1"/>
    <xf numFmtId="168" fontId="3" fillId="0" borderId="0" xfId="3" applyFont="1" applyBorder="1"/>
    <xf numFmtId="168" fontId="4" fillId="0" borderId="0" xfId="3" applyFont="1" applyFill="1" applyBorder="1" applyAlignment="1">
      <alignment horizontal="right"/>
    </xf>
    <xf numFmtId="10" fontId="2" fillId="0" borderId="0" xfId="3" applyNumberFormat="1" applyFont="1" applyFill="1" applyBorder="1"/>
    <xf numFmtId="10" fontId="4" fillId="0" borderId="0" xfId="3" applyNumberFormat="1" applyFont="1" applyFill="1" applyBorder="1" applyAlignment="1">
      <alignment horizontal="right"/>
    </xf>
    <xf numFmtId="10" fontId="4" fillId="0" borderId="0" xfId="3" quotePrefix="1" applyNumberFormat="1" applyFont="1" applyFill="1" applyBorder="1" applyAlignment="1">
      <alignment horizontal="right"/>
    </xf>
    <xf numFmtId="10" fontId="9" fillId="0" borderId="0" xfId="3" applyNumberFormat="1" applyFont="1" applyFill="1" applyBorder="1"/>
    <xf numFmtId="10" fontId="4" fillId="0" borderId="0" xfId="3" quotePrefix="1" applyNumberFormat="1" applyFont="1" applyFill="1"/>
    <xf numFmtId="168" fontId="4" fillId="0" borderId="0" xfId="3" applyFont="1" applyFill="1" applyAlignment="1">
      <alignment horizontal="right"/>
    </xf>
    <xf numFmtId="0" fontId="2" fillId="0" borderId="0" xfId="0" applyFont="1" applyBorder="1"/>
    <xf numFmtId="5" fontId="2" fillId="0" borderId="0" xfId="6" applyNumberFormat="1" applyFont="1" applyFill="1"/>
    <xf numFmtId="168" fontId="2" fillId="0" borderId="0" xfId="7" applyFont="1" applyFill="1"/>
    <xf numFmtId="5" fontId="2" fillId="0" borderId="2" xfId="6" applyNumberFormat="1" applyFont="1" applyFill="1" applyBorder="1"/>
    <xf numFmtId="168" fontId="2" fillId="0" borderId="0" xfId="3" applyFont="1" applyFill="1"/>
    <xf numFmtId="5" fontId="2" fillId="0" borderId="0" xfId="6" applyNumberFormat="1" applyFont="1" applyFill="1" applyBorder="1"/>
    <xf numFmtId="168" fontId="2" fillId="0" borderId="0" xfId="3" applyFont="1" applyFill="1" applyBorder="1"/>
    <xf numFmtId="171" fontId="2" fillId="0" borderId="0" xfId="6" applyNumberFormat="1" applyFont="1" applyFill="1"/>
    <xf numFmtId="171" fontId="2" fillId="0" borderId="0" xfId="3" applyNumberFormat="1" applyFont="1" applyFill="1"/>
    <xf numFmtId="5" fontId="2" fillId="0" borderId="2" xfId="5" applyNumberFormat="1" applyFont="1" applyFill="1" applyBorder="1"/>
    <xf numFmtId="5" fontId="2" fillId="0" borderId="29" xfId="6" applyNumberFormat="1" applyFont="1" applyFill="1" applyBorder="1"/>
    <xf numFmtId="10" fontId="2" fillId="0" borderId="0" xfId="3" applyNumberFormat="1" applyFont="1" applyFill="1"/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2" xfId="0" applyFont="1" applyBorder="1" applyAlignment="1">
      <alignment horizontal="center"/>
    </xf>
    <xf numFmtId="0" fontId="26" fillId="0" borderId="0" xfId="0" applyFont="1" applyBorder="1"/>
    <xf numFmtId="164" fontId="26" fillId="0" borderId="0" xfId="0" applyNumberFormat="1" applyFont="1" applyBorder="1"/>
    <xf numFmtId="164" fontId="26" fillId="0" borderId="2" xfId="0" applyNumberFormat="1" applyFont="1" applyBorder="1"/>
    <xf numFmtId="0" fontId="26" fillId="0" borderId="3" xfId="0" applyFont="1" applyBorder="1"/>
    <xf numFmtId="10" fontId="26" fillId="0" borderId="4" xfId="1" applyNumberFormat="1" applyFont="1" applyBorder="1"/>
    <xf numFmtId="0" fontId="26" fillId="0" borderId="5" xfId="0" applyFont="1" applyBorder="1"/>
    <xf numFmtId="10" fontId="26" fillId="0" borderId="6" xfId="1" applyNumberFormat="1" applyFont="1" applyBorder="1"/>
    <xf numFmtId="172" fontId="2" fillId="0" borderId="0" xfId="6" applyNumberFormat="1" applyFont="1" applyFill="1" applyBorder="1"/>
    <xf numFmtId="10" fontId="2" fillId="0" borderId="0" xfId="3" applyNumberFormat="1" applyFont="1" applyFill="1" applyBorder="1" applyAlignment="1">
      <alignment horizontal="center"/>
    </xf>
    <xf numFmtId="10" fontId="2" fillId="0" borderId="0" xfId="3" quotePrefix="1" applyNumberFormat="1" applyFont="1" applyFill="1" applyBorder="1"/>
    <xf numFmtId="5" fontId="2" fillId="0" borderId="0" xfId="3" applyNumberFormat="1" applyFont="1" applyFill="1" applyBorder="1"/>
    <xf numFmtId="0" fontId="42" fillId="0" borderId="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 applyProtection="1">
      <alignment horizontal="left"/>
      <protection locked="0"/>
    </xf>
    <xf numFmtId="0" fontId="2" fillId="0" borderId="3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41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8" fontId="43" fillId="0" borderId="0" xfId="3" applyNumberFormat="1" applyFont="1" applyAlignment="1">
      <alignment horizontal="center"/>
    </xf>
    <xf numFmtId="168" fontId="40" fillId="0" borderId="0" xfId="3" applyFont="1" applyFill="1" applyAlignment="1">
      <alignment horizontal="center"/>
    </xf>
    <xf numFmtId="168" fontId="3" fillId="0" borderId="0" xfId="3" applyFont="1" applyAlignment="1">
      <alignment horizontal="center"/>
    </xf>
  </cellXfs>
  <cellStyles count="225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Comma 10" xfId="20"/>
    <cellStyle name="Comma 11" xfId="5"/>
    <cellStyle name="Comma 19" xfId="21"/>
    <cellStyle name="Comma 2" xfId="22"/>
    <cellStyle name="Comma 2 10" xfId="23"/>
    <cellStyle name="Comma 2 11" xfId="24"/>
    <cellStyle name="Comma 2 12" xfId="25"/>
    <cellStyle name="Comma 2 13" xfId="26"/>
    <cellStyle name="Comma 2 14" xfId="27"/>
    <cellStyle name="Comma 2 15" xfId="28"/>
    <cellStyle name="Comma 2 16" xfId="29"/>
    <cellStyle name="Comma 2 17" xfId="30"/>
    <cellStyle name="Comma 2 18" xfId="31"/>
    <cellStyle name="Comma 2 19" xfId="32"/>
    <cellStyle name="Comma 2 2" xfId="33"/>
    <cellStyle name="Comma 2 20" xfId="34"/>
    <cellStyle name="Comma 2 21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21" xfId="43"/>
    <cellStyle name="Comma 22" xfId="44"/>
    <cellStyle name="Comma 3" xfId="45"/>
    <cellStyle name="Comma 4" xfId="46"/>
    <cellStyle name="Comma 5" xfId="47"/>
    <cellStyle name="Comma 6" xfId="48"/>
    <cellStyle name="Comma 6 2" xfId="49"/>
    <cellStyle name="Comma 7" xfId="50"/>
    <cellStyle name="Comma 8" xfId="51"/>
    <cellStyle name="Currency 2" xfId="6"/>
    <cellStyle name="Currency 2 10" xfId="52"/>
    <cellStyle name="Currency 2 11" xfId="53"/>
    <cellStyle name="Currency 2 12" xfId="54"/>
    <cellStyle name="Currency 2 13" xfId="55"/>
    <cellStyle name="Currency 2 14" xfId="56"/>
    <cellStyle name="Currency 2 15" xfId="57"/>
    <cellStyle name="Currency 2 16" xfId="58"/>
    <cellStyle name="Currency 2 17" xfId="59"/>
    <cellStyle name="Currency 2 18" xfId="60"/>
    <cellStyle name="Currency 2 19" xfId="61"/>
    <cellStyle name="Currency 2 2" xfId="62"/>
    <cellStyle name="Currency 2 20" xfId="63"/>
    <cellStyle name="Currency 2 21" xfId="64"/>
    <cellStyle name="Currency 2 3" xfId="65"/>
    <cellStyle name="Currency 2 4" xfId="66"/>
    <cellStyle name="Currency 2 5" xfId="67"/>
    <cellStyle name="Currency 2 6" xfId="68"/>
    <cellStyle name="Currency 2 7" xfId="69"/>
    <cellStyle name="Currency 2 8" xfId="70"/>
    <cellStyle name="Currency 2 9" xfId="71"/>
    <cellStyle name="Currency 3" xfId="72"/>
    <cellStyle name="Currency 4" xfId="73"/>
    <cellStyle name="Currency 5" xfId="74"/>
    <cellStyle name="Currency 6" xfId="75"/>
    <cellStyle name="Currency No Comma" xfId="76"/>
    <cellStyle name="General" xfId="77"/>
    <cellStyle name="MCP" xfId="78"/>
    <cellStyle name="nONE" xfId="79"/>
    <cellStyle name="noninput" xfId="80"/>
    <cellStyle name="Normal" xfId="0" builtinId="0"/>
    <cellStyle name="Normal 10" xfId="81"/>
    <cellStyle name="Normal 11" xfId="82"/>
    <cellStyle name="Normal 11 2" xfId="4"/>
    <cellStyle name="Normal 12" xfId="83"/>
    <cellStyle name="Normal 13" xfId="84"/>
    <cellStyle name="Normal 14" xfId="85"/>
    <cellStyle name="Normal 15" xfId="86"/>
    <cellStyle name="Normal 16" xfId="87"/>
    <cellStyle name="Normal 17" xfId="88"/>
    <cellStyle name="Normal 18" xfId="89"/>
    <cellStyle name="Normal 19" xfId="90"/>
    <cellStyle name="Normal 2" xfId="91"/>
    <cellStyle name="Normal 2 10" xfId="92"/>
    <cellStyle name="Normal 2 11" xfId="93"/>
    <cellStyle name="Normal 2 12" xfId="94"/>
    <cellStyle name="Normal 2 13" xfId="95"/>
    <cellStyle name="Normal 2 14" xfId="96"/>
    <cellStyle name="Normal 2 15" xfId="97"/>
    <cellStyle name="Normal 2 16" xfId="98"/>
    <cellStyle name="Normal 2 17" xfId="99"/>
    <cellStyle name="Normal 2 18" xfId="100"/>
    <cellStyle name="Normal 2 19" xfId="101"/>
    <cellStyle name="Normal 2 2" xfId="102"/>
    <cellStyle name="Normal 2 2 2" xfId="103"/>
    <cellStyle name="Normal 2 20" xfId="104"/>
    <cellStyle name="Normal 2 21" xfId="105"/>
    <cellStyle name="Normal 2 22" xfId="106"/>
    <cellStyle name="Normal 2 23" xfId="107"/>
    <cellStyle name="Normal 2 24" xfId="108"/>
    <cellStyle name="Normal 2 3" xfId="109"/>
    <cellStyle name="Normal 2 4" xfId="110"/>
    <cellStyle name="Normal 2 5" xfId="111"/>
    <cellStyle name="Normal 2 6" xfId="112"/>
    <cellStyle name="Normal 2 7" xfId="113"/>
    <cellStyle name="Normal 2 8" xfId="114"/>
    <cellStyle name="Normal 2 9" xfId="115"/>
    <cellStyle name="Normal 2_Book1" xfId="116"/>
    <cellStyle name="Normal 20" xfId="117"/>
    <cellStyle name="Normal 21" xfId="118"/>
    <cellStyle name="Normal 22" xfId="119"/>
    <cellStyle name="Normal 23" xfId="120"/>
    <cellStyle name="Normal 24" xfId="121"/>
    <cellStyle name="Normal 25" xfId="122"/>
    <cellStyle name="Normal 25 2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0" xfId="130"/>
    <cellStyle name="Normal 31" xfId="131"/>
    <cellStyle name="Normal 32" xfId="132"/>
    <cellStyle name="Normal 4" xfId="133"/>
    <cellStyle name="Normal 4 2" xfId="134"/>
    <cellStyle name="Normal 5" xfId="135"/>
    <cellStyle name="Normal 5 2" xfId="136"/>
    <cellStyle name="Normal 6" xfId="137"/>
    <cellStyle name="Normal 7" xfId="138"/>
    <cellStyle name="Normal 8" xfId="139"/>
    <cellStyle name="Normal 9" xfId="140"/>
    <cellStyle name="Normal_Blocking 03-01" xfId="3"/>
    <cellStyle name="Normal_Blocking 03-01 2" xfId="7"/>
    <cellStyle name="Normal_Ut98 COS Study 5 Function" xfId="2"/>
    <cellStyle name="Note 2" xfId="141"/>
    <cellStyle name="Note 3" xfId="142"/>
    <cellStyle name="Password" xfId="143"/>
    <cellStyle name="Percent" xfId="1" builtinId="5"/>
    <cellStyle name="Percent 10" xfId="144"/>
    <cellStyle name="Percent 11" xfId="145"/>
    <cellStyle name="Percent 13" xfId="146"/>
    <cellStyle name="Percent 19" xfId="147"/>
    <cellStyle name="Percent 2" xfId="148"/>
    <cellStyle name="Percent 2 10" xfId="149"/>
    <cellStyle name="Percent 2 11" xfId="150"/>
    <cellStyle name="Percent 2 12" xfId="151"/>
    <cellStyle name="Percent 2 13" xfId="152"/>
    <cellStyle name="Percent 2 14" xfId="153"/>
    <cellStyle name="Percent 2 15" xfId="154"/>
    <cellStyle name="Percent 2 16" xfId="155"/>
    <cellStyle name="Percent 2 17" xfId="156"/>
    <cellStyle name="Percent 2 18" xfId="157"/>
    <cellStyle name="Percent 2 19" xfId="158"/>
    <cellStyle name="Percent 2 2" xfId="159"/>
    <cellStyle name="Percent 2 20" xfId="160"/>
    <cellStyle name="Percent 2 21" xfId="161"/>
    <cellStyle name="Percent 2 3" xfId="162"/>
    <cellStyle name="Percent 2 4" xfId="163"/>
    <cellStyle name="Percent 2 5" xfId="164"/>
    <cellStyle name="Percent 2 6" xfId="165"/>
    <cellStyle name="Percent 2 7" xfId="166"/>
    <cellStyle name="Percent 2 8" xfId="167"/>
    <cellStyle name="Percent 2 9" xfId="168"/>
    <cellStyle name="Percent 22" xfId="169"/>
    <cellStyle name="Percent 3" xfId="170"/>
    <cellStyle name="Percent 4" xfId="171"/>
    <cellStyle name="Percent 5" xfId="172"/>
    <cellStyle name="Percent 6" xfId="173"/>
    <cellStyle name="Percent 7" xfId="174"/>
    <cellStyle name="Percent 8" xfId="175"/>
    <cellStyle name="Percent 8 2" xfId="176"/>
    <cellStyle name="Percent 9" xfId="177"/>
    <cellStyle name="SAPBEXaggData" xfId="178"/>
    <cellStyle name="SAPBEXaggDataEmph" xfId="179"/>
    <cellStyle name="SAPBEXaggItem" xfId="180"/>
    <cellStyle name="SAPBEXaggItemX" xfId="181"/>
    <cellStyle name="SAPBEXchaText" xfId="182"/>
    <cellStyle name="SAPBEXchaText 2" xfId="183"/>
    <cellStyle name="SAPBEXexcBad7" xfId="184"/>
    <cellStyle name="SAPBEXexcBad8" xfId="185"/>
    <cellStyle name="SAPBEXexcBad9" xfId="186"/>
    <cellStyle name="SAPBEXexcCritical4" xfId="187"/>
    <cellStyle name="SAPBEXexcCritical5" xfId="188"/>
    <cellStyle name="SAPBEXexcCritical6" xfId="189"/>
    <cellStyle name="SAPBEXexcGood1" xfId="190"/>
    <cellStyle name="SAPBEXexcGood2" xfId="191"/>
    <cellStyle name="SAPBEXexcGood3" xfId="192"/>
    <cellStyle name="SAPBEXfilterDrill" xfId="193"/>
    <cellStyle name="SAPBEXfilterItem" xfId="194"/>
    <cellStyle name="SAPBEXfilterText" xfId="195"/>
    <cellStyle name="SAPBEXformats" xfId="196"/>
    <cellStyle name="SAPBEXheaderItem" xfId="197"/>
    <cellStyle name="SAPBEXheaderText" xfId="198"/>
    <cellStyle name="SAPBEXHLevel0" xfId="199"/>
    <cellStyle name="SAPBEXHLevel0X" xfId="200"/>
    <cellStyle name="SAPBEXHLevel1" xfId="201"/>
    <cellStyle name="SAPBEXHLevel1X" xfId="202"/>
    <cellStyle name="SAPBEXHLevel2" xfId="203"/>
    <cellStyle name="SAPBEXHLevel2X" xfId="204"/>
    <cellStyle name="SAPBEXHLevel3" xfId="205"/>
    <cellStyle name="SAPBEXHLevel3X" xfId="206"/>
    <cellStyle name="SAPBEXresData" xfId="207"/>
    <cellStyle name="SAPBEXresDataEmph" xfId="208"/>
    <cellStyle name="SAPBEXresItem" xfId="209"/>
    <cellStyle name="SAPBEXresItemX" xfId="210"/>
    <cellStyle name="SAPBEXstdData" xfId="211"/>
    <cellStyle name="SAPBEXstdDataEmph" xfId="212"/>
    <cellStyle name="SAPBEXstdItem" xfId="213"/>
    <cellStyle name="SAPBEXstdItemX" xfId="214"/>
    <cellStyle name="SAPBEXtitle" xfId="215"/>
    <cellStyle name="SAPBEXtitle 2" xfId="216"/>
    <cellStyle name="SAPBEXundefined" xfId="217"/>
    <cellStyle name="Style 27" xfId="218"/>
    <cellStyle name="Style 35" xfId="219"/>
    <cellStyle name="Style 36" xfId="220"/>
    <cellStyle name="TRANSMISSION RELIABILITY PORTION OF PROJECT" xfId="221"/>
    <cellStyle name="Unprot" xfId="222"/>
    <cellStyle name="Unprot$" xfId="223"/>
    <cellStyle name="Unprotect" xfId="2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18" sqref="B18"/>
    </sheetView>
  </sheetViews>
  <sheetFormatPr defaultColWidth="8.85546875" defaultRowHeight="15"/>
  <cols>
    <col min="1" max="1" width="5.7109375" customWidth="1"/>
    <col min="2" max="2" width="43.42578125" customWidth="1"/>
    <col min="3" max="3" width="22" customWidth="1"/>
    <col min="4" max="4" width="12.42578125" bestFit="1" customWidth="1"/>
    <col min="5" max="5" width="9.85546875" bestFit="1" customWidth="1"/>
  </cols>
  <sheetData>
    <row r="1" spans="1:5">
      <c r="A1" s="156" t="s">
        <v>0</v>
      </c>
      <c r="B1" s="156"/>
      <c r="C1" s="156"/>
    </row>
    <row r="4" spans="1:5">
      <c r="A4" s="142" t="s">
        <v>1</v>
      </c>
      <c r="B4" s="143"/>
      <c r="C4" s="143"/>
    </row>
    <row r="5" spans="1:5">
      <c r="A5" s="144" t="s">
        <v>2</v>
      </c>
      <c r="B5" s="157" t="s">
        <v>3</v>
      </c>
      <c r="C5" s="157"/>
    </row>
    <row r="6" spans="1:5">
      <c r="A6" s="142">
        <v>1</v>
      </c>
      <c r="B6" s="145" t="s">
        <v>4</v>
      </c>
      <c r="C6" s="146">
        <v>28644835</v>
      </c>
    </row>
    <row r="7" spans="1:5">
      <c r="A7" s="142">
        <v>2</v>
      </c>
      <c r="B7" s="145" t="s">
        <v>5</v>
      </c>
      <c r="C7" s="146">
        <v>76678</v>
      </c>
    </row>
    <row r="8" spans="1:5">
      <c r="A8" s="142">
        <v>3</v>
      </c>
      <c r="B8" s="145" t="s">
        <v>6</v>
      </c>
      <c r="C8" s="146">
        <v>377107</v>
      </c>
    </row>
    <row r="9" spans="1:5">
      <c r="A9" s="142">
        <v>4</v>
      </c>
      <c r="B9" s="145" t="s">
        <v>7</v>
      </c>
      <c r="C9" s="146">
        <v>886353</v>
      </c>
    </row>
    <row r="10" spans="1:5">
      <c r="A10" s="142">
        <v>5</v>
      </c>
      <c r="B10" s="145" t="s">
        <v>8</v>
      </c>
      <c r="C10" s="147">
        <v>3333116</v>
      </c>
    </row>
    <row r="11" spans="1:5">
      <c r="A11" s="142">
        <v>6</v>
      </c>
      <c r="B11" s="145" t="s">
        <v>9</v>
      </c>
      <c r="C11" s="146">
        <f>SUM(C6:C10)</f>
        <v>33318089</v>
      </c>
      <c r="D11" s="1"/>
    </row>
    <row r="12" spans="1:5">
      <c r="A12" s="142"/>
      <c r="B12" s="143"/>
      <c r="C12" s="143"/>
    </row>
    <row r="13" spans="1:5">
      <c r="A13" s="142">
        <v>7</v>
      </c>
      <c r="B13" s="148" t="s">
        <v>158</v>
      </c>
      <c r="C13" s="149">
        <f>SUM(C6,C8,C10)/C11</f>
        <v>0.97109585126565934</v>
      </c>
    </row>
    <row r="14" spans="1:5">
      <c r="A14" s="142">
        <v>8</v>
      </c>
      <c r="B14" s="150" t="s">
        <v>159</v>
      </c>
      <c r="C14" s="151">
        <f>(C7+C9)/C11</f>
        <v>2.8904148734340676E-2</v>
      </c>
    </row>
    <row r="15" spans="1:5">
      <c r="A15" s="143"/>
      <c r="B15" s="143"/>
      <c r="C15" s="143"/>
      <c r="E15" s="1"/>
    </row>
    <row r="16" spans="1:5">
      <c r="A16" s="143"/>
      <c r="B16" s="143"/>
      <c r="C16" s="143"/>
    </row>
    <row r="17" spans="1:3">
      <c r="A17" s="143"/>
      <c r="B17" s="143" t="s">
        <v>163</v>
      </c>
      <c r="C17" s="143"/>
    </row>
    <row r="18" spans="1:3">
      <c r="C18" s="1"/>
    </row>
    <row r="19" spans="1:3">
      <c r="C19" s="1"/>
    </row>
    <row r="20" spans="1:3">
      <c r="C20" s="2"/>
    </row>
  </sheetData>
  <mergeCells count="2">
    <mergeCell ref="A1:C1"/>
    <mergeCell ref="B5:C5"/>
  </mergeCells>
  <phoneticPr fontId="44" type="noConversion"/>
  <printOptions horizontalCentered="1"/>
  <pageMargins left="1" right="1" top="1.5416666666666667" bottom="1" header="0.75" footer="0.5"/>
  <pageSetup orientation="portrait"/>
  <headerFooter scaleWithDoc="0">
    <oddHeader>&amp;R&amp;8Utah Association of Energy Users
UAE Exhibit COS 2.1
Docket No. 13-035-184
Witness: Neal Townsend
Page 1 of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workbookViewId="0">
      <selection activeCell="L36" sqref="L36"/>
    </sheetView>
  </sheetViews>
  <sheetFormatPr defaultColWidth="8.85546875" defaultRowHeight="15"/>
  <cols>
    <col min="1" max="1" width="8.85546875" style="3"/>
    <col min="2" max="2" width="10.7109375" style="3" customWidth="1"/>
    <col min="3" max="3" width="28" style="3" customWidth="1"/>
    <col min="4" max="4" width="13.42578125" style="3" customWidth="1"/>
    <col min="5" max="5" width="10.42578125" style="3" customWidth="1"/>
    <col min="6" max="6" width="7.7109375" style="3" customWidth="1"/>
    <col min="7" max="7" width="14.140625" style="3" customWidth="1"/>
    <col min="8" max="8" width="13.85546875" style="3" customWidth="1"/>
    <col min="9" max="10" width="13" style="3" customWidth="1"/>
    <col min="11" max="11" width="11.140625" style="3" customWidth="1"/>
    <col min="12" max="12" width="11.28515625" style="3" customWidth="1"/>
    <col min="13" max="13" width="12.28515625" style="3" customWidth="1"/>
    <col min="14" max="14" width="12.85546875" style="3" customWidth="1"/>
    <col min="15" max="15" width="3.42578125" style="3" customWidth="1"/>
    <col min="16" max="16" width="13.140625" style="3" customWidth="1"/>
    <col min="17" max="17" width="12.85546875" style="3" customWidth="1"/>
    <col min="18" max="16384" width="8.85546875" style="3"/>
  </cols>
  <sheetData>
    <row r="1" spans="1:17" ht="27">
      <c r="A1" s="164" t="s">
        <v>162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3" spans="1:17">
      <c r="C3" s="4"/>
      <c r="D3" s="5"/>
    </row>
    <row r="4" spans="1:17">
      <c r="A4" s="165" t="s">
        <v>10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>
      <c r="A5" s="166" t="s">
        <v>11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>
      <c r="A6" s="160" t="s">
        <v>12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5.75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>
      <c r="C8" s="6"/>
      <c r="D8" s="6"/>
      <c r="E8" s="6"/>
      <c r="F8" s="6"/>
      <c r="G8" s="160" t="s">
        <v>14</v>
      </c>
      <c r="H8" s="160"/>
      <c r="I8" s="160"/>
      <c r="J8" s="160"/>
      <c r="K8" s="6"/>
      <c r="L8" s="6"/>
      <c r="M8" s="6"/>
      <c r="N8" s="6"/>
      <c r="O8" s="6"/>
      <c r="P8" s="167" t="s">
        <v>160</v>
      </c>
      <c r="Q8" s="168"/>
    </row>
    <row r="9" spans="1:17">
      <c r="A9" s="4"/>
      <c r="B9" s="5"/>
      <c r="C9" s="6"/>
      <c r="D9" s="6"/>
      <c r="E9" s="6"/>
      <c r="F9" s="6"/>
      <c r="G9" s="161" t="s">
        <v>161</v>
      </c>
      <c r="H9" s="161"/>
      <c r="I9" s="161"/>
      <c r="J9" s="161"/>
      <c r="K9" s="6"/>
      <c r="L9" s="6"/>
      <c r="M9" s="6"/>
      <c r="N9" s="6"/>
      <c r="P9" s="162" t="s">
        <v>154</v>
      </c>
      <c r="Q9" s="163"/>
    </row>
    <row r="10" spans="1:17" ht="15.75" thickBot="1">
      <c r="A10" s="7"/>
      <c r="B10" s="4"/>
      <c r="C10" s="4"/>
      <c r="D10" s="4"/>
      <c r="E10" s="4"/>
      <c r="F10" s="4"/>
      <c r="G10" s="8"/>
      <c r="H10" s="9"/>
      <c r="I10" s="4"/>
      <c r="J10" s="4"/>
      <c r="K10" s="4"/>
      <c r="L10" s="4"/>
      <c r="M10" s="4"/>
      <c r="N10" s="4"/>
      <c r="P10" s="158" t="s">
        <v>153</v>
      </c>
      <c r="Q10" s="159"/>
    </row>
    <row r="11" spans="1:17" ht="15.75" thickBot="1">
      <c r="A11" s="10"/>
      <c r="B11" s="11" t="s">
        <v>15</v>
      </c>
      <c r="C11" s="11" t="s">
        <v>16</v>
      </c>
      <c r="D11" s="11" t="s">
        <v>17</v>
      </c>
      <c r="E11" s="11" t="s">
        <v>18</v>
      </c>
      <c r="F11" s="11" t="s">
        <v>19</v>
      </c>
      <c r="G11" s="11" t="s">
        <v>20</v>
      </c>
      <c r="H11" s="11" t="s">
        <v>21</v>
      </c>
      <c r="I11" s="11" t="s">
        <v>22</v>
      </c>
      <c r="J11" s="11" t="s">
        <v>23</v>
      </c>
      <c r="K11" s="11" t="s">
        <v>24</v>
      </c>
      <c r="L11" s="11" t="s">
        <v>25</v>
      </c>
      <c r="M11" s="11" t="s">
        <v>26</v>
      </c>
      <c r="N11" s="11" t="s">
        <v>27</v>
      </c>
      <c r="P11" s="11" t="s">
        <v>28</v>
      </c>
      <c r="Q11" s="11" t="s">
        <v>29</v>
      </c>
    </row>
    <row r="12" spans="1:17">
      <c r="A12" s="12"/>
      <c r="B12" s="12"/>
      <c r="C12" s="13"/>
      <c r="D12" s="14"/>
      <c r="E12" s="15" t="s">
        <v>30</v>
      </c>
      <c r="F12" s="16" t="s">
        <v>31</v>
      </c>
      <c r="G12" s="16" t="s">
        <v>32</v>
      </c>
      <c r="H12" s="16" t="s">
        <v>33</v>
      </c>
      <c r="I12" s="16" t="s">
        <v>34</v>
      </c>
      <c r="J12" s="16" t="s">
        <v>35</v>
      </c>
      <c r="K12" s="16" t="s">
        <v>36</v>
      </c>
      <c r="L12" s="16" t="s">
        <v>37</v>
      </c>
      <c r="M12" s="16" t="s">
        <v>38</v>
      </c>
      <c r="N12" s="16" t="s">
        <v>39</v>
      </c>
      <c r="P12" s="17" t="s">
        <v>155</v>
      </c>
      <c r="Q12" s="18" t="s">
        <v>39</v>
      </c>
    </row>
    <row r="13" spans="1:17">
      <c r="A13" s="19" t="s">
        <v>40</v>
      </c>
      <c r="B13" s="19" t="s">
        <v>41</v>
      </c>
      <c r="C13" s="20" t="s">
        <v>42</v>
      </c>
      <c r="D13" s="21" t="s">
        <v>43</v>
      </c>
      <c r="E13" s="22" t="s">
        <v>44</v>
      </c>
      <c r="F13" s="19" t="s">
        <v>45</v>
      </c>
      <c r="G13" s="19" t="s">
        <v>46</v>
      </c>
      <c r="H13" s="19" t="s">
        <v>46</v>
      </c>
      <c r="I13" s="19" t="s">
        <v>46</v>
      </c>
      <c r="J13" s="19" t="s">
        <v>46</v>
      </c>
      <c r="K13" s="19" t="s">
        <v>46</v>
      </c>
      <c r="L13" s="19" t="s">
        <v>46</v>
      </c>
      <c r="M13" s="19" t="s">
        <v>47</v>
      </c>
      <c r="N13" s="19" t="s">
        <v>48</v>
      </c>
      <c r="P13" s="23" t="s">
        <v>157</v>
      </c>
      <c r="Q13" s="24" t="s">
        <v>48</v>
      </c>
    </row>
    <row r="14" spans="1:17" ht="15.75" thickBot="1">
      <c r="A14" s="25" t="s">
        <v>49</v>
      </c>
      <c r="B14" s="25" t="s">
        <v>49</v>
      </c>
      <c r="C14" s="26"/>
      <c r="D14" s="27" t="s">
        <v>50</v>
      </c>
      <c r="E14" s="28" t="s">
        <v>51</v>
      </c>
      <c r="F14" s="25" t="s">
        <v>52</v>
      </c>
      <c r="G14" s="25" t="s">
        <v>53</v>
      </c>
      <c r="H14" s="25" t="s">
        <v>53</v>
      </c>
      <c r="I14" s="25" t="s">
        <v>53</v>
      </c>
      <c r="J14" s="25" t="s">
        <v>53</v>
      </c>
      <c r="K14" s="25" t="s">
        <v>53</v>
      </c>
      <c r="L14" s="25" t="s">
        <v>53</v>
      </c>
      <c r="M14" s="25" t="s">
        <v>54</v>
      </c>
      <c r="N14" s="25" t="s">
        <v>156</v>
      </c>
      <c r="P14" s="29" t="s">
        <v>54</v>
      </c>
      <c r="Q14" s="30" t="s">
        <v>156</v>
      </c>
    </row>
    <row r="15" spans="1:17">
      <c r="A15" s="31">
        <v>1</v>
      </c>
      <c r="B15" s="32" t="s">
        <v>55</v>
      </c>
      <c r="C15" s="33" t="s">
        <v>56</v>
      </c>
      <c r="D15" s="34">
        <v>661595338</v>
      </c>
      <c r="E15" s="35">
        <v>6.292608773045523E-2</v>
      </c>
      <c r="F15" s="36">
        <v>0.90761379189792224</v>
      </c>
      <c r="G15" s="34">
        <v>715860741.63561201</v>
      </c>
      <c r="H15" s="34">
        <v>391090016.37937903</v>
      </c>
      <c r="I15" s="34">
        <v>95447619.793123603</v>
      </c>
      <c r="J15" s="34">
        <v>191534713.95728487</v>
      </c>
      <c r="K15" s="34">
        <v>31449139.877228647</v>
      </c>
      <c r="L15" s="34">
        <v>6339251.6285959128</v>
      </c>
      <c r="M15" s="34">
        <v>54265403.635612011</v>
      </c>
      <c r="N15" s="35">
        <v>8.2022046587655995E-2</v>
      </c>
      <c r="P15" s="37">
        <v>1535911.5393877029</v>
      </c>
      <c r="Q15" s="38">
        <v>2.3215271498598505E-3</v>
      </c>
    </row>
    <row r="16" spans="1:17">
      <c r="A16" s="39">
        <v>2</v>
      </c>
      <c r="B16" s="32" t="s">
        <v>57</v>
      </c>
      <c r="C16" s="33" t="s">
        <v>58</v>
      </c>
      <c r="D16" s="34">
        <v>520951038</v>
      </c>
      <c r="E16" s="35">
        <v>8.5282082988029889E-2</v>
      </c>
      <c r="F16" s="36">
        <v>1.2300652640805632</v>
      </c>
      <c r="G16" s="34">
        <v>500057183.52984399</v>
      </c>
      <c r="H16" s="34">
        <v>343006510.01324141</v>
      </c>
      <c r="I16" s="34">
        <v>77828644.63646318</v>
      </c>
      <c r="J16" s="34">
        <v>74831059.164011374</v>
      </c>
      <c r="K16" s="34">
        <v>141784.77869794855</v>
      </c>
      <c r="L16" s="34">
        <v>4249184.9374300819</v>
      </c>
      <c r="M16" s="34">
        <v>-20893854.470156014</v>
      </c>
      <c r="N16" s="35">
        <v>-4.0107136652170396E-2</v>
      </c>
      <c r="P16" s="40">
        <v>-388127.86518591642</v>
      </c>
      <c r="Q16" s="41">
        <v>-7.4503712801108485E-4</v>
      </c>
    </row>
    <row r="17" spans="1:17">
      <c r="A17" s="39">
        <v>3</v>
      </c>
      <c r="B17" s="42" t="s">
        <v>59</v>
      </c>
      <c r="C17" s="33" t="s">
        <v>60</v>
      </c>
      <c r="D17" s="34">
        <v>162435073</v>
      </c>
      <c r="E17" s="35">
        <v>7.1978785253568475E-2</v>
      </c>
      <c r="F17" s="36">
        <v>1.0381852833444047</v>
      </c>
      <c r="G17" s="34">
        <v>166747004.15255305</v>
      </c>
      <c r="H17" s="34">
        <v>117478723.23936652</v>
      </c>
      <c r="I17" s="34">
        <v>25920434.463851117</v>
      </c>
      <c r="J17" s="34">
        <v>22051664.783197325</v>
      </c>
      <c r="K17" s="34">
        <v>-80863.301662785467</v>
      </c>
      <c r="L17" s="34">
        <v>1377044.9678008808</v>
      </c>
      <c r="M17" s="34">
        <v>4311931.1525530517</v>
      </c>
      <c r="N17" s="35">
        <v>2.6545567240598658E-2</v>
      </c>
      <c r="P17" s="40">
        <v>-176934.61778253317</v>
      </c>
      <c r="Q17" s="41">
        <v>-1.0892636332458412E-3</v>
      </c>
    </row>
    <row r="18" spans="1:17">
      <c r="A18" s="39">
        <v>4</v>
      </c>
      <c r="B18" s="32" t="s">
        <v>61</v>
      </c>
      <c r="C18" s="33" t="s">
        <v>62</v>
      </c>
      <c r="D18" s="34">
        <v>12123902</v>
      </c>
      <c r="E18" s="35">
        <v>0.10965137150836302</v>
      </c>
      <c r="F18" s="36">
        <v>1.581555451338611</v>
      </c>
      <c r="G18" s="34">
        <v>10770653.459554031</v>
      </c>
      <c r="H18" s="34">
        <v>3386661.4760706588</v>
      </c>
      <c r="I18" s="34">
        <v>543773.95387624821</v>
      </c>
      <c r="J18" s="34">
        <v>6463831.1250476539</v>
      </c>
      <c r="K18" s="34">
        <v>293453.25213895389</v>
      </c>
      <c r="L18" s="34">
        <v>82933.6524205163</v>
      </c>
      <c r="M18" s="34">
        <v>-1353248.5404459685</v>
      </c>
      <c r="N18" s="35">
        <v>-0.11161823482621094</v>
      </c>
      <c r="P18" s="40">
        <v>96910.838128264993</v>
      </c>
      <c r="Q18" s="41">
        <v>7.9933702968124493E-3</v>
      </c>
    </row>
    <row r="19" spans="1:17">
      <c r="A19" s="39">
        <v>5</v>
      </c>
      <c r="B19" s="32" t="s">
        <v>63</v>
      </c>
      <c r="C19" s="33" t="s">
        <v>64</v>
      </c>
      <c r="D19" s="34">
        <v>274874422</v>
      </c>
      <c r="E19" s="35">
        <v>5.3041563813283864E-2</v>
      </c>
      <c r="F19" s="36">
        <v>0.76504446084402888</v>
      </c>
      <c r="G19" s="34">
        <v>308217645.81645018</v>
      </c>
      <c r="H19" s="34">
        <v>250915549.60139692</v>
      </c>
      <c r="I19" s="34">
        <v>54208244.218034439</v>
      </c>
      <c r="J19" s="34">
        <v>952839.14840279426</v>
      </c>
      <c r="K19" s="34">
        <v>-142015.39341950102</v>
      </c>
      <c r="L19" s="34">
        <v>2283028.2420355231</v>
      </c>
      <c r="M19" s="34">
        <v>33343223.816450179</v>
      </c>
      <c r="N19" s="35">
        <v>0.1213034795083632</v>
      </c>
      <c r="P19" s="40">
        <v>-1003423.580556035</v>
      </c>
      <c r="Q19" s="41">
        <v>-3.6504800019407924E-3</v>
      </c>
    </row>
    <row r="20" spans="1:17">
      <c r="A20" s="39">
        <v>6</v>
      </c>
      <c r="B20" s="32" t="s">
        <v>65</v>
      </c>
      <c r="C20" s="33" t="s">
        <v>66</v>
      </c>
      <c r="D20" s="34">
        <v>13948795.999999998</v>
      </c>
      <c r="E20" s="35">
        <v>5.8994278142513651E-2</v>
      </c>
      <c r="F20" s="36">
        <v>0.85090337595059273</v>
      </c>
      <c r="G20" s="34">
        <v>15431772.182877466</v>
      </c>
      <c r="H20" s="34">
        <v>9797232.3410271686</v>
      </c>
      <c r="I20" s="34">
        <v>2078352.6889914065</v>
      </c>
      <c r="J20" s="34">
        <v>3462811.7045101724</v>
      </c>
      <c r="K20" s="34">
        <v>-40720.955210535947</v>
      </c>
      <c r="L20" s="34">
        <v>134096.40355925498</v>
      </c>
      <c r="M20" s="34">
        <v>1482976.1828774679</v>
      </c>
      <c r="N20" s="35">
        <v>0.10631571232939876</v>
      </c>
      <c r="P20" s="40">
        <v>14455.27145434916</v>
      </c>
      <c r="Q20" s="41">
        <v>1.0363096180020931E-3</v>
      </c>
    </row>
    <row r="21" spans="1:17">
      <c r="A21" s="39">
        <v>7</v>
      </c>
      <c r="B21" s="43">
        <v>15</v>
      </c>
      <c r="C21" s="33" t="s">
        <v>67</v>
      </c>
      <c r="D21" s="34">
        <v>536865</v>
      </c>
      <c r="E21" s="35">
        <v>3.8724140408431272E-2</v>
      </c>
      <c r="F21" s="36">
        <v>0.55853724872638921</v>
      </c>
      <c r="G21" s="34">
        <v>647410.61623560719</v>
      </c>
      <c r="H21" s="34">
        <v>315333.32122331526</v>
      </c>
      <c r="I21" s="34">
        <v>64308.31479029372</v>
      </c>
      <c r="J21" s="34">
        <v>171467.428857244</v>
      </c>
      <c r="K21" s="34">
        <v>91542.050582651078</v>
      </c>
      <c r="L21" s="34">
        <v>4759.5007821032168</v>
      </c>
      <c r="M21" s="34">
        <v>110545.61623560719</v>
      </c>
      <c r="N21" s="35">
        <v>0.2059095233170484</v>
      </c>
      <c r="P21" s="40">
        <v>2821.9714625604684</v>
      </c>
      <c r="Q21" s="41">
        <v>5.2563893391457117E-3</v>
      </c>
    </row>
    <row r="22" spans="1:17">
      <c r="A22" s="39">
        <v>8</v>
      </c>
      <c r="B22" s="43">
        <v>15</v>
      </c>
      <c r="C22" s="33" t="s">
        <v>68</v>
      </c>
      <c r="D22" s="34">
        <v>1379767</v>
      </c>
      <c r="E22" s="35">
        <v>0.1937363625362202</v>
      </c>
      <c r="F22" s="36">
        <v>2.7943544716018738</v>
      </c>
      <c r="G22" s="34">
        <v>938604.44383696362</v>
      </c>
      <c r="H22" s="34">
        <v>712049.30929030804</v>
      </c>
      <c r="I22" s="34">
        <v>109929.9096809398</v>
      </c>
      <c r="J22" s="34">
        <v>91948.637867519719</v>
      </c>
      <c r="K22" s="34">
        <v>18466.68213024057</v>
      </c>
      <c r="L22" s="34">
        <v>6209.9048679554489</v>
      </c>
      <c r="M22" s="34">
        <v>-441162.55616303638</v>
      </c>
      <c r="N22" s="35">
        <v>-0.31973699629215396</v>
      </c>
      <c r="P22" s="40">
        <v>-807.59494045423344</v>
      </c>
      <c r="Q22" s="41">
        <v>-5.8531254947702394E-4</v>
      </c>
    </row>
    <row r="23" spans="1:17">
      <c r="A23" s="39">
        <v>9</v>
      </c>
      <c r="B23" s="32" t="s">
        <v>69</v>
      </c>
      <c r="C23" s="33" t="s">
        <v>70</v>
      </c>
      <c r="D23" s="34">
        <v>137738935</v>
      </c>
      <c r="E23" s="35">
        <v>7.8249202702234302E-2</v>
      </c>
      <c r="F23" s="36">
        <v>1.1286265861907609</v>
      </c>
      <c r="G23" s="34">
        <v>136957792.05250201</v>
      </c>
      <c r="H23" s="34">
        <v>83894781.618758529</v>
      </c>
      <c r="I23" s="34">
        <v>19669417.234754674</v>
      </c>
      <c r="J23" s="34">
        <v>30497628.946609784</v>
      </c>
      <c r="K23" s="34">
        <v>1679107.9669511875</v>
      </c>
      <c r="L23" s="34">
        <v>1216856.2854278251</v>
      </c>
      <c r="M23" s="34">
        <v>-781142.94749799371</v>
      </c>
      <c r="N23" s="35">
        <v>-5.6711847488728857E-3</v>
      </c>
      <c r="P23" s="40">
        <v>126686.2619523406</v>
      </c>
      <c r="Q23" s="41">
        <v>9.1975636338658025E-4</v>
      </c>
    </row>
    <row r="24" spans="1:17">
      <c r="A24" s="39">
        <v>10</v>
      </c>
      <c r="B24" s="32" t="s">
        <v>71</v>
      </c>
      <c r="C24" s="33" t="s">
        <v>72</v>
      </c>
      <c r="D24" s="34">
        <v>27176952</v>
      </c>
      <c r="E24" s="35">
        <v>4.1003014612080314E-2</v>
      </c>
      <c r="F24" s="36">
        <v>0.59140656782488488</v>
      </c>
      <c r="G24" s="34">
        <v>32435205.03882147</v>
      </c>
      <c r="H24" s="34">
        <v>26456267.740973953</v>
      </c>
      <c r="I24" s="34">
        <v>5647714.9924477022</v>
      </c>
      <c r="J24" s="34">
        <v>99448.718125044004</v>
      </c>
      <c r="K24" s="34">
        <v>-7100.2513521752053</v>
      </c>
      <c r="L24" s="34">
        <v>238873.83862694682</v>
      </c>
      <c r="M24" s="34">
        <v>5258253.03882147</v>
      </c>
      <c r="N24" s="35">
        <v>0.19348207403175566</v>
      </c>
      <c r="P24" s="40">
        <v>-101236.25980630144</v>
      </c>
      <c r="Q24" s="41">
        <v>-3.7250777720143624E-3</v>
      </c>
    </row>
    <row r="25" spans="1:17">
      <c r="A25" s="39">
        <v>11</v>
      </c>
      <c r="B25" s="32" t="s">
        <v>71</v>
      </c>
      <c r="C25" s="33" t="s">
        <v>73</v>
      </c>
      <c r="D25" s="34">
        <v>35062890</v>
      </c>
      <c r="E25" s="35">
        <v>7.0490182012300118E-2</v>
      </c>
      <c r="F25" s="36">
        <v>1.0167144295035229</v>
      </c>
      <c r="G25" s="34">
        <v>36012066.071713038</v>
      </c>
      <c r="H25" s="34">
        <v>30348929.238472234</v>
      </c>
      <c r="I25" s="34">
        <v>5329575.4390641134</v>
      </c>
      <c r="J25" s="34">
        <v>109935.7446962464</v>
      </c>
      <c r="K25" s="34">
        <v>-5881.2494917268259</v>
      </c>
      <c r="L25" s="34">
        <v>229506.89897217715</v>
      </c>
      <c r="M25" s="34">
        <v>949176.07171303779</v>
      </c>
      <c r="N25" s="35">
        <v>2.7070674200359347E-2</v>
      </c>
      <c r="P25" s="40">
        <v>-106255.96411351115</v>
      </c>
      <c r="Q25" s="41">
        <v>-3.0304394222356243E-3</v>
      </c>
    </row>
    <row r="26" spans="1:17">
      <c r="A26" s="44"/>
      <c r="B26" s="45"/>
      <c r="C26" s="45"/>
      <c r="D26" s="46"/>
      <c r="E26" s="45"/>
      <c r="F26" s="47"/>
      <c r="G26" s="46"/>
      <c r="H26" s="46"/>
      <c r="I26" s="46"/>
      <c r="J26" s="46"/>
      <c r="K26" s="46"/>
      <c r="L26" s="46"/>
      <c r="M26" s="45"/>
      <c r="N26" s="48"/>
      <c r="P26" s="49"/>
      <c r="Q26" s="50"/>
    </row>
    <row r="27" spans="1:17">
      <c r="A27" s="44">
        <v>12</v>
      </c>
      <c r="B27" s="45"/>
      <c r="C27" s="19" t="s">
        <v>74</v>
      </c>
      <c r="D27" s="46">
        <v>1847823978</v>
      </c>
      <c r="E27" s="51">
        <v>6.933134808239276E-2</v>
      </c>
      <c r="F27" s="47">
        <v>1</v>
      </c>
      <c r="G27" s="46">
        <v>1924076078.9999995</v>
      </c>
      <c r="H27" s="46">
        <v>1257402054.2792001</v>
      </c>
      <c r="I27" s="46">
        <v>286848015.64507765</v>
      </c>
      <c r="J27" s="46">
        <v>330267349.35861009</v>
      </c>
      <c r="K27" s="46">
        <v>33396913.456592906</v>
      </c>
      <c r="L27" s="46">
        <v>16161746.260519179</v>
      </c>
      <c r="M27" s="45">
        <v>76252100.999999821</v>
      </c>
      <c r="N27" s="48">
        <v>4.126588999160602E-2</v>
      </c>
      <c r="P27" s="49">
        <v>4.9173831939697266E-7</v>
      </c>
      <c r="Q27" s="50">
        <v>2.6367796834847468E-16</v>
      </c>
    </row>
    <row r="28" spans="1:17" ht="10.5" customHeight="1" thickBot="1">
      <c r="A28" s="52"/>
      <c r="B28" s="53"/>
      <c r="C28" s="53"/>
      <c r="D28" s="54"/>
      <c r="E28" s="55"/>
      <c r="F28" s="56"/>
      <c r="G28" s="54"/>
      <c r="H28" s="54"/>
      <c r="I28" s="54"/>
      <c r="J28" s="54"/>
      <c r="K28" s="54"/>
      <c r="L28" s="54"/>
      <c r="M28" s="57"/>
      <c r="N28" s="58"/>
      <c r="P28" s="59"/>
      <c r="Q28" s="60"/>
    </row>
    <row r="31" spans="1:17">
      <c r="A31" s="3" t="s">
        <v>75</v>
      </c>
    </row>
    <row r="32" spans="1:17">
      <c r="B32" s="3" t="s">
        <v>76</v>
      </c>
      <c r="C32" s="3" t="s">
        <v>77</v>
      </c>
    </row>
    <row r="33" spans="2:3">
      <c r="B33" s="3" t="s">
        <v>78</v>
      </c>
      <c r="C33" s="3" t="s">
        <v>79</v>
      </c>
    </row>
    <row r="34" spans="2:3">
      <c r="B34" s="3" t="s">
        <v>80</v>
      </c>
      <c r="C34" s="3" t="s">
        <v>81</v>
      </c>
    </row>
    <row r="35" spans="2:3">
      <c r="B35" s="3" t="s">
        <v>82</v>
      </c>
      <c r="C35" s="3" t="s">
        <v>83</v>
      </c>
    </row>
    <row r="36" spans="2:3">
      <c r="B36" s="3" t="s">
        <v>84</v>
      </c>
      <c r="C36" s="3" t="s">
        <v>85</v>
      </c>
    </row>
    <row r="37" spans="2:3">
      <c r="B37" s="3" t="s">
        <v>86</v>
      </c>
      <c r="C37" s="3" t="s">
        <v>87</v>
      </c>
    </row>
    <row r="38" spans="2:3">
      <c r="B38" s="3" t="s">
        <v>88</v>
      </c>
      <c r="C38" s="3" t="s">
        <v>89</v>
      </c>
    </row>
    <row r="39" spans="2:3">
      <c r="B39" s="3" t="s">
        <v>90</v>
      </c>
      <c r="C39" s="3" t="s">
        <v>91</v>
      </c>
    </row>
    <row r="40" spans="2:3">
      <c r="B40" s="3" t="s">
        <v>92</v>
      </c>
      <c r="C40" s="3" t="s">
        <v>93</v>
      </c>
    </row>
    <row r="41" spans="2:3">
      <c r="B41" s="3" t="s">
        <v>94</v>
      </c>
      <c r="C41" s="3" t="s">
        <v>95</v>
      </c>
    </row>
    <row r="42" spans="2:3">
      <c r="B42" s="3" t="s">
        <v>96</v>
      </c>
      <c r="C42" s="3" t="s">
        <v>97</v>
      </c>
    </row>
  </sheetData>
  <mergeCells count="10">
    <mergeCell ref="P10:Q10"/>
    <mergeCell ref="G8:J8"/>
    <mergeCell ref="G9:J9"/>
    <mergeCell ref="P9:Q9"/>
    <mergeCell ref="A1:Q1"/>
    <mergeCell ref="A4:Q4"/>
    <mergeCell ref="A5:Q5"/>
    <mergeCell ref="A6:Q6"/>
    <mergeCell ref="A7:Q7"/>
    <mergeCell ref="P8:Q8"/>
  </mergeCells>
  <phoneticPr fontId="44" type="noConversion"/>
  <pageMargins left="1" right="1" top="1.3" bottom="1" header="0.75291666666666668" footer="0.5"/>
  <pageSetup scale="51" orientation="landscape"/>
  <headerFooter scaleWithDoc="0">
    <oddHeader>&amp;R&amp;8Utah Association of Energy Users
UAE Exhibit COS 2.2
Docket No. 13-035-184
Witness: Neal Townsend
Page 1 of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selection activeCell="P4" sqref="P4"/>
    </sheetView>
  </sheetViews>
  <sheetFormatPr defaultColWidth="8.85546875" defaultRowHeight="15"/>
  <cols>
    <col min="1" max="1" width="5.42578125" style="3" customWidth="1"/>
    <col min="2" max="2" width="31.28515625" style="3" customWidth="1"/>
    <col min="3" max="3" width="22.140625" style="3" customWidth="1"/>
    <col min="4" max="4" width="8" style="3" customWidth="1"/>
    <col min="5" max="5" width="1.28515625" style="3" customWidth="1"/>
    <col min="6" max="6" width="13.42578125" style="3" customWidth="1"/>
    <col min="7" max="7" width="1.28515625" style="3" customWidth="1"/>
    <col min="8" max="8" width="13.42578125" style="3" customWidth="1"/>
    <col min="9" max="9" width="1.28515625" style="3" customWidth="1"/>
    <col min="10" max="10" width="13.42578125" style="3" customWidth="1"/>
    <col min="11" max="11" width="1.28515625" style="3" customWidth="1"/>
    <col min="12" max="12" width="13.42578125" style="3" customWidth="1"/>
    <col min="13" max="13" width="1.28515625" style="3" customWidth="1"/>
    <col min="14" max="14" width="13.42578125" style="3" customWidth="1"/>
    <col min="15" max="15" width="1.28515625" style="3" customWidth="1"/>
    <col min="16" max="16" width="13.42578125" style="3" customWidth="1"/>
    <col min="17" max="17" width="1.28515625" style="3" customWidth="1"/>
    <col min="18" max="18" width="13.42578125" style="3" customWidth="1"/>
    <col min="19" max="16384" width="8.85546875" style="3"/>
  </cols>
  <sheetData>
    <row r="1" spans="1:21" ht="24" customHeight="1">
      <c r="A1" s="169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1"/>
      <c r="U1" s="61"/>
    </row>
    <row r="2" spans="1:21" ht="24" customHeight="1">
      <c r="A2" s="169" t="s">
        <v>99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61"/>
      <c r="T2" s="61"/>
      <c r="U2" s="61"/>
    </row>
    <row r="3" spans="1:21" ht="1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21">
      <c r="A4" s="6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1">
      <c r="A5" s="171" t="s">
        <v>100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21">
      <c r="A6" s="62"/>
      <c r="B6" s="62"/>
      <c r="C6" s="63"/>
      <c r="D6" s="62"/>
      <c r="E6" s="63"/>
      <c r="F6" s="63"/>
      <c r="G6" s="63"/>
      <c r="H6" s="63"/>
      <c r="I6" s="63"/>
      <c r="J6" s="64"/>
      <c r="K6" s="63"/>
      <c r="L6" s="64"/>
      <c r="M6" s="63"/>
      <c r="N6" s="64"/>
      <c r="O6" s="63"/>
      <c r="P6" s="65"/>
      <c r="Q6" s="63"/>
      <c r="R6" s="66"/>
    </row>
    <row r="7" spans="1:21">
      <c r="A7" s="62"/>
      <c r="B7" s="62"/>
      <c r="C7" s="63"/>
      <c r="D7" s="62"/>
      <c r="E7" s="63"/>
      <c r="F7" s="63"/>
      <c r="G7" s="63"/>
      <c r="H7" s="63"/>
      <c r="I7" s="63"/>
      <c r="J7" s="64"/>
      <c r="K7" s="63"/>
      <c r="L7" s="64"/>
      <c r="M7" s="63"/>
      <c r="N7" s="64"/>
      <c r="O7" s="63"/>
      <c r="P7" s="65"/>
      <c r="Q7" s="63"/>
      <c r="R7" s="66"/>
    </row>
    <row r="8" spans="1:21">
      <c r="A8" s="68"/>
      <c r="B8" s="68"/>
      <c r="C8" s="69"/>
      <c r="D8" s="70"/>
      <c r="E8" s="69"/>
      <c r="F8" s="69" t="s">
        <v>101</v>
      </c>
      <c r="G8" s="69"/>
      <c r="H8" s="69"/>
      <c r="I8" s="69"/>
      <c r="J8" s="71" t="s">
        <v>102</v>
      </c>
      <c r="K8" s="69"/>
      <c r="L8" s="71" t="s">
        <v>103</v>
      </c>
      <c r="M8" s="72"/>
      <c r="N8" s="72"/>
      <c r="O8" s="72"/>
      <c r="P8" s="72"/>
      <c r="Q8" s="72"/>
      <c r="R8" s="73"/>
    </row>
    <row r="9" spans="1:21">
      <c r="A9" s="74" t="s">
        <v>40</v>
      </c>
      <c r="B9" s="74"/>
      <c r="C9" s="69"/>
      <c r="D9" s="70" t="s">
        <v>104</v>
      </c>
      <c r="E9" s="69"/>
      <c r="F9" s="71" t="s">
        <v>105</v>
      </c>
      <c r="G9" s="69"/>
      <c r="H9" s="69" t="s">
        <v>106</v>
      </c>
      <c r="I9" s="71"/>
      <c r="J9" s="69" t="s">
        <v>107</v>
      </c>
      <c r="K9" s="71"/>
      <c r="L9" s="71" t="s">
        <v>107</v>
      </c>
      <c r="M9" s="71"/>
      <c r="N9" s="72"/>
      <c r="O9" s="72"/>
      <c r="P9" s="75"/>
      <c r="Q9" s="71"/>
      <c r="R9" s="76" t="s">
        <v>108</v>
      </c>
    </row>
    <row r="10" spans="1:21">
      <c r="A10" s="74" t="s">
        <v>49</v>
      </c>
      <c r="B10" s="70" t="s">
        <v>42</v>
      </c>
      <c r="C10" s="74"/>
      <c r="D10" s="77" t="s">
        <v>49</v>
      </c>
      <c r="E10" s="74"/>
      <c r="F10" s="78" t="s">
        <v>109</v>
      </c>
      <c r="G10" s="74"/>
      <c r="H10" s="78" t="s">
        <v>109</v>
      </c>
      <c r="I10" s="74"/>
      <c r="J10" s="79" t="s">
        <v>110</v>
      </c>
      <c r="K10" s="74"/>
      <c r="L10" s="79" t="s">
        <v>110</v>
      </c>
      <c r="M10" s="74"/>
      <c r="N10" s="78" t="s">
        <v>111</v>
      </c>
      <c r="O10" s="74"/>
      <c r="P10" s="80" t="s">
        <v>112</v>
      </c>
      <c r="Q10" s="74"/>
      <c r="R10" s="81" t="s">
        <v>113</v>
      </c>
    </row>
    <row r="11" spans="1:21">
      <c r="A11" s="74"/>
      <c r="B11" s="82">
        <v>-1</v>
      </c>
      <c r="C11" s="83"/>
      <c r="D11" s="82">
        <f>MIN($A11:C11)-1</f>
        <v>-2</v>
      </c>
      <c r="E11" s="83"/>
      <c r="F11" s="82">
        <f>MIN($A11:E11)-1</f>
        <v>-3</v>
      </c>
      <c r="G11" s="83"/>
      <c r="H11" s="82">
        <f>MIN($A11:G11)-1</f>
        <v>-4</v>
      </c>
      <c r="I11" s="83"/>
      <c r="J11" s="82">
        <f>MIN($A11:I11)-1</f>
        <v>-5</v>
      </c>
      <c r="K11" s="83"/>
      <c r="L11" s="82">
        <f>MIN($A11:K11)-1</f>
        <v>-6</v>
      </c>
      <c r="M11" s="83"/>
      <c r="N11" s="82">
        <f>MIN($A11:M11)-1</f>
        <v>-7</v>
      </c>
      <c r="O11" s="83"/>
      <c r="P11" s="82">
        <f>MIN($A11:O11)-1</f>
        <v>-8</v>
      </c>
      <c r="Q11" s="83"/>
      <c r="R11" s="82">
        <f>MIN($A11:Q11)-1</f>
        <v>-9</v>
      </c>
    </row>
    <row r="12" spans="1:21">
      <c r="A12" s="74"/>
      <c r="B12" s="74"/>
      <c r="C12" s="84"/>
      <c r="D12" s="74"/>
      <c r="E12" s="84"/>
      <c r="F12" s="84"/>
      <c r="G12" s="84"/>
      <c r="H12" s="84"/>
      <c r="I12" s="84"/>
      <c r="J12" s="84"/>
      <c r="K12" s="84"/>
      <c r="L12" s="84"/>
      <c r="M12" s="84"/>
      <c r="N12" s="69" t="str">
        <f>"(" &amp; -L11&amp; ")-(" &amp; -J11 &amp; ")"</f>
        <v>(6)-(5)</v>
      </c>
      <c r="O12" s="84"/>
      <c r="P12" s="69" t="str">
        <f>"(" &amp; -N11 &amp; ")/(" &amp; -J11 &amp; ")"</f>
        <v>(7)/(5)</v>
      </c>
      <c r="Q12" s="84"/>
      <c r="R12" s="69" t="str">
        <f>"(" &amp; -L11 &amp; ")/(" &amp; -H11 &amp; ")"</f>
        <v>(6)/(4)</v>
      </c>
    </row>
    <row r="13" spans="1:21">
      <c r="A13" s="68"/>
      <c r="B13" s="85" t="s">
        <v>56</v>
      </c>
      <c r="C13" s="86"/>
      <c r="D13" s="68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7"/>
      <c r="Q13" s="86"/>
      <c r="R13" s="88"/>
    </row>
    <row r="14" spans="1:21">
      <c r="A14" s="68">
        <v>1</v>
      </c>
      <c r="B14" s="89" t="s">
        <v>56</v>
      </c>
      <c r="C14" s="86"/>
      <c r="D14" s="90" t="s">
        <v>114</v>
      </c>
      <c r="E14" s="86"/>
      <c r="F14" s="91">
        <v>740189</v>
      </c>
      <c r="G14" s="86"/>
      <c r="H14" s="91">
        <v>6200666.1794248829</v>
      </c>
      <c r="I14" s="86"/>
      <c r="J14" s="92">
        <v>661256.86499999999</v>
      </c>
      <c r="K14" s="93"/>
      <c r="L14" s="92">
        <f>J14+N14</f>
        <v>671009.15599999996</v>
      </c>
      <c r="M14" s="93"/>
      <c r="N14" s="131">
        <v>9752.2909999999993</v>
      </c>
      <c r="O14" s="132"/>
      <c r="P14" s="94">
        <v>1.4748113773912979E-2</v>
      </c>
      <c r="Q14" s="86"/>
      <c r="R14" s="88">
        <f>ROUND(100*L14/H14,2)</f>
        <v>10.82</v>
      </c>
    </row>
    <row r="15" spans="1:21">
      <c r="A15" s="68">
        <f>MAX(A$13:A14)+1</f>
        <v>2</v>
      </c>
      <c r="B15" s="89" t="s">
        <v>115</v>
      </c>
      <c r="C15" s="86"/>
      <c r="D15" s="90">
        <v>2</v>
      </c>
      <c r="E15" s="86"/>
      <c r="F15" s="91">
        <v>447</v>
      </c>
      <c r="G15" s="86"/>
      <c r="H15" s="91">
        <v>3185.6706103628849</v>
      </c>
      <c r="I15" s="86"/>
      <c r="J15" s="92">
        <v>338.47300000000001</v>
      </c>
      <c r="K15" s="93"/>
      <c r="L15" s="92">
        <f>J15+N15</f>
        <v>343.46500000000003</v>
      </c>
      <c r="M15" s="93"/>
      <c r="N15" s="131">
        <v>4.992</v>
      </c>
      <c r="O15" s="132"/>
      <c r="P15" s="94">
        <v>1.4748113773912979E-2</v>
      </c>
      <c r="Q15" s="86"/>
      <c r="R15" s="88">
        <f>ROUND(100*L15/H15,2)</f>
        <v>10.78</v>
      </c>
    </row>
    <row r="16" spans="1:21">
      <c r="A16" s="68">
        <f>MAX(A$13:A15)+1</f>
        <v>3</v>
      </c>
      <c r="B16" s="89" t="s">
        <v>116</v>
      </c>
      <c r="C16" s="86"/>
      <c r="D16" s="95" t="s">
        <v>117</v>
      </c>
      <c r="E16" s="86"/>
      <c r="F16" s="96"/>
      <c r="G16" s="86"/>
      <c r="H16" s="96"/>
      <c r="I16" s="86"/>
      <c r="J16" s="97">
        <v>33.04027</v>
      </c>
      <c r="K16" s="93"/>
      <c r="L16" s="97">
        <f>J16+N16</f>
        <v>33.04027</v>
      </c>
      <c r="M16" s="93"/>
      <c r="N16" s="133">
        <v>0</v>
      </c>
      <c r="O16" s="134"/>
      <c r="P16" s="103">
        <v>0</v>
      </c>
      <c r="Q16" s="86"/>
      <c r="R16" s="98"/>
    </row>
    <row r="17" spans="1:18">
      <c r="A17" s="68">
        <f>MAX(A$13:A16)+1</f>
        <v>4</v>
      </c>
      <c r="B17" s="74" t="s">
        <v>118</v>
      </c>
      <c r="C17" s="86"/>
      <c r="D17" s="68"/>
      <c r="E17" s="86"/>
      <c r="F17" s="91">
        <f>SUM(F14:F16)</f>
        <v>740636</v>
      </c>
      <c r="G17" s="86"/>
      <c r="H17" s="91">
        <f>SUM(H14:H16)</f>
        <v>6203851.8500352455</v>
      </c>
      <c r="I17" s="86"/>
      <c r="J17" s="92">
        <f>SUM(J14:J16)</f>
        <v>661628.37826999999</v>
      </c>
      <c r="K17" s="93"/>
      <c r="L17" s="92">
        <f>SUM(L14:L16)</f>
        <v>671385.66126999992</v>
      </c>
      <c r="M17" s="93"/>
      <c r="N17" s="131">
        <v>9757.2829999999994</v>
      </c>
      <c r="O17" s="134"/>
      <c r="P17" s="94">
        <v>1.4747376806165663E-2</v>
      </c>
      <c r="Q17" s="86"/>
      <c r="R17" s="88">
        <f>ROUND(100*L17/H17,2)</f>
        <v>10.82</v>
      </c>
    </row>
    <row r="18" spans="1:18">
      <c r="A18" s="68"/>
      <c r="B18" s="99" t="s">
        <v>119</v>
      </c>
      <c r="C18" s="86"/>
      <c r="D18" s="68"/>
      <c r="E18" s="86"/>
      <c r="F18" s="91"/>
      <c r="G18" s="86"/>
      <c r="H18" s="91"/>
      <c r="I18" s="86"/>
      <c r="J18" s="100"/>
      <c r="K18" s="93"/>
      <c r="L18" s="92"/>
      <c r="M18" s="93"/>
      <c r="N18" s="131"/>
      <c r="O18" s="134"/>
      <c r="P18" s="94"/>
      <c r="Q18" s="86"/>
      <c r="R18" s="88"/>
    </row>
    <row r="19" spans="1:18">
      <c r="A19" s="68">
        <f>MAX(A$13:A18)+1</f>
        <v>5</v>
      </c>
      <c r="B19" s="89" t="s">
        <v>120</v>
      </c>
      <c r="C19" s="86"/>
      <c r="D19" s="101">
        <v>6</v>
      </c>
      <c r="E19" s="86"/>
      <c r="F19" s="91">
        <v>13072</v>
      </c>
      <c r="G19" s="86"/>
      <c r="H19" s="91">
        <v>5783806.2612344306</v>
      </c>
      <c r="I19" s="86"/>
      <c r="J19" s="92">
        <v>486920.87699999998</v>
      </c>
      <c r="K19" s="93"/>
      <c r="L19" s="92">
        <f>J19+N19</f>
        <v>479494.41499999998</v>
      </c>
      <c r="M19" s="93"/>
      <c r="N19" s="131">
        <v>-7426.4620000000004</v>
      </c>
      <c r="O19" s="132"/>
      <c r="P19" s="94">
        <v>-1.525188622608702E-2</v>
      </c>
      <c r="Q19" s="86"/>
      <c r="R19" s="88">
        <f t="shared" ref="R19:R35" si="0">ROUND(100*L19/H19,2)</f>
        <v>8.2899999999999991</v>
      </c>
    </row>
    <row r="20" spans="1:18">
      <c r="A20" s="68">
        <f>MAX(A$13:A19)+1</f>
        <v>6</v>
      </c>
      <c r="B20" s="89" t="s">
        <v>121</v>
      </c>
      <c r="C20" s="86"/>
      <c r="D20" s="90" t="s">
        <v>122</v>
      </c>
      <c r="E20" s="86"/>
      <c r="F20" s="91">
        <v>2276</v>
      </c>
      <c r="G20" s="86"/>
      <c r="H20" s="91">
        <v>292031.09985016566</v>
      </c>
      <c r="I20" s="86"/>
      <c r="J20" s="92">
        <v>33689.550999999999</v>
      </c>
      <c r="K20" s="93"/>
      <c r="L20" s="92">
        <f>J20+N20</f>
        <v>33175.722000000002</v>
      </c>
      <c r="M20" s="93"/>
      <c r="N20" s="131">
        <v>-513.82899999999995</v>
      </c>
      <c r="O20" s="134"/>
      <c r="P20" s="94">
        <v>-1.525188622608702E-2</v>
      </c>
      <c r="Q20" s="86"/>
      <c r="R20" s="88">
        <f t="shared" si="0"/>
        <v>11.36</v>
      </c>
    </row>
    <row r="21" spans="1:18">
      <c r="A21" s="68">
        <f>MAX(A$13:A20)+1</f>
        <v>7</v>
      </c>
      <c r="B21" s="89" t="s">
        <v>123</v>
      </c>
      <c r="C21" s="86"/>
      <c r="D21" s="90" t="s">
        <v>124</v>
      </c>
      <c r="E21" s="86"/>
      <c r="F21" s="102">
        <v>37</v>
      </c>
      <c r="G21" s="86"/>
      <c r="H21" s="102">
        <v>3907.4969999999998</v>
      </c>
      <c r="I21" s="86"/>
      <c r="J21" s="97">
        <v>340.60899999999998</v>
      </c>
      <c r="K21" s="93"/>
      <c r="L21" s="97">
        <f>J21+N21</f>
        <v>335.41399999999999</v>
      </c>
      <c r="M21" s="93"/>
      <c r="N21" s="133">
        <v>-5.1950000000000003</v>
      </c>
      <c r="O21" s="134"/>
      <c r="P21" s="103">
        <v>-1.525188622608702E-2</v>
      </c>
      <c r="Q21" s="86"/>
      <c r="R21" s="98">
        <f t="shared" si="0"/>
        <v>8.58</v>
      </c>
    </row>
    <row r="22" spans="1:18">
      <c r="A22" s="68">
        <f>MAX(A$13:A21)+1</f>
        <v>8</v>
      </c>
      <c r="B22" s="104" t="s">
        <v>125</v>
      </c>
      <c r="C22" s="86"/>
      <c r="D22" s="68"/>
      <c r="E22" s="86"/>
      <c r="F22" s="91">
        <f>SUM(F19:F21)</f>
        <v>15385</v>
      </c>
      <c r="G22" s="86"/>
      <c r="H22" s="91">
        <f>SUM(H19:H21)</f>
        <v>6079744.8580845967</v>
      </c>
      <c r="I22" s="86"/>
      <c r="J22" s="92">
        <f>SUM(J19:J21)</f>
        <v>520951.03699999995</v>
      </c>
      <c r="K22" s="93"/>
      <c r="L22" s="92">
        <f>SUM(L19:L21)</f>
        <v>513005.55099999998</v>
      </c>
      <c r="M22" s="93"/>
      <c r="N22" s="131">
        <v>-7945.4859999999999</v>
      </c>
      <c r="O22" s="134"/>
      <c r="P22" s="94">
        <v>-1.5251886330346244E-2</v>
      </c>
      <c r="Q22" s="86"/>
      <c r="R22" s="88">
        <f t="shared" si="0"/>
        <v>8.44</v>
      </c>
    </row>
    <row r="23" spans="1:18">
      <c r="A23" s="68">
        <f>MAX(A$13:A22)+1</f>
        <v>9</v>
      </c>
      <c r="B23" s="89" t="s">
        <v>126</v>
      </c>
      <c r="C23" s="86"/>
      <c r="D23" s="68">
        <v>8</v>
      </c>
      <c r="E23" s="91"/>
      <c r="F23" s="91">
        <v>274</v>
      </c>
      <c r="G23" s="86"/>
      <c r="H23" s="91">
        <v>2187047.3255884075</v>
      </c>
      <c r="I23" s="86"/>
      <c r="J23" s="92">
        <v>162435.073</v>
      </c>
      <c r="K23" s="93"/>
      <c r="L23" s="92">
        <f>J23+N23</f>
        <v>163206.33300000001</v>
      </c>
      <c r="M23" s="93"/>
      <c r="N23" s="131">
        <v>771.26</v>
      </c>
      <c r="O23" s="134"/>
      <c r="P23" s="94">
        <v>4.7481137739129797E-3</v>
      </c>
      <c r="Q23" s="86"/>
      <c r="R23" s="88">
        <f>ROUND(100*L23/H23,2)</f>
        <v>7.46</v>
      </c>
    </row>
    <row r="24" spans="1:18">
      <c r="A24" s="68">
        <f>MAX(A$13:A23)+1</f>
        <v>10</v>
      </c>
      <c r="B24" s="89" t="s">
        <v>127</v>
      </c>
      <c r="C24" s="86"/>
      <c r="D24" s="68">
        <v>9</v>
      </c>
      <c r="E24" s="86"/>
      <c r="F24" s="91">
        <v>149</v>
      </c>
      <c r="G24" s="86"/>
      <c r="H24" s="91">
        <v>5027435.5407653069</v>
      </c>
      <c r="I24" s="86"/>
      <c r="J24" s="92">
        <v>271735.00799999997</v>
      </c>
      <c r="K24" s="93"/>
      <c r="L24" s="92">
        <f>J24+N24</f>
        <v>278459.93699999998</v>
      </c>
      <c r="M24" s="93"/>
      <c r="N24" s="131">
        <v>6724.9290000000001</v>
      </c>
      <c r="O24" s="134"/>
      <c r="P24" s="94">
        <v>2.4748113773912981E-2</v>
      </c>
      <c r="Q24" s="86"/>
      <c r="R24" s="88">
        <f t="shared" si="0"/>
        <v>5.54</v>
      </c>
    </row>
    <row r="25" spans="1:18">
      <c r="A25" s="68">
        <f>MAX(A$13:A24)+1</f>
        <v>11</v>
      </c>
      <c r="B25" s="89" t="s">
        <v>128</v>
      </c>
      <c r="C25" s="86"/>
      <c r="D25" s="90" t="s">
        <v>129</v>
      </c>
      <c r="E25" s="86"/>
      <c r="F25" s="102">
        <v>9</v>
      </c>
      <c r="G25" s="86"/>
      <c r="H25" s="102">
        <v>42590.781425473026</v>
      </c>
      <c r="I25" s="86"/>
      <c r="J25" s="97">
        <v>3139.413</v>
      </c>
      <c r="K25" s="93"/>
      <c r="L25" s="97">
        <f>J25+N25</f>
        <v>3217.1080000000002</v>
      </c>
      <c r="M25" s="93"/>
      <c r="N25" s="133">
        <v>77.694999999999993</v>
      </c>
      <c r="O25" s="134"/>
      <c r="P25" s="103">
        <v>2.4748113773912981E-2</v>
      </c>
      <c r="Q25" s="86"/>
      <c r="R25" s="98">
        <f t="shared" si="0"/>
        <v>7.55</v>
      </c>
    </row>
    <row r="26" spans="1:18">
      <c r="A26" s="68">
        <f>MAX(A$13:A25)+1</f>
        <v>12</v>
      </c>
      <c r="B26" s="104" t="s">
        <v>130</v>
      </c>
      <c r="C26" s="86"/>
      <c r="D26" s="68"/>
      <c r="E26" s="86"/>
      <c r="F26" s="91">
        <f>SUM(F24:F25)</f>
        <v>158</v>
      </c>
      <c r="G26" s="86"/>
      <c r="H26" s="91">
        <f>SUM(H24:H25)</f>
        <v>5070026.3221907802</v>
      </c>
      <c r="I26" s="86"/>
      <c r="J26" s="92">
        <f>SUM(J24:J25)</f>
        <v>274874.42099999997</v>
      </c>
      <c r="K26" s="93"/>
      <c r="L26" s="92">
        <f>SUM(L24:L25)</f>
        <v>281677.04499999998</v>
      </c>
      <c r="M26" s="93"/>
      <c r="N26" s="131">
        <v>6802.6239999999998</v>
      </c>
      <c r="O26" s="134"/>
      <c r="P26" s="94">
        <v>2.4748115795030636E-2</v>
      </c>
      <c r="Q26" s="86"/>
      <c r="R26" s="88">
        <f t="shared" si="0"/>
        <v>5.56</v>
      </c>
    </row>
    <row r="27" spans="1:18">
      <c r="A27" s="68">
        <f>MAX(A$13:A26)+1</f>
        <v>13</v>
      </c>
      <c r="B27" s="89" t="s">
        <v>66</v>
      </c>
      <c r="C27" s="86"/>
      <c r="D27" s="90">
        <v>10</v>
      </c>
      <c r="E27" s="86"/>
      <c r="F27" s="91">
        <v>2784.3333333333335</v>
      </c>
      <c r="G27" s="86"/>
      <c r="H27" s="91">
        <v>173133.39199999999</v>
      </c>
      <c r="I27" s="86"/>
      <c r="J27" s="92">
        <v>12709.311</v>
      </c>
      <c r="K27" s="93"/>
      <c r="L27" s="92">
        <f>J27+N27</f>
        <v>13023.842000000001</v>
      </c>
      <c r="M27" s="93"/>
      <c r="N27" s="131">
        <v>314.53100000000001</v>
      </c>
      <c r="O27" s="134"/>
      <c r="P27" s="94">
        <v>2.4748113773912981E-2</v>
      </c>
      <c r="Q27" s="86"/>
      <c r="R27" s="88">
        <f t="shared" si="0"/>
        <v>7.52</v>
      </c>
    </row>
    <row r="28" spans="1:18">
      <c r="A28" s="68">
        <f>MAX(A$13:A27)+1</f>
        <v>14</v>
      </c>
      <c r="B28" s="89" t="s">
        <v>131</v>
      </c>
      <c r="C28" s="86"/>
      <c r="D28" s="90" t="s">
        <v>132</v>
      </c>
      <c r="E28" s="86"/>
      <c r="F28" s="102">
        <v>261</v>
      </c>
      <c r="G28" s="86"/>
      <c r="H28" s="102">
        <v>16756.608</v>
      </c>
      <c r="I28" s="86"/>
      <c r="J28" s="97">
        <v>1239.4849999999999</v>
      </c>
      <c r="K28" s="93"/>
      <c r="L28" s="97">
        <f>J28+N28</f>
        <v>1270.1599999999999</v>
      </c>
      <c r="M28" s="93"/>
      <c r="N28" s="133">
        <v>30.675000000000001</v>
      </c>
      <c r="O28" s="134"/>
      <c r="P28" s="103">
        <v>2.4748113773912981E-2</v>
      </c>
      <c r="Q28" s="86"/>
      <c r="R28" s="98">
        <f t="shared" si="0"/>
        <v>7.58</v>
      </c>
    </row>
    <row r="29" spans="1:18">
      <c r="A29" s="68">
        <f>MAX(A$13:A28)+1</f>
        <v>15</v>
      </c>
      <c r="B29" s="104" t="s">
        <v>133</v>
      </c>
      <c r="C29" s="86"/>
      <c r="D29" s="68"/>
      <c r="E29" s="86"/>
      <c r="F29" s="91">
        <f>SUM(F27:F28)</f>
        <v>3045.3333333333335</v>
      </c>
      <c r="G29" s="86"/>
      <c r="H29" s="91">
        <f>SUM(H27:H28)</f>
        <v>189890</v>
      </c>
      <c r="I29" s="86"/>
      <c r="J29" s="92">
        <f>SUM(J27:J28)</f>
        <v>13948.796</v>
      </c>
      <c r="K29" s="93"/>
      <c r="L29" s="92">
        <f>SUM(L27:L28)</f>
        <v>14294.002</v>
      </c>
      <c r="M29" s="93"/>
      <c r="N29" s="131">
        <v>345.20600000000002</v>
      </c>
      <c r="O29" s="134"/>
      <c r="P29" s="94">
        <v>2.4748085784608222E-2</v>
      </c>
      <c r="Q29" s="86"/>
      <c r="R29" s="88">
        <f t="shared" si="0"/>
        <v>7.53</v>
      </c>
    </row>
    <row r="30" spans="1:18">
      <c r="A30" s="68">
        <f>MAX(A$13:A29)+1</f>
        <v>16</v>
      </c>
      <c r="B30" s="89" t="s">
        <v>134</v>
      </c>
      <c r="C30" s="86"/>
      <c r="D30" s="68">
        <v>21</v>
      </c>
      <c r="E30" s="86"/>
      <c r="F30" s="91">
        <v>5</v>
      </c>
      <c r="G30" s="86"/>
      <c r="H30" s="91">
        <v>4048.7003377015881</v>
      </c>
      <c r="I30" s="86"/>
      <c r="J30" s="92">
        <v>453.78500000000003</v>
      </c>
      <c r="K30" s="93"/>
      <c r="L30" s="92">
        <f t="shared" ref="L30:L36" si="1">J30+N30</f>
        <v>465.01500000000004</v>
      </c>
      <c r="M30" s="93"/>
      <c r="N30" s="131">
        <v>11.23</v>
      </c>
      <c r="O30" s="134"/>
      <c r="P30" s="94">
        <v>2.4748113773912981E-2</v>
      </c>
      <c r="Q30" s="86"/>
      <c r="R30" s="88">
        <f t="shared" si="0"/>
        <v>11.49</v>
      </c>
    </row>
    <row r="31" spans="1:18">
      <c r="A31" s="68">
        <f>MAX(A$13:A30)+1</f>
        <v>17</v>
      </c>
      <c r="B31" s="89" t="s">
        <v>135</v>
      </c>
      <c r="C31" s="86"/>
      <c r="D31" s="101">
        <v>23</v>
      </c>
      <c r="E31" s="86"/>
      <c r="F31" s="91">
        <v>82668</v>
      </c>
      <c r="G31" s="86"/>
      <c r="H31" s="91">
        <v>1390888.2107534346</v>
      </c>
      <c r="I31" s="86"/>
      <c r="J31" s="92">
        <v>137738.93700000001</v>
      </c>
      <c r="K31" s="93"/>
      <c r="L31" s="92">
        <f t="shared" si="1"/>
        <v>137015.54800000001</v>
      </c>
      <c r="M31" s="93"/>
      <c r="N31" s="131">
        <v>-723.38900000000001</v>
      </c>
      <c r="O31" s="134"/>
      <c r="P31" s="94">
        <v>-5.2518862260870205E-3</v>
      </c>
      <c r="Q31" s="86"/>
      <c r="R31" s="88">
        <f t="shared" si="0"/>
        <v>9.85</v>
      </c>
    </row>
    <row r="32" spans="1:18">
      <c r="A32" s="68">
        <f>MAX(A$13:A31)+1</f>
        <v>18</v>
      </c>
      <c r="B32" s="89" t="s">
        <v>136</v>
      </c>
      <c r="C32" s="86"/>
      <c r="D32" s="68">
        <v>31</v>
      </c>
      <c r="E32" s="86"/>
      <c r="F32" s="91">
        <v>4</v>
      </c>
      <c r="G32" s="86"/>
      <c r="H32" s="91">
        <v>56282.44502511515</v>
      </c>
      <c r="I32" s="86"/>
      <c r="J32" s="92">
        <v>4219.4679999999998</v>
      </c>
      <c r="K32" s="93"/>
      <c r="L32" s="92">
        <f t="shared" si="1"/>
        <v>4323.8919999999998</v>
      </c>
      <c r="M32" s="93"/>
      <c r="N32" s="131">
        <v>104.42400000000001</v>
      </c>
      <c r="O32" s="134"/>
      <c r="P32" s="94">
        <v>2.4748113773912981E-2</v>
      </c>
      <c r="Q32" s="86"/>
      <c r="R32" s="88">
        <f t="shared" si="0"/>
        <v>7.68</v>
      </c>
    </row>
    <row r="33" spans="1:18">
      <c r="A33" s="68">
        <f>MAX(A$13:A32)+1</f>
        <v>19</v>
      </c>
      <c r="B33" s="89" t="s">
        <v>137</v>
      </c>
      <c r="C33" s="86"/>
      <c r="D33" s="90" t="s">
        <v>117</v>
      </c>
      <c r="E33" s="86"/>
      <c r="F33" s="91">
        <v>1</v>
      </c>
      <c r="G33" s="86"/>
      <c r="H33" s="91">
        <v>535721.17000000004</v>
      </c>
      <c r="I33" s="86"/>
      <c r="J33" s="92">
        <v>27176.952000000001</v>
      </c>
      <c r="K33" s="93"/>
      <c r="L33" s="92">
        <f t="shared" si="1"/>
        <v>27321.195</v>
      </c>
      <c r="M33" s="93"/>
      <c r="N33" s="131">
        <v>144.24299999999999</v>
      </c>
      <c r="O33" s="134"/>
      <c r="P33" s="94">
        <v>5.307552899680136E-3</v>
      </c>
      <c r="Q33" s="86"/>
      <c r="R33" s="88">
        <f t="shared" si="0"/>
        <v>5.0999999999999996</v>
      </c>
    </row>
    <row r="34" spans="1:18">
      <c r="A34" s="68">
        <f>MAX(A$13:A33)+1</f>
        <v>20</v>
      </c>
      <c r="B34" s="89" t="s">
        <v>138</v>
      </c>
      <c r="C34" s="86"/>
      <c r="D34" s="90" t="s">
        <v>117</v>
      </c>
      <c r="E34" s="86"/>
      <c r="F34" s="91">
        <v>1</v>
      </c>
      <c r="G34" s="86"/>
      <c r="H34" s="91">
        <v>795798.67578575748</v>
      </c>
      <c r="I34" s="86"/>
      <c r="J34" s="92">
        <v>35062.89</v>
      </c>
      <c r="K34" s="93"/>
      <c r="L34" s="92">
        <f t="shared" si="1"/>
        <v>35062.89</v>
      </c>
      <c r="M34" s="93"/>
      <c r="N34" s="131">
        <v>0</v>
      </c>
      <c r="O34" s="134"/>
      <c r="P34" s="94">
        <v>0</v>
      </c>
      <c r="Q34" s="86"/>
      <c r="R34" s="88">
        <f t="shared" si="0"/>
        <v>4.41</v>
      </c>
    </row>
    <row r="35" spans="1:18">
      <c r="A35" s="68">
        <f>MAX(A$13:A34)+1</f>
        <v>21</v>
      </c>
      <c r="B35" s="89" t="s">
        <v>139</v>
      </c>
      <c r="C35" s="86"/>
      <c r="D35" s="90" t="s">
        <v>117</v>
      </c>
      <c r="E35" s="86"/>
      <c r="F35" s="91">
        <v>1</v>
      </c>
      <c r="G35" s="86"/>
      <c r="H35" s="91">
        <v>621809.33325000003</v>
      </c>
      <c r="I35" s="86"/>
      <c r="J35" s="92">
        <v>28644.834999999999</v>
      </c>
      <c r="K35" s="93"/>
      <c r="L35" s="92">
        <f t="shared" si="1"/>
        <v>29353.740999999998</v>
      </c>
      <c r="M35" s="93"/>
      <c r="N35" s="131">
        <v>708.90599999999995</v>
      </c>
      <c r="O35" s="134"/>
      <c r="P35" s="94">
        <v>2.4748113773912981E-2</v>
      </c>
      <c r="Q35" s="86"/>
      <c r="R35" s="88">
        <f t="shared" si="0"/>
        <v>4.72</v>
      </c>
    </row>
    <row r="36" spans="1:18">
      <c r="A36" s="68">
        <f>MAX(A$13:A35)+1</f>
        <v>22</v>
      </c>
      <c r="B36" s="89" t="s">
        <v>116</v>
      </c>
      <c r="C36" s="86"/>
      <c r="D36" s="95" t="s">
        <v>117</v>
      </c>
      <c r="E36" s="86"/>
      <c r="F36" s="96"/>
      <c r="G36" s="86"/>
      <c r="H36" s="96"/>
      <c r="I36" s="86"/>
      <c r="J36" s="97">
        <v>2927.6937100000005</v>
      </c>
      <c r="K36" s="93"/>
      <c r="L36" s="97">
        <f t="shared" si="1"/>
        <v>2927.6937100000005</v>
      </c>
      <c r="M36" s="93"/>
      <c r="N36" s="133">
        <v>0</v>
      </c>
      <c r="O36" s="134"/>
      <c r="P36" s="103">
        <v>0</v>
      </c>
      <c r="Q36" s="86"/>
      <c r="R36" s="98"/>
    </row>
    <row r="37" spans="1:18">
      <c r="A37" s="68">
        <f>MAX(A$13:A36)+1</f>
        <v>23</v>
      </c>
      <c r="B37" s="74" t="s">
        <v>140</v>
      </c>
      <c r="C37" s="86"/>
      <c r="D37" s="68"/>
      <c r="E37" s="86"/>
      <c r="F37" s="91">
        <f>SUM(F19:F21,F23:F25,F27:F28,F30:F36)</f>
        <v>101542.33333333333</v>
      </c>
      <c r="G37" s="86"/>
      <c r="H37" s="91">
        <f>SUM(H19:H21,H23:H25,H27:H28,H30:H36)</f>
        <v>16931257.041015793</v>
      </c>
      <c r="I37" s="86"/>
      <c r="J37" s="92">
        <f>SUM(J19:J21,J23:J25,J27:J28,J30:J36)</f>
        <v>1208433.8877099999</v>
      </c>
      <c r="K37" s="93"/>
      <c r="L37" s="92">
        <f>SUM(L19:L21,L23:L25,L27:L28,L30:L36)</f>
        <v>1208652.9057099998</v>
      </c>
      <c r="M37" s="93"/>
      <c r="N37" s="131">
        <v>219.01800000000031</v>
      </c>
      <c r="O37" s="134"/>
      <c r="P37" s="94">
        <v>1.8124119343842853E-4</v>
      </c>
      <c r="Q37" s="86"/>
      <c r="R37" s="88">
        <f>ROUND(100*L37/H37,2)</f>
        <v>7.14</v>
      </c>
    </row>
    <row r="38" spans="1:18" ht="18" customHeight="1">
      <c r="A38" s="68">
        <f>MAX(A$13:A37)+1</f>
        <v>24</v>
      </c>
      <c r="B38" s="99" t="s">
        <v>152</v>
      </c>
      <c r="C38" s="86"/>
      <c r="D38" s="68"/>
      <c r="E38" s="86"/>
      <c r="F38" s="91">
        <f>F37-SUM(F34,F36)</f>
        <v>101541.33333333333</v>
      </c>
      <c r="G38" s="86"/>
      <c r="H38" s="91">
        <f>H37-SUM(H34,H36)</f>
        <v>16135458.365230035</v>
      </c>
      <c r="I38" s="86"/>
      <c r="J38" s="92">
        <f>J37-SUM(J34,J36)</f>
        <v>1170443.304</v>
      </c>
      <c r="K38" s="93"/>
      <c r="L38" s="92">
        <f>L37-SUM(L34,L36)</f>
        <v>1170662.3219999999</v>
      </c>
      <c r="M38" s="93"/>
      <c r="N38" s="131">
        <v>219.01800000000031</v>
      </c>
      <c r="O38" s="134"/>
      <c r="P38" s="94">
        <v>1.8712397196131108E-4</v>
      </c>
      <c r="Q38" s="86"/>
      <c r="R38" s="88">
        <f>ROUND(100*L38/H38,2)</f>
        <v>7.26</v>
      </c>
    </row>
    <row r="39" spans="1:18">
      <c r="A39" s="68"/>
      <c r="B39" s="74" t="s">
        <v>141</v>
      </c>
      <c r="C39" s="86"/>
      <c r="D39" s="68"/>
      <c r="E39" s="86"/>
      <c r="F39" s="91"/>
      <c r="G39" s="86"/>
      <c r="H39" s="91"/>
      <c r="I39" s="86"/>
      <c r="J39" s="92"/>
      <c r="K39" s="93"/>
      <c r="L39" s="92"/>
      <c r="M39" s="93"/>
      <c r="N39" s="131"/>
      <c r="O39" s="134"/>
      <c r="P39" s="94"/>
      <c r="Q39" s="86"/>
      <c r="R39" s="88"/>
    </row>
    <row r="40" spans="1:18">
      <c r="A40" s="68">
        <f>MAX(A$13:A39)+1</f>
        <v>25</v>
      </c>
      <c r="B40" s="89" t="s">
        <v>142</v>
      </c>
      <c r="C40" s="86"/>
      <c r="D40" s="68">
        <v>7</v>
      </c>
      <c r="E40" s="86"/>
      <c r="F40" s="91">
        <v>8046</v>
      </c>
      <c r="G40" s="86"/>
      <c r="H40" s="91">
        <v>12440.930563737753</v>
      </c>
      <c r="I40" s="86"/>
      <c r="J40" s="92">
        <v>2999.06</v>
      </c>
      <c r="K40" s="93"/>
      <c r="L40" s="92">
        <f t="shared" ref="L40:L47" si="2">J40+N40</f>
        <v>2999.06</v>
      </c>
      <c r="M40" s="93"/>
      <c r="N40" s="131">
        <v>0</v>
      </c>
      <c r="O40" s="134"/>
      <c r="P40" s="94">
        <v>0</v>
      </c>
      <c r="Q40" s="86"/>
      <c r="R40" s="88">
        <f t="shared" ref="R40:R46" si="3">ROUND(100*L40/H40,2)</f>
        <v>24.11</v>
      </c>
    </row>
    <row r="41" spans="1:18">
      <c r="A41" s="68">
        <f>MAX(A$13:A40)+1</f>
        <v>26</v>
      </c>
      <c r="B41" s="89" t="s">
        <v>143</v>
      </c>
      <c r="C41" s="86"/>
      <c r="D41" s="68">
        <v>11</v>
      </c>
      <c r="E41" s="86"/>
      <c r="F41" s="91">
        <v>809.41666666666663</v>
      </c>
      <c r="G41" s="86"/>
      <c r="H41" s="91">
        <v>16496.197391013095</v>
      </c>
      <c r="I41" s="86"/>
      <c r="J41" s="92">
        <v>4979.3900000000003</v>
      </c>
      <c r="K41" s="93"/>
      <c r="L41" s="92">
        <f t="shared" si="2"/>
        <v>4979.3900000000003</v>
      </c>
      <c r="M41" s="93"/>
      <c r="N41" s="131">
        <v>0</v>
      </c>
      <c r="O41" s="134"/>
      <c r="P41" s="94">
        <v>0</v>
      </c>
      <c r="Q41" s="86"/>
      <c r="R41" s="88">
        <f t="shared" si="3"/>
        <v>30.19</v>
      </c>
    </row>
    <row r="42" spans="1:18">
      <c r="A42" s="68">
        <f>MAX(A$13:A41)+1</f>
        <v>27</v>
      </c>
      <c r="B42" s="89" t="s">
        <v>144</v>
      </c>
      <c r="C42" s="86"/>
      <c r="D42" s="68">
        <v>12</v>
      </c>
      <c r="E42" s="86"/>
      <c r="F42" s="91">
        <v>839</v>
      </c>
      <c r="G42" s="86"/>
      <c r="H42" s="106">
        <v>56516.774129293255</v>
      </c>
      <c r="I42" s="86"/>
      <c r="J42" s="92">
        <v>4144.8670000000002</v>
      </c>
      <c r="K42" s="93"/>
      <c r="L42" s="92">
        <f t="shared" si="2"/>
        <v>4144.8670000000002</v>
      </c>
      <c r="M42" s="93"/>
      <c r="N42" s="131">
        <v>0</v>
      </c>
      <c r="O42" s="134"/>
      <c r="P42" s="94">
        <v>0</v>
      </c>
      <c r="Q42" s="86"/>
      <c r="R42" s="88">
        <f t="shared" si="3"/>
        <v>7.33</v>
      </c>
    </row>
    <row r="43" spans="1:18">
      <c r="A43" s="68">
        <f>MAX(A$13:A42)+1</f>
        <v>28</v>
      </c>
      <c r="B43" s="89" t="s">
        <v>145</v>
      </c>
      <c r="C43" s="86"/>
      <c r="D43" s="68">
        <v>15</v>
      </c>
      <c r="E43" s="86"/>
      <c r="F43" s="91">
        <v>2466</v>
      </c>
      <c r="G43" s="86"/>
      <c r="H43" s="106">
        <v>6177.9471587633907</v>
      </c>
      <c r="I43" s="86"/>
      <c r="J43" s="92">
        <v>682.02800000000002</v>
      </c>
      <c r="K43" s="107"/>
      <c r="L43" s="108">
        <f t="shared" si="2"/>
        <v>705.72699999999998</v>
      </c>
      <c r="M43" s="107"/>
      <c r="N43" s="135">
        <v>23.699000000000002</v>
      </c>
      <c r="O43" s="136"/>
      <c r="P43" s="110">
        <v>3.4748113773912979E-2</v>
      </c>
      <c r="Q43" s="109"/>
      <c r="R43" s="111">
        <f t="shared" si="3"/>
        <v>11.42</v>
      </c>
    </row>
    <row r="44" spans="1:18">
      <c r="A44" s="68">
        <f>MAX(A$13:A43)+1</f>
        <v>29</v>
      </c>
      <c r="B44" s="89" t="s">
        <v>146</v>
      </c>
      <c r="C44" s="86"/>
      <c r="D44" s="68">
        <v>15</v>
      </c>
      <c r="E44" s="86"/>
      <c r="F44" s="102">
        <v>515</v>
      </c>
      <c r="G44" s="86"/>
      <c r="H44" s="102">
        <v>17536.444611929484</v>
      </c>
      <c r="I44" s="86"/>
      <c r="J44" s="97">
        <v>1234.6020000000001</v>
      </c>
      <c r="K44" s="93"/>
      <c r="L44" s="97">
        <f>J44+N44</f>
        <v>1234.6020000000001</v>
      </c>
      <c r="M44" s="93"/>
      <c r="N44" s="133">
        <v>0</v>
      </c>
      <c r="O44" s="134"/>
      <c r="P44" s="103">
        <v>0</v>
      </c>
      <c r="Q44" s="86"/>
      <c r="R44" s="98">
        <f>ROUND(100*L44/H44,2)</f>
        <v>7.04</v>
      </c>
    </row>
    <row r="45" spans="1:18">
      <c r="A45" s="68">
        <f>MAX(A$13:A44)+1</f>
        <v>30</v>
      </c>
      <c r="B45" s="112" t="s">
        <v>147</v>
      </c>
      <c r="C45" s="113"/>
      <c r="D45" s="68"/>
      <c r="E45" s="113"/>
      <c r="F45" s="91">
        <f>SUM(F40:F44)</f>
        <v>12675.416666666666</v>
      </c>
      <c r="G45" s="113"/>
      <c r="H45" s="91">
        <f>SUM(H40:H44)</f>
        <v>109168.29385473697</v>
      </c>
      <c r="I45" s="113"/>
      <c r="J45" s="92">
        <f>SUM(J40:J44)</f>
        <v>14039.947000000002</v>
      </c>
      <c r="K45" s="92"/>
      <c r="L45" s="92">
        <f>SUM(L40:M44)</f>
        <v>14063.646000000002</v>
      </c>
      <c r="M45" s="92"/>
      <c r="N45" s="131">
        <v>23.699000000000002</v>
      </c>
      <c r="O45" s="137"/>
      <c r="P45" s="94">
        <v>1.6879693349269764E-3</v>
      </c>
      <c r="Q45" s="113"/>
      <c r="R45" s="88">
        <f t="shared" si="3"/>
        <v>12.88</v>
      </c>
    </row>
    <row r="46" spans="1:18">
      <c r="A46" s="68">
        <f>MAX(A$13:A45)+1</f>
        <v>31</v>
      </c>
      <c r="B46" s="89" t="s">
        <v>148</v>
      </c>
      <c r="C46" s="86"/>
      <c r="D46" s="90" t="s">
        <v>117</v>
      </c>
      <c r="E46" s="86"/>
      <c r="F46" s="91">
        <v>5</v>
      </c>
      <c r="G46" s="86"/>
      <c r="H46" s="91">
        <v>7.7366128294616923</v>
      </c>
      <c r="I46" s="86"/>
      <c r="J46" s="92">
        <v>0.58299999999999996</v>
      </c>
      <c r="K46" s="93"/>
      <c r="L46" s="92">
        <f t="shared" si="2"/>
        <v>0.58299999999999996</v>
      </c>
      <c r="M46" s="93"/>
      <c r="N46" s="131">
        <v>0</v>
      </c>
      <c r="O46" s="134"/>
      <c r="P46" s="94">
        <v>0</v>
      </c>
      <c r="Q46" s="86"/>
      <c r="R46" s="88">
        <f t="shared" si="3"/>
        <v>7.54</v>
      </c>
    </row>
    <row r="47" spans="1:18">
      <c r="A47" s="68">
        <f>MAX(A$13:A46)+1</f>
        <v>32</v>
      </c>
      <c r="B47" s="89" t="s">
        <v>116</v>
      </c>
      <c r="C47" s="114"/>
      <c r="D47" s="95" t="s">
        <v>117</v>
      </c>
      <c r="E47" s="114"/>
      <c r="F47" s="115"/>
      <c r="G47" s="114"/>
      <c r="H47" s="115"/>
      <c r="I47" s="114"/>
      <c r="J47" s="97">
        <v>4.6616400000000002</v>
      </c>
      <c r="K47" s="93"/>
      <c r="L47" s="97">
        <f t="shared" si="2"/>
        <v>4.6616400000000002</v>
      </c>
      <c r="M47" s="93"/>
      <c r="N47" s="133">
        <v>0</v>
      </c>
      <c r="O47" s="138"/>
      <c r="P47" s="103">
        <v>0</v>
      </c>
      <c r="Q47" s="114"/>
      <c r="R47" s="98"/>
    </row>
    <row r="48" spans="1:18">
      <c r="A48" s="68">
        <f>MAX(A$13:A47)+1</f>
        <v>33</v>
      </c>
      <c r="B48" s="74" t="s">
        <v>149</v>
      </c>
      <c r="C48" s="86"/>
      <c r="D48" s="116"/>
      <c r="E48" s="86"/>
      <c r="F48" s="102">
        <f>SUM(F46:F47)+F45</f>
        <v>12680.416666666666</v>
      </c>
      <c r="G48" s="86"/>
      <c r="H48" s="102">
        <f>SUM(H46:H47)+H45</f>
        <v>109176.03046756644</v>
      </c>
      <c r="I48" s="86"/>
      <c r="J48" s="97">
        <f>SUM(J46:J47)+J45</f>
        <v>14045.191640000003</v>
      </c>
      <c r="K48" s="93"/>
      <c r="L48" s="117">
        <f>SUM(L45:L47)</f>
        <v>14068.890640000003</v>
      </c>
      <c r="M48" s="93"/>
      <c r="N48" s="139">
        <v>23.699000000000002</v>
      </c>
      <c r="O48" s="134"/>
      <c r="P48" s="103">
        <v>1.6873390272943258E-3</v>
      </c>
      <c r="Q48" s="86"/>
      <c r="R48" s="98">
        <f>ROUND(100*L48/H48,2)</f>
        <v>12.89</v>
      </c>
    </row>
    <row r="49" spans="1:18" ht="15.75" thickBot="1">
      <c r="A49" s="68">
        <f>MAX(A$13:A48)+1</f>
        <v>34</v>
      </c>
      <c r="B49" s="74" t="s">
        <v>150</v>
      </c>
      <c r="C49" s="86"/>
      <c r="D49" s="116"/>
      <c r="E49" s="86"/>
      <c r="F49" s="118">
        <f>F48+F37+F17</f>
        <v>854858.75</v>
      </c>
      <c r="G49" s="86"/>
      <c r="H49" s="118">
        <f>H48+H37+H17</f>
        <v>23244284.921518605</v>
      </c>
      <c r="I49" s="86"/>
      <c r="J49" s="119">
        <f>J48+J37+J17</f>
        <v>1884107.45762</v>
      </c>
      <c r="K49" s="93"/>
      <c r="L49" s="119">
        <f>L48+L37+L17</f>
        <v>1894107.45762</v>
      </c>
      <c r="M49" s="93"/>
      <c r="N49" s="140">
        <v>10000</v>
      </c>
      <c r="O49" s="134"/>
      <c r="P49" s="120">
        <v>5.307552899680136E-3</v>
      </c>
      <c r="Q49" s="86"/>
      <c r="R49" s="121">
        <f>ROUND(100*L49/H49,2)</f>
        <v>8.15</v>
      </c>
    </row>
    <row r="50" spans="1:18" ht="16.5" thickTop="1" thickBot="1">
      <c r="A50" s="68">
        <f>MAX(A$13:A49)+1</f>
        <v>35</v>
      </c>
      <c r="B50" s="85" t="s">
        <v>151</v>
      </c>
      <c r="C50" s="86"/>
      <c r="D50" s="116"/>
      <c r="E50" s="86"/>
      <c r="F50" s="118">
        <f>F45+F38+F17-F16</f>
        <v>854852.75</v>
      </c>
      <c r="G50" s="86"/>
      <c r="H50" s="118">
        <f>H45+H38+H17-H16</f>
        <v>22448478.509120017</v>
      </c>
      <c r="I50" s="86"/>
      <c r="J50" s="119">
        <f>J45+J38+J17-J16</f>
        <v>1846078.5889999999</v>
      </c>
      <c r="K50" s="93"/>
      <c r="L50" s="119">
        <f>L45+L38+L17-L16</f>
        <v>1856078.5889999999</v>
      </c>
      <c r="M50" s="93"/>
      <c r="N50" s="140">
        <v>10000</v>
      </c>
      <c r="O50" s="134"/>
      <c r="P50" s="120">
        <v>5.4168874822479191E-3</v>
      </c>
      <c r="Q50" s="86"/>
      <c r="R50" s="121">
        <f>ROUND(100*L50/H50,2)</f>
        <v>8.27</v>
      </c>
    </row>
    <row r="51" spans="1:18" ht="15.75" thickTop="1">
      <c r="A51" s="68"/>
      <c r="B51" s="74"/>
      <c r="C51" s="86"/>
      <c r="D51" s="116"/>
      <c r="E51" s="86"/>
      <c r="F51" s="86"/>
      <c r="G51" s="86"/>
      <c r="H51" s="86"/>
      <c r="I51" s="86"/>
      <c r="J51" s="86"/>
      <c r="K51" s="86"/>
      <c r="L51" s="86"/>
      <c r="M51" s="86"/>
      <c r="N51" s="134"/>
      <c r="O51" s="134"/>
      <c r="P51" s="141"/>
      <c r="Q51" s="86"/>
      <c r="R51" s="88"/>
    </row>
    <row r="52" spans="1:18">
      <c r="A52" s="122"/>
      <c r="B52" s="116"/>
      <c r="C52" s="109"/>
      <c r="D52" s="116"/>
      <c r="E52" s="109"/>
      <c r="F52" s="109"/>
      <c r="G52" s="86"/>
      <c r="H52" s="109"/>
      <c r="I52" s="109"/>
      <c r="J52" s="109"/>
      <c r="K52" s="109"/>
      <c r="L52" s="123"/>
      <c r="M52" s="109"/>
      <c r="N52" s="152"/>
      <c r="O52" s="136"/>
      <c r="P52" s="136"/>
      <c r="Q52" s="109"/>
      <c r="R52" s="88"/>
    </row>
    <row r="53" spans="1:18">
      <c r="A53" s="116"/>
      <c r="B53" s="116"/>
      <c r="C53" s="109"/>
      <c r="D53" s="116"/>
      <c r="E53" s="109"/>
      <c r="F53" s="109"/>
      <c r="G53" s="86"/>
      <c r="H53" s="109"/>
      <c r="I53" s="109"/>
      <c r="J53" s="109"/>
      <c r="K53" s="109"/>
      <c r="L53" s="123"/>
      <c r="M53" s="109"/>
      <c r="N53" s="155"/>
      <c r="O53" s="136"/>
      <c r="P53" s="136"/>
      <c r="Q53" s="109"/>
      <c r="R53" s="88"/>
    </row>
    <row r="54" spans="1:18">
      <c r="A54" s="116"/>
      <c r="B54" s="116"/>
      <c r="C54" s="109"/>
      <c r="D54" s="116"/>
      <c r="E54" s="109"/>
      <c r="F54" s="109"/>
      <c r="G54" s="86"/>
      <c r="H54" s="109"/>
      <c r="I54" s="109"/>
      <c r="J54" s="109"/>
      <c r="K54" s="109"/>
      <c r="L54" s="123"/>
      <c r="M54" s="109"/>
      <c r="N54" s="124"/>
      <c r="O54" s="136"/>
      <c r="P54" s="136"/>
      <c r="Q54" s="109"/>
      <c r="R54" s="88"/>
    </row>
    <row r="55" spans="1:18">
      <c r="A55" s="116"/>
      <c r="B55" s="116"/>
      <c r="C55" s="109"/>
      <c r="D55" s="116"/>
      <c r="E55" s="109"/>
      <c r="F55" s="109"/>
      <c r="G55" s="86"/>
      <c r="H55" s="109"/>
      <c r="I55" s="109"/>
      <c r="J55" s="109"/>
      <c r="K55" s="109"/>
      <c r="L55" s="123"/>
      <c r="M55" s="109"/>
      <c r="N55" s="124"/>
      <c r="O55" s="136"/>
      <c r="P55" s="153"/>
      <c r="Q55" s="109"/>
      <c r="R55" s="88"/>
    </row>
    <row r="56" spans="1:18">
      <c r="A56" s="116"/>
      <c r="B56" s="116"/>
      <c r="C56" s="109"/>
      <c r="D56" s="116"/>
      <c r="E56" s="109"/>
      <c r="F56" s="109"/>
      <c r="G56" s="86"/>
      <c r="H56" s="109"/>
      <c r="I56" s="109"/>
      <c r="J56" s="109"/>
      <c r="K56" s="109"/>
      <c r="L56" s="125"/>
      <c r="M56" s="109"/>
      <c r="N56" s="124"/>
      <c r="O56" s="136"/>
      <c r="P56" s="154"/>
      <c r="Q56" s="109"/>
      <c r="R56" s="88"/>
    </row>
    <row r="57" spans="1:18">
      <c r="A57" s="116"/>
      <c r="B57" s="116"/>
      <c r="C57" s="109"/>
      <c r="D57" s="116"/>
      <c r="E57" s="109"/>
      <c r="F57" s="109"/>
      <c r="G57" s="86"/>
      <c r="H57" s="109"/>
      <c r="I57" s="109"/>
      <c r="J57" s="109"/>
      <c r="K57" s="109"/>
      <c r="L57" s="126"/>
      <c r="M57" s="109"/>
      <c r="N57" s="124"/>
      <c r="O57" s="136"/>
      <c r="P57" s="154"/>
      <c r="Q57" s="109"/>
      <c r="R57" s="127"/>
    </row>
    <row r="58" spans="1:18">
      <c r="A58" s="116"/>
      <c r="B58" s="116"/>
      <c r="C58" s="109"/>
      <c r="D58" s="116"/>
      <c r="E58" s="109"/>
      <c r="F58" s="109"/>
      <c r="G58" s="86"/>
      <c r="H58" s="109"/>
      <c r="I58" s="109"/>
      <c r="J58" s="109"/>
      <c r="K58" s="109"/>
      <c r="L58" s="126"/>
      <c r="M58" s="109"/>
      <c r="N58" s="124"/>
      <c r="O58" s="136"/>
      <c r="P58" s="154"/>
      <c r="Q58" s="109"/>
      <c r="R58" s="88"/>
    </row>
    <row r="59" spans="1:18">
      <c r="A59" s="116"/>
      <c r="B59" s="116"/>
      <c r="C59" s="109"/>
      <c r="D59" s="116"/>
      <c r="E59" s="109"/>
      <c r="F59" s="109"/>
      <c r="G59" s="86"/>
      <c r="H59" s="109"/>
      <c r="I59" s="109"/>
      <c r="J59" s="109"/>
      <c r="K59" s="109"/>
      <c r="L59" s="123"/>
      <c r="M59" s="109"/>
      <c r="N59" s="124"/>
      <c r="O59" s="136"/>
      <c r="P59" s="154"/>
      <c r="Q59" s="109"/>
      <c r="R59" s="88"/>
    </row>
    <row r="60" spans="1:18">
      <c r="A60" s="116"/>
      <c r="B60" s="116"/>
      <c r="C60" s="109"/>
      <c r="D60" s="116"/>
      <c r="E60" s="109"/>
      <c r="F60" s="109"/>
      <c r="G60" s="86"/>
      <c r="H60" s="109"/>
      <c r="I60" s="109"/>
      <c r="J60" s="109"/>
      <c r="K60" s="109"/>
      <c r="L60" s="123"/>
      <c r="M60" s="109"/>
      <c r="N60" s="124"/>
      <c r="O60" s="136"/>
      <c r="P60" s="154"/>
      <c r="Q60" s="109"/>
      <c r="R60" s="88"/>
    </row>
    <row r="61" spans="1:18">
      <c r="A61" s="116"/>
      <c r="B61" s="116"/>
      <c r="C61" s="109"/>
      <c r="D61" s="116"/>
      <c r="E61" s="109"/>
      <c r="F61" s="109"/>
      <c r="G61" s="86"/>
      <c r="H61" s="109"/>
      <c r="I61" s="109"/>
      <c r="J61" s="109"/>
      <c r="K61" s="109"/>
      <c r="L61" s="125"/>
      <c r="M61" s="109"/>
      <c r="N61" s="124"/>
      <c r="O61" s="136"/>
      <c r="P61" s="154"/>
      <c r="Q61" s="109"/>
      <c r="R61" s="88"/>
    </row>
    <row r="62" spans="1:18">
      <c r="A62" s="116"/>
      <c r="B62" s="116"/>
      <c r="C62" s="109"/>
      <c r="D62" s="116"/>
      <c r="E62" s="109"/>
      <c r="F62" s="109"/>
      <c r="G62" s="86"/>
      <c r="H62" s="109"/>
      <c r="I62" s="109"/>
      <c r="J62" s="109"/>
      <c r="K62" s="109"/>
      <c r="L62" s="126"/>
      <c r="M62" s="109"/>
      <c r="N62" s="124"/>
      <c r="O62" s="136"/>
      <c r="P62" s="154"/>
      <c r="Q62" s="109"/>
      <c r="R62" s="127"/>
    </row>
    <row r="63" spans="1:18">
      <c r="A63" s="116"/>
      <c r="B63" s="116"/>
      <c r="C63" s="109"/>
      <c r="D63" s="116"/>
      <c r="E63" s="109"/>
      <c r="F63" s="109"/>
      <c r="G63" s="86"/>
      <c r="H63" s="109"/>
      <c r="I63" s="109"/>
      <c r="J63" s="109"/>
      <c r="K63" s="109"/>
      <c r="L63" s="123"/>
      <c r="M63" s="109"/>
      <c r="N63" s="124"/>
      <c r="O63" s="136"/>
      <c r="P63" s="154"/>
      <c r="Q63" s="109"/>
      <c r="R63" s="88"/>
    </row>
    <row r="64" spans="1:18">
      <c r="A64" s="116"/>
      <c r="B64" s="116"/>
      <c r="C64" s="109"/>
      <c r="D64" s="116"/>
      <c r="E64" s="109"/>
      <c r="F64" s="109"/>
      <c r="G64" s="86"/>
      <c r="H64" s="109"/>
      <c r="I64" s="109"/>
      <c r="J64" s="109"/>
      <c r="K64" s="109"/>
      <c r="L64" s="123"/>
      <c r="M64" s="109"/>
      <c r="N64" s="124"/>
      <c r="O64" s="136"/>
      <c r="P64" s="154"/>
      <c r="Q64" s="109"/>
      <c r="R64" s="88"/>
    </row>
    <row r="65" spans="1:18">
      <c r="A65" s="116"/>
      <c r="B65" s="116"/>
      <c r="C65" s="109"/>
      <c r="D65" s="116"/>
      <c r="E65" s="109"/>
      <c r="F65" s="109"/>
      <c r="G65" s="86"/>
      <c r="H65" s="109"/>
      <c r="I65" s="109"/>
      <c r="J65" s="109"/>
      <c r="K65" s="109"/>
      <c r="L65" s="123"/>
      <c r="M65" s="109"/>
      <c r="N65" s="124"/>
      <c r="O65" s="136"/>
      <c r="P65" s="154"/>
      <c r="Q65" s="109"/>
      <c r="R65" s="128"/>
    </row>
    <row r="66" spans="1:18">
      <c r="A66" s="116"/>
      <c r="B66" s="116"/>
      <c r="C66" s="109"/>
      <c r="D66" s="116"/>
      <c r="E66" s="109"/>
      <c r="F66" s="109"/>
      <c r="G66" s="86"/>
      <c r="H66" s="86"/>
      <c r="I66" s="86"/>
      <c r="J66" s="86"/>
      <c r="K66" s="86"/>
      <c r="L66" s="129"/>
      <c r="M66" s="86"/>
      <c r="N66" s="124"/>
      <c r="O66" s="86"/>
      <c r="P66" s="105"/>
      <c r="Q66" s="86"/>
      <c r="R66" s="88"/>
    </row>
    <row r="67" spans="1:18">
      <c r="A67" s="130"/>
      <c r="B67" s="130"/>
      <c r="C67" s="130"/>
      <c r="D67" s="130"/>
      <c r="E67" s="130"/>
      <c r="F67" s="130"/>
    </row>
  </sheetData>
  <mergeCells count="4">
    <mergeCell ref="A1:R1"/>
    <mergeCell ref="A2:R2"/>
    <mergeCell ref="A3:R3"/>
    <mergeCell ref="A5:R5"/>
  </mergeCells>
  <phoneticPr fontId="44" type="noConversion"/>
  <printOptions horizontalCentered="1"/>
  <pageMargins left="1" right="1" top="1.20458333333333" bottom="1" header="0.75031250000000005" footer="0.5"/>
  <pageSetup scale="63" orientation="landscape"/>
  <headerFooter scaleWithDoc="0">
    <oddHeader>&amp;R&amp;8Utah Association of Energy Users
UAE Exhibit COS 2.3
Docket No. 13-035-184
Witness: Neal Townsend
Page 1 of 1</oddHeader>
  </headerFooter>
  <ignoredErrors>
    <ignoredError sqref="F26:K26" formulaRange="1"/>
    <ignoredError sqref="L22:M22 L29:M29 L45" formula="1"/>
    <ignoredError sqref="L26:M26" formula="1" formulaRange="1"/>
    <ignoredError sqref="J10:L1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UAE Direct Exhibit COS 2.1</vt:lpstr>
      <vt:lpstr>UAE Direct Exhibit COS 2.2</vt:lpstr>
      <vt:lpstr>UAE Direct Exhibit COS 2.3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chiggins</dc:creator>
  <cp:lastModifiedBy>laurieharris</cp:lastModifiedBy>
  <cp:lastPrinted>2014-05-22T16:38:03Z</cp:lastPrinted>
  <dcterms:created xsi:type="dcterms:W3CDTF">2014-05-21T18:47:54Z</dcterms:created>
  <dcterms:modified xsi:type="dcterms:W3CDTF">2014-05-23T14:50:31Z</dcterms:modified>
</cp:coreProperties>
</file>