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References" sheetId="5" r:id="rId1"/>
    <sheet name="Figure 2" sheetId="1" r:id="rId2"/>
    <sheet name="Figure 3" sheetId="3" r:id="rId3"/>
    <sheet name="Table 1" sheetId="4" r:id="rId4"/>
    <sheet name="Figure 4" sheetId="7" r:id="rId5"/>
    <sheet name="Focus Years" sheetId="8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0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26" i="1" l="1"/>
  <c r="C8" i="5"/>
  <c r="C2" i="5" l="1"/>
  <c r="C3" i="5" l="1"/>
  <c r="C5" i="5" l="1"/>
  <c r="C4" i="5"/>
  <c r="C6" i="5" l="1"/>
  <c r="C17" i="5" l="1"/>
  <c r="C16" i="5" l="1"/>
  <c r="C14" i="5" l="1"/>
  <c r="C13" i="5" l="1"/>
  <c r="C11" i="5"/>
  <c r="D22" i="1" l="1"/>
  <c r="C12" i="5" s="1"/>
  <c r="D11" i="1"/>
  <c r="D10" i="1"/>
  <c r="D9" i="1"/>
  <c r="K29" i="1" s="1"/>
  <c r="D8" i="1"/>
  <c r="J29" i="1" s="1"/>
  <c r="D7" i="1"/>
  <c r="D5" i="1"/>
  <c r="B6" i="4"/>
  <c r="C6" i="4"/>
  <c r="D6" i="4"/>
  <c r="K30" i="1" l="1"/>
  <c r="H29" i="1"/>
  <c r="C9" i="5"/>
  <c r="I29" i="1"/>
  <c r="I30" i="1" s="1"/>
  <c r="C10" i="5"/>
  <c r="J30" i="1"/>
  <c r="D4" i="1"/>
</calcChain>
</file>

<file path=xl/sharedStrings.xml><?xml version="1.0" encoding="utf-8"?>
<sst xmlns="http://schemas.openxmlformats.org/spreadsheetml/2006/main" count="73" uniqueCount="70">
  <si>
    <t>*  Sales volumes are short-term firm and system balancing sales and do not include long-term firm sales</t>
  </si>
  <si>
    <t>Difference</t>
  </si>
  <si>
    <t>Actual Sales Volume</t>
  </si>
  <si>
    <t>GRID Sales Volume</t>
  </si>
  <si>
    <t>GRID vs Actual (MWh) *</t>
  </si>
  <si>
    <t>Direct Filing</t>
  </si>
  <si>
    <t>OCS adj 09</t>
  </si>
  <si>
    <t>Delta</t>
  </si>
  <si>
    <t>Source of Increased Sales from Elimination of Market Capacity Constraint</t>
  </si>
  <si>
    <t>Sales</t>
  </si>
  <si>
    <t>In OCS Adjustment No. 9</t>
  </si>
  <si>
    <t>Purchases</t>
  </si>
  <si>
    <t xml:space="preserve">Coal </t>
  </si>
  <si>
    <t>Gas</t>
  </si>
  <si>
    <t>Hydro</t>
  </si>
  <si>
    <t>Other</t>
  </si>
  <si>
    <t>Hermiston PPA</t>
  </si>
  <si>
    <t xml:space="preserve">Increased </t>
  </si>
  <si>
    <t>Source of Increase Sales</t>
  </si>
  <si>
    <t>Coal</t>
  </si>
  <si>
    <t>MWH</t>
  </si>
  <si>
    <t>Percent</t>
  </si>
  <si>
    <t>COB</t>
  </si>
  <si>
    <t>Four Corners</t>
  </si>
  <si>
    <t>Mead</t>
  </si>
  <si>
    <t>Mid Columbia</t>
  </si>
  <si>
    <t>Mona</t>
  </si>
  <si>
    <t>NOB</t>
  </si>
  <si>
    <t>Palo Verde</t>
  </si>
  <si>
    <t>June 2015 GRC</t>
  </si>
  <si>
    <t>Utah Allocated NPC</t>
  </si>
  <si>
    <t>SG</t>
  </si>
  <si>
    <t>SE</t>
  </si>
  <si>
    <t xml:space="preserve">My rebuttal testimony supports total-Company NPC of $1.510 billion </t>
  </si>
  <si>
    <t>($25.59 per megawatt-hour)</t>
  </si>
  <si>
    <t>which is a reduction of approximately $11.7 million from the Company’s initial filing</t>
  </si>
  <si>
    <t>Utah allocated NPC were reduced $5.0 million</t>
  </si>
  <si>
    <t>NPC Recommendation</t>
  </si>
  <si>
    <t>to $636.1 million</t>
  </si>
  <si>
    <t>Market Caps Adjustment (DPU Adjustment 2; OCS Adjustment 9)</t>
  </si>
  <si>
    <t>coal generation does increase when market caps are removed, but only by about 423,000 MWh</t>
  </si>
  <si>
    <t>Of the 2.3 million MWh of additional off-system sales</t>
  </si>
  <si>
    <t xml:space="preserve">76 percent were the result of the GRID model </t>
  </si>
  <si>
    <t>“highly illiquid” increase by over 511,000 MWh</t>
  </si>
  <si>
    <t>or 51 percent, when caps on market sales are removed from the other market hubs</t>
  </si>
  <si>
    <t>Third Party Wind Integration (DPU Adjustment; UAE Adjustment)</t>
  </si>
  <si>
    <t>$2.03/MWh includes both the intra-hour cost of holding reserves</t>
  </si>
  <si>
    <t>the calculation should use only the intra-hour integration cost of $1.66/MWh</t>
  </si>
  <si>
    <t>DC Intertie Transmission (DPU Adjustment 5; UAE Adjustment)</t>
  </si>
  <si>
    <t>NERC EAF</t>
  </si>
  <si>
    <t>PCRP EAF</t>
  </si>
  <si>
    <t>NERC CF</t>
  </si>
  <si>
    <t>PCRP CF</t>
  </si>
  <si>
    <t>4-yrs ending 2008</t>
  </si>
  <si>
    <t>2005-2008</t>
  </si>
  <si>
    <t>4-yrs ending 2009</t>
  </si>
  <si>
    <t>2006-2009</t>
  </si>
  <si>
    <t>4-yrs ending 2010</t>
  </si>
  <si>
    <t>2007-2010</t>
  </si>
  <si>
    <t>4-yrs ending 2011</t>
  </si>
  <si>
    <t>2008-2011</t>
  </si>
  <si>
    <t>4-yrs ending 2012</t>
  </si>
  <si>
    <t>2009-2012</t>
  </si>
  <si>
    <t>4-yrs ending 2013</t>
  </si>
  <si>
    <t>2010-2013</t>
  </si>
  <si>
    <t>http://www.oasis.oati.com/PPW/PPWdocs/Rate_Table_20140601.pdf</t>
  </si>
  <si>
    <t>costs included for the test period in this case equate to a rate of $1.95/KW-month.</t>
  </si>
  <si>
    <t>PacifiCorp’s OATT rate for long term PTP service effective June 1, 2014 is $2.35/KW-month</t>
  </si>
  <si>
    <t>April Update</t>
  </si>
  <si>
    <t>Rates eff. 6/1/14: Sch 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</si>
</sst>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&quot;$&quot;#,##0.0_);[Red]\(&quot;$&quot;#,##0.0\)"/>
    <numFmt numFmtId="168" formatCode="&quot;$&quot;###0;[Red]\(&quot;$&quot;###0\)"/>
    <numFmt numFmtId="169" formatCode="0.0"/>
    <numFmt numFmtId="170" formatCode="_(* #,##0_);[Red]_(* \(#,##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ourier New"/>
      <family val="3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ourier New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9"/>
      <name val="Helv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8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6E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4" fillId="0" borderId="0" applyFont="0" applyFill="0" applyBorder="0" applyProtection="0">
      <alignment horizontal="right"/>
    </xf>
    <xf numFmtId="5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69" fontId="15" fillId="0" borderId="0" applyNumberFormat="0" applyFill="0" applyBorder="0" applyAlignment="0" applyProtection="0"/>
    <xf numFmtId="0" fontId="16" fillId="0" borderId="14" applyNumberFormat="0" applyBorder="0" applyAlignment="0"/>
    <xf numFmtId="41" fontId="17" fillId="0" borderId="0"/>
    <xf numFmtId="41" fontId="18" fillId="0" borderId="0"/>
    <xf numFmtId="170" fontId="13" fillId="0" borderId="0"/>
    <xf numFmtId="0" fontId="1" fillId="0" borderId="0"/>
    <xf numFmtId="41" fontId="13" fillId="0" borderId="0"/>
    <xf numFmtId="0" fontId="1" fillId="0" borderId="0"/>
    <xf numFmtId="0" fontId="1" fillId="0" borderId="0"/>
    <xf numFmtId="0" fontId="1" fillId="0" borderId="0"/>
    <xf numFmtId="12" fontId="19" fillId="4" borderId="15">
      <alignment horizontal="left"/>
    </xf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6" fillId="5" borderId="0" applyNumberFormat="0" applyBorder="0" applyAlignment="0" applyProtection="0"/>
    <xf numFmtId="37" fontId="16" fillId="0" borderId="0"/>
    <xf numFmtId="3" fontId="20" fillId="6" borderId="16" applyProtection="0"/>
  </cellStyleXfs>
  <cellXfs count="74">
    <xf numFmtId="0" fontId="0" fillId="0" borderId="0" xfId="0"/>
    <xf numFmtId="38" fontId="0" fillId="0" borderId="0" xfId="0" applyNumberFormat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/>
    <xf numFmtId="0" fontId="3" fillId="0" borderId="0" xfId="3" applyFont="1"/>
    <xf numFmtId="0" fontId="3" fillId="0" borderId="0" xfId="3" applyFont="1" applyAlignment="1">
      <alignment horizontal="center"/>
    </xf>
    <xf numFmtId="0" fontId="3" fillId="2" borderId="2" xfId="3" applyFont="1" applyFill="1" applyBorder="1"/>
    <xf numFmtId="0" fontId="3" fillId="2" borderId="3" xfId="3" applyFont="1" applyFill="1" applyBorder="1"/>
    <xf numFmtId="0" fontId="3" fillId="2" borderId="4" xfId="3" applyFont="1" applyFill="1" applyBorder="1"/>
    <xf numFmtId="41" fontId="3" fillId="0" borderId="0" xfId="3" applyNumberFormat="1" applyFont="1"/>
    <xf numFmtId="0" fontId="4" fillId="2" borderId="5" xfId="3" applyFont="1" applyFill="1" applyBorder="1" applyAlignment="1">
      <alignment horizontal="centerContinuous"/>
    </xf>
    <xf numFmtId="0" fontId="5" fillId="2" borderId="0" xfId="3" applyFont="1" applyFill="1" applyBorder="1" applyAlignment="1">
      <alignment horizontal="centerContinuous"/>
    </xf>
    <xf numFmtId="0" fontId="5" fillId="2" borderId="6" xfId="3" applyFont="1" applyFill="1" applyBorder="1" applyAlignment="1">
      <alignment horizontal="centerContinuous"/>
    </xf>
    <xf numFmtId="0" fontId="3" fillId="2" borderId="5" xfId="3" applyFont="1" applyFill="1" applyBorder="1"/>
    <xf numFmtId="0" fontId="4" fillId="2" borderId="0" xfId="3" applyFont="1" applyFill="1" applyBorder="1" applyAlignment="1">
      <alignment horizontal="centerContinuous"/>
    </xf>
    <xf numFmtId="0" fontId="3" fillId="2" borderId="6" xfId="3" applyFont="1" applyFill="1" applyBorder="1"/>
    <xf numFmtId="0" fontId="3" fillId="2" borderId="0" xfId="3" applyFont="1" applyFill="1" applyBorder="1"/>
    <xf numFmtId="164" fontId="3" fillId="0" borderId="0" xfId="1" applyNumberFormat="1" applyFont="1"/>
    <xf numFmtId="43" fontId="3" fillId="0" borderId="0" xfId="3" applyNumberFormat="1" applyFont="1"/>
    <xf numFmtId="0" fontId="6" fillId="3" borderId="7" xfId="3" applyFont="1" applyFill="1" applyBorder="1" applyAlignment="1">
      <alignment horizontal="center"/>
    </xf>
    <xf numFmtId="0" fontId="6" fillId="3" borderId="8" xfId="3" applyFont="1" applyFill="1" applyBorder="1" applyAlignment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6" fillId="3" borderId="10" xfId="3" applyFont="1" applyFill="1" applyBorder="1" applyAlignment="1">
      <alignment horizontal="center"/>
    </xf>
    <xf numFmtId="0" fontId="6" fillId="3" borderId="6" xfId="3" applyFont="1" applyFill="1" applyBorder="1" applyAlignment="1">
      <alignment horizontal="center"/>
    </xf>
    <xf numFmtId="0" fontId="6" fillId="2" borderId="7" xfId="3" applyFont="1" applyFill="1" applyBorder="1"/>
    <xf numFmtId="41" fontId="3" fillId="2" borderId="7" xfId="3" applyNumberFormat="1" applyFont="1" applyFill="1" applyBorder="1"/>
    <xf numFmtId="0" fontId="6" fillId="2" borderId="11" xfId="3" applyFont="1" applyFill="1" applyBorder="1"/>
    <xf numFmtId="41" fontId="3" fillId="2" borderId="11" xfId="3" applyNumberFormat="1" applyFont="1" applyFill="1" applyBorder="1"/>
    <xf numFmtId="165" fontId="3" fillId="2" borderId="11" xfId="3" applyNumberFormat="1" applyFont="1" applyFill="1" applyBorder="1"/>
    <xf numFmtId="0" fontId="3" fillId="2" borderId="12" xfId="3" applyFont="1" applyFill="1" applyBorder="1"/>
    <xf numFmtId="0" fontId="3" fillId="2" borderId="1" xfId="3" applyFont="1" applyFill="1" applyBorder="1"/>
    <xf numFmtId="0" fontId="3" fillId="2" borderId="13" xfId="3" applyFont="1" applyFill="1" applyBorder="1"/>
    <xf numFmtId="0" fontId="2" fillId="0" borderId="0" xfId="3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/>
    <xf numFmtId="0" fontId="2" fillId="0" borderId="0" xfId="3" applyAlignment="1">
      <alignment horizontal="right"/>
    </xf>
    <xf numFmtId="164" fontId="0" fillId="0" borderId="0" xfId="4" applyNumberFormat="1" applyFont="1"/>
    <xf numFmtId="167" fontId="10" fillId="0" borderId="0" xfId="3" applyNumberFormat="1" applyFont="1" applyFill="1"/>
    <xf numFmtId="0" fontId="11" fillId="0" borderId="0" xfId="3" applyFont="1"/>
    <xf numFmtId="0" fontId="11" fillId="0" borderId="0" xfId="3" applyFont="1" applyFill="1"/>
    <xf numFmtId="8" fontId="2" fillId="0" borderId="0" xfId="3" applyNumberFormat="1"/>
    <xf numFmtId="164" fontId="10" fillId="0" borderId="0" xfId="4" applyNumberFormat="1" applyFont="1" applyFill="1"/>
    <xf numFmtId="0" fontId="11" fillId="0" borderId="0" xfId="6" applyFont="1"/>
    <xf numFmtId="0" fontId="1" fillId="0" borderId="0" xfId="6"/>
    <xf numFmtId="165" fontId="0" fillId="0" borderId="0" xfId="5" applyNumberFormat="1" applyFont="1" applyFill="1" applyBorder="1"/>
    <xf numFmtId="2" fontId="2" fillId="0" borderId="0" xfId="3" applyNumberFormat="1"/>
    <xf numFmtId="0" fontId="12" fillId="0" borderId="0" xfId="7" applyAlignment="1" applyProtection="1"/>
    <xf numFmtId="0" fontId="11" fillId="0" borderId="0" xfId="0" applyFont="1"/>
    <xf numFmtId="0" fontId="0" fillId="0" borderId="0" xfId="0" quotePrefix="1"/>
    <xf numFmtId="2" fontId="0" fillId="0" borderId="0" xfId="0" applyNumberFormat="1"/>
    <xf numFmtId="0" fontId="2" fillId="0" borderId="0" xfId="3" applyFill="1" applyAlignment="1">
      <alignment wrapText="1"/>
    </xf>
    <xf numFmtId="0" fontId="7" fillId="0" borderId="0" xfId="3" applyFont="1" applyFill="1" applyAlignment="1">
      <alignment wrapText="1"/>
    </xf>
    <xf numFmtId="0" fontId="2" fillId="0" borderId="0" xfId="3" applyFill="1" applyAlignment="1">
      <alignment horizontal="right" wrapText="1"/>
    </xf>
    <xf numFmtId="0" fontId="7" fillId="0" borderId="0" xfId="3" applyFont="1" applyFill="1"/>
    <xf numFmtId="166" fontId="2" fillId="0" borderId="0" xfId="3" applyNumberFormat="1" applyFill="1"/>
    <xf numFmtId="167" fontId="2" fillId="0" borderId="0" xfId="3" applyNumberFormat="1" applyFill="1"/>
    <xf numFmtId="169" fontId="10" fillId="0" borderId="0" xfId="3" applyNumberFormat="1" applyFont="1" applyFill="1"/>
    <xf numFmtId="9" fontId="10" fillId="0" borderId="0" xfId="2" applyFont="1" applyFill="1"/>
    <xf numFmtId="9" fontId="2" fillId="0" borderId="0" xfId="2" applyFont="1" applyFill="1"/>
    <xf numFmtId="8" fontId="2" fillId="0" borderId="0" xfId="3" applyNumberFormat="1" applyFill="1"/>
    <xf numFmtId="43" fontId="0" fillId="0" borderId="0" xfId="4" applyFont="1" applyFill="1"/>
    <xf numFmtId="10" fontId="0" fillId="0" borderId="0" xfId="5" applyNumberFormat="1" applyFont="1" applyFill="1"/>
    <xf numFmtId="10" fontId="0" fillId="0" borderId="0" xfId="5" applyNumberFormat="1" applyFont="1" applyFill="1" applyAlignment="1">
      <alignment horizontal="left"/>
    </xf>
    <xf numFmtId="1" fontId="1" fillId="0" borderId="0" xfId="6" applyNumberFormat="1" applyFill="1"/>
    <xf numFmtId="43" fontId="0" fillId="0" borderId="0" xfId="4" applyNumberFormat="1" applyFont="1" applyFill="1"/>
    <xf numFmtId="0" fontId="2" fillId="0" borderId="0" xfId="3" applyFill="1" applyAlignment="1">
      <alignment horizontal="left"/>
    </xf>
    <xf numFmtId="2" fontId="2" fillId="0" borderId="0" xfId="3" applyNumberFormat="1" applyFill="1"/>
    <xf numFmtId="0" fontId="2" fillId="0" borderId="0" xfId="3" applyFill="1"/>
    <xf numFmtId="43" fontId="2" fillId="0" borderId="0" xfId="3" applyNumberFormat="1" applyFill="1"/>
    <xf numFmtId="8" fontId="0" fillId="0" borderId="0" xfId="5" applyNumberFormat="1" applyFont="1" applyFill="1"/>
    <xf numFmtId="164" fontId="10" fillId="0" borderId="0" xfId="1" applyNumberFormat="1" applyFont="1" applyFill="1"/>
    <xf numFmtId="0" fontId="12" fillId="0" borderId="0" xfId="7" applyFill="1" applyAlignment="1" applyProtection="1"/>
  </cellXfs>
  <cellStyles count="35">
    <cellStyle name="Comma" xfId="1" builtinId="3"/>
    <cellStyle name="Comma 2" xfId="4"/>
    <cellStyle name="Comma 2 2" xfId="8"/>
    <cellStyle name="Comma 3" xfId="9"/>
    <cellStyle name="Comma 4" xfId="10"/>
    <cellStyle name="Comma 5" xfId="11"/>
    <cellStyle name="Comma 6" xfId="12"/>
    <cellStyle name="Comma0" xfId="13"/>
    <cellStyle name="Currency 2" xfId="14"/>
    <cellStyle name="Currency No Comma" xfId="15"/>
    <cellStyle name="Currency0" xfId="16"/>
    <cellStyle name="Date" xfId="17"/>
    <cellStyle name="Fixed" xfId="18"/>
    <cellStyle name="Hyperlink" xfId="7" builtinId="8"/>
    <cellStyle name="MCP" xfId="19"/>
    <cellStyle name="noninput" xfId="20"/>
    <cellStyle name="Normal" xfId="0" builtinId="0"/>
    <cellStyle name="Normal 2" xfId="21"/>
    <cellStyle name="Normal 2 2" xfId="3"/>
    <cellStyle name="Normal 2 3" xfId="22"/>
    <cellStyle name="Normal 3" xfId="23"/>
    <cellStyle name="Normal 3 2" xfId="24"/>
    <cellStyle name="Normal 3 3" xfId="25"/>
    <cellStyle name="Normal 4" xfId="26"/>
    <cellStyle name="Normal 5" xfId="27"/>
    <cellStyle name="Normal 6" xfId="6"/>
    <cellStyle name="Normal 7" xfId="28"/>
    <cellStyle name="Password" xfId="29"/>
    <cellStyle name="Percent" xfId="2" builtinId="5"/>
    <cellStyle name="Percent 2" xfId="5"/>
    <cellStyle name="Percent 3" xfId="30"/>
    <cellStyle name="Percent 4" xfId="31"/>
    <cellStyle name="Unprot" xfId="32"/>
    <cellStyle name="Unprot$" xfId="33"/>
    <cellStyle name="Unprotect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36720492719875"/>
          <c:y val="7.2755881339618855E-2"/>
          <c:w val="0.59890099830236421"/>
          <c:h val="0.85855082941266159"/>
        </c:manualLayout>
      </c:layout>
      <c:pieChart>
        <c:varyColors val="1"/>
        <c:ser>
          <c:idx val="0"/>
          <c:order val="0"/>
          <c:spPr>
            <a:solidFill>
              <a:srgbClr val="CEE3E8"/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14300" h="12700" prst="coolSlant"/>
            </a:sp3d>
          </c:spPr>
          <c:explosion val="3"/>
          <c:dPt>
            <c:idx val="0"/>
            <c:bubble3D val="0"/>
            <c:spPr>
              <a:solidFill>
                <a:srgbClr val="4D5C8D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14300" h="12700" prst="coolSlant"/>
              </a:sp3d>
            </c:spPr>
          </c:dPt>
          <c:dPt>
            <c:idx val="1"/>
            <c:bubble3D val="0"/>
            <c:spPr>
              <a:solidFill>
                <a:srgbClr val="6FBF7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14300" h="12700" prst="coolSlant"/>
              </a:sp3d>
            </c:spPr>
          </c:dPt>
          <c:dLbls>
            <c:dLbl>
              <c:idx val="0"/>
              <c:layout>
                <c:manualLayout>
                  <c:x val="0.17208623756467537"/>
                  <c:y val="-0.2215667045934418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326994721686279"/>
                  <c:y val="0.110970088446398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836638797633761E-2"/>
                  <c:y val="1.718574412433117E-2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Purchases</c:v>
              </c:pt>
              <c:pt idx="1">
                <c:v>Coal</c:v>
              </c:pt>
              <c:pt idx="2">
                <c:v>Gas</c:v>
              </c:pt>
            </c:strLit>
          </c:cat>
          <c:val>
            <c:numLit>
              <c:formatCode>General</c:formatCode>
              <c:ptCount val="3"/>
              <c:pt idx="0">
                <c:v>1727089.9032699999</c:v>
              </c:pt>
              <c:pt idx="1">
                <c:v>422850.70900799334</c:v>
              </c:pt>
              <c:pt idx="2">
                <c:v>109575.71553999813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Incremental Purchases</a:t>
            </a:r>
            <a:r>
              <a:rPr lang="en-US" baseline="0"/>
              <a:t> by Market (MWh)</a:t>
            </a:r>
            <a:endParaRPr lang="en-US"/>
          </a:p>
        </c:rich>
      </c:tx>
      <c:layout>
        <c:manualLayout>
          <c:xMode val="edge"/>
          <c:yMode val="edge"/>
          <c:x val="0.16426604208720486"/>
          <c:y val="2.3598820058997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2'!$A$18:$A$24</c:f>
              <c:strCache>
                <c:ptCount val="7"/>
                <c:pt idx="0">
                  <c:v>COB</c:v>
                </c:pt>
                <c:pt idx="1">
                  <c:v>Four Corners</c:v>
                </c:pt>
                <c:pt idx="2">
                  <c:v>Mead</c:v>
                </c:pt>
                <c:pt idx="3">
                  <c:v>Mid Columbia</c:v>
                </c:pt>
                <c:pt idx="4">
                  <c:v>Mona</c:v>
                </c:pt>
                <c:pt idx="5">
                  <c:v>NOB</c:v>
                </c:pt>
                <c:pt idx="6">
                  <c:v>Palo Verde</c:v>
                </c:pt>
              </c:strCache>
            </c:strRef>
          </c:cat>
          <c:val>
            <c:numRef>
              <c:f>'Figure 2'!$C$18:$C$24</c:f>
              <c:numCache>
                <c:formatCode>_(* #,##0_);_(* \(#,##0\);_(* "-"??_);_(@_)</c:formatCode>
                <c:ptCount val="7"/>
                <c:pt idx="0">
                  <c:v>38483.251199999977</c:v>
                </c:pt>
                <c:pt idx="1">
                  <c:v>104931.00330000001</c:v>
                </c:pt>
                <c:pt idx="2">
                  <c:v>2295.2058299999999</c:v>
                </c:pt>
                <c:pt idx="3">
                  <c:v>841499.53200000012</c:v>
                </c:pt>
                <c:pt idx="4">
                  <c:v>511872.09970000008</c:v>
                </c:pt>
                <c:pt idx="5">
                  <c:v>19217.109200000003</c:v>
                </c:pt>
                <c:pt idx="6">
                  <c:v>208791.70203999997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8339656"/>
        <c:axId val="208340040"/>
      </c:barChart>
      <c:catAx>
        <c:axId val="208339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340040"/>
        <c:crosses val="autoZero"/>
        <c:auto val="1"/>
        <c:lblAlgn val="ctr"/>
        <c:lblOffset val="100"/>
        <c:noMultiLvlLbl val="0"/>
      </c:catAx>
      <c:valAx>
        <c:axId val="2083400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08339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PacifiCorp vs. NERC</a:t>
            </a:r>
          </a:p>
          <a:p>
            <a:pPr>
              <a:defRPr/>
            </a:pPr>
            <a:r>
              <a:rPr lang="en-US"/>
              <a:t>Equivalent Availability Factor &amp; Capacity Factor</a:t>
            </a:r>
          </a:p>
          <a:p>
            <a:pPr>
              <a:defRPr/>
            </a:pPr>
            <a:r>
              <a:rPr lang="en-US"/>
              <a:t>Coal Operated System</a:t>
            </a:r>
          </a:p>
          <a:p>
            <a:pPr>
              <a:defRPr/>
            </a:pPr>
            <a:r>
              <a:rPr lang="en-US"/>
              <a:t>48 Month Rolling Averages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51453308596165"/>
          <c:y val="0.24147111469723528"/>
          <c:w val="0.84554231857381468"/>
          <c:h val="0.62174155792363406"/>
        </c:manualLayout>
      </c:layout>
      <c:lineChart>
        <c:grouping val="standard"/>
        <c:varyColors val="0"/>
        <c:ser>
          <c:idx val="0"/>
          <c:order val="0"/>
          <c:tx>
            <c:v>NERC Equiv. Avail. Factor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'Focus Years'!$B$2:$B$7</c:f>
              <c:strCache>
                <c:ptCount val="6"/>
                <c:pt idx="0">
                  <c:v>2005-2008</c:v>
                </c:pt>
                <c:pt idx="1">
                  <c:v>2006-2009</c:v>
                </c:pt>
                <c:pt idx="2">
                  <c:v>2007-2010</c:v>
                </c:pt>
                <c:pt idx="3">
                  <c:v>2008-2011</c:v>
                </c:pt>
                <c:pt idx="4">
                  <c:v>2009-2012</c:v>
                </c:pt>
                <c:pt idx="5">
                  <c:v>2010-2013</c:v>
                </c:pt>
              </c:strCache>
            </c:strRef>
          </c:cat>
          <c:val>
            <c:numRef>
              <c:f>'Focus Years'!$C$2:$C$7</c:f>
              <c:numCache>
                <c:formatCode>0.00</c:formatCode>
                <c:ptCount val="6"/>
                <c:pt idx="0">
                  <c:v>83.475499999999997</c:v>
                </c:pt>
                <c:pt idx="1">
                  <c:v>83.021900000000002</c:v>
                </c:pt>
                <c:pt idx="2">
                  <c:v>82.322800000000001</c:v>
                </c:pt>
                <c:pt idx="3">
                  <c:v>82.752399999999994</c:v>
                </c:pt>
                <c:pt idx="4">
                  <c:v>82.6511</c:v>
                </c:pt>
              </c:numCache>
            </c:numRef>
          </c:val>
          <c:smooth val="0"/>
        </c:ser>
        <c:ser>
          <c:idx val="1"/>
          <c:order val="1"/>
          <c:tx>
            <c:v>NERC Capacity Factor</c:v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square"/>
            <c:size val="4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'Focus Years'!$E$2:$E$7</c:f>
              <c:numCache>
                <c:formatCode>0.00</c:formatCode>
                <c:ptCount val="6"/>
                <c:pt idx="0">
                  <c:v>71.552000000000007</c:v>
                </c:pt>
                <c:pt idx="1">
                  <c:v>68.881699999999995</c:v>
                </c:pt>
                <c:pt idx="2">
                  <c:v>66.825199999999995</c:v>
                </c:pt>
                <c:pt idx="3">
                  <c:v>64.361999999999995</c:v>
                </c:pt>
                <c:pt idx="4">
                  <c:v>60.9831</c:v>
                </c:pt>
              </c:numCache>
            </c:numRef>
          </c:val>
          <c:smooth val="0"/>
        </c:ser>
        <c:ser>
          <c:idx val="2"/>
          <c:order val="2"/>
          <c:tx>
            <c:v>PacifiCorp Equiv. Avail. Factor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'Focus Years'!$D$2:$D$7</c:f>
              <c:numCache>
                <c:formatCode>0.00</c:formatCode>
                <c:ptCount val="6"/>
                <c:pt idx="0">
                  <c:v>86.894300000000001</c:v>
                </c:pt>
                <c:pt idx="1">
                  <c:v>87.034000000000006</c:v>
                </c:pt>
                <c:pt idx="2">
                  <c:v>86.703500000000005</c:v>
                </c:pt>
                <c:pt idx="3">
                  <c:v>85.920199999999994</c:v>
                </c:pt>
                <c:pt idx="4">
                  <c:v>86.272599999999997</c:v>
                </c:pt>
                <c:pt idx="5">
                  <c:v>87.862300000000005</c:v>
                </c:pt>
              </c:numCache>
            </c:numRef>
          </c:val>
          <c:smooth val="0"/>
        </c:ser>
        <c:ser>
          <c:idx val="3"/>
          <c:order val="3"/>
          <c:tx>
            <c:v>PacifiCorp Capacity Factor</c:v>
          </c:tx>
          <c:spPr>
            <a:ln>
              <a:solidFill>
                <a:srgbClr val="0070C0"/>
              </a:solidFill>
            </a:ln>
          </c:spPr>
          <c:marker>
            <c:symbol val="square"/>
            <c:size val="4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'Focus Years'!$F$2:$F$7</c:f>
              <c:numCache>
                <c:formatCode>0.00</c:formatCode>
                <c:ptCount val="6"/>
                <c:pt idx="0">
                  <c:v>84.013000000000005</c:v>
                </c:pt>
                <c:pt idx="1">
                  <c:v>83.668999999999997</c:v>
                </c:pt>
                <c:pt idx="2">
                  <c:v>82.830399999999997</c:v>
                </c:pt>
                <c:pt idx="3">
                  <c:v>79.982699999999994</c:v>
                </c:pt>
                <c:pt idx="4">
                  <c:v>78.002799999999993</c:v>
                </c:pt>
                <c:pt idx="5">
                  <c:v>78.192300000000003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13376"/>
        <c:axId val="208181096"/>
      </c:lineChart>
      <c:catAx>
        <c:axId val="20831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48 Month Rolling Average Periods</a:t>
                </a:r>
              </a:p>
            </c:rich>
          </c:tx>
          <c:layout>
            <c:manualLayout>
              <c:xMode val="edge"/>
              <c:yMode val="edge"/>
              <c:x val="0.34890350556829747"/>
              <c:y val="0.933554807415857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181096"/>
        <c:crosses val="autoZero"/>
        <c:auto val="1"/>
        <c:lblAlgn val="ctr"/>
        <c:lblOffset val="100"/>
        <c:noMultiLvlLbl val="0"/>
      </c:catAx>
      <c:valAx>
        <c:axId val="208181096"/>
        <c:scaling>
          <c:orientation val="minMax"/>
          <c:max val="95"/>
          <c:min val="6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(%)</a:t>
                </a:r>
              </a:p>
            </c:rich>
          </c:tx>
          <c:layout>
            <c:manualLayout>
              <c:xMode val="edge"/>
              <c:yMode val="edge"/>
              <c:x val="2.2555865581737344E-2"/>
              <c:y val="0.46573996271667456"/>
            </c:manualLayout>
          </c:layout>
          <c:overlay val="0"/>
        </c:title>
        <c:numFmt formatCode="0.00" sourceLinked="1"/>
        <c:majorTickMark val="out"/>
        <c:minorTickMark val="cross"/>
        <c:tickLblPos val="nextTo"/>
        <c:crossAx val="20831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964966229870618"/>
          <c:y val="0.24289882492603618"/>
          <c:w val="0.59858778853360184"/>
          <c:h val="8.371404987804084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</xdr:row>
      <xdr:rowOff>76199</xdr:rowOff>
    </xdr:from>
    <xdr:to>
      <xdr:col>11</xdr:col>
      <xdr:colOff>476250</xdr:colOff>
      <xdr:row>28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190499</xdr:rowOff>
    </xdr:from>
    <xdr:to>
      <xdr:col>10</xdr:col>
      <xdr:colOff>238125</xdr:colOff>
      <xdr:row>22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76199</xdr:rowOff>
    </xdr:from>
    <xdr:to>
      <xdr:col>12</xdr:col>
      <xdr:colOff>333374</xdr:colOff>
      <xdr:row>26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CDNonConf\_Workpapers\Gregory%20N.%20Duvall%20Workpapers%20Public\Workpapers\Confidential\APR_UTGRC14%20NPC%20Study_2014%2004%2010%20CON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CDNonConf\_Workpapers\Gregory%20N.%20Duvall%20Workpapers%20Public\Exhibits\Exhibit%20RMP___(GND-2R)%20-%20%20April%20Upd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CDNonConf\_Workpapers\Gregory%20N.%20Duvall%20Workpapers%20Public\A09-WP-THERMAL%20-COALgeneration%20correc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ID%20Studies\UT%2013-035-184%20(2014%20GRC)\Data%20Requests\Filing%20Requirements\Attach%20R746-700-23.C.1%20-3%20CON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ID%20Studies\UT%2013-035-184%20(2014%20GRC)\Data%20Requests\Filing%20Requirements\C.8%20All%20data%20series%20files\UTGRC14w_Wheeling%20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>
        <row r="313">
          <cell r="E313">
            <v>1510208986.6503634</v>
          </cell>
        </row>
        <row r="315">
          <cell r="E315">
            <v>25.586128968123081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0">
          <cell r="D30">
            <v>-11650591.274218559</v>
          </cell>
        </row>
        <row r="31">
          <cell r="D31">
            <v>-4962704.666290015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EPORTS Corrected"/>
      <sheetName val="PIVOT REPORTS"/>
      <sheetName val="APR UPDATE vs A09"/>
      <sheetName val="PIVOT (COAL)"/>
      <sheetName val="(COAL)"/>
    </sheetNames>
    <sheetDataSet>
      <sheetData sheetId="0">
        <row r="72">
          <cell r="AA72">
            <v>422850.70900800824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Wind Integration Calc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10">
          <cell r="E10">
            <v>1.657494266805541</v>
          </cell>
        </row>
        <row r="11">
          <cell r="E11">
            <v>2.0311359335237582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eelingCosts"/>
      <sheetName val="BPA Rate Case"/>
      <sheetName val="Known &amp; Measurable"/>
      <sheetName val="Wheeling purpose"/>
      <sheetName val="SourceData"/>
      <sheetName val="CAISO"/>
      <sheetName val="BPA Reactive"/>
      <sheetName val="Lookup"/>
      <sheetName val="BPA Network Expense-12"/>
      <sheetName val="BPA Network Expense-14"/>
      <sheetName val="HoodRiver-12"/>
      <sheetName val="HoodRiver-14"/>
      <sheetName val="BPA NTWK"/>
    </sheetNames>
    <sheetDataSet>
      <sheetData sheetId="0">
        <row r="39">
          <cell r="I39">
            <v>4683990.5001376178</v>
          </cell>
        </row>
      </sheetData>
      <sheetData sheetId="1">
        <row r="84">
          <cell r="D84">
            <v>0.1331416816344107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sis.oati.com/PPW/PPWdocs/Rate_Table_201406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2" sqref="D22"/>
    </sheetView>
  </sheetViews>
  <sheetFormatPr defaultRowHeight="11.25" x14ac:dyDescent="0.2"/>
  <cols>
    <col min="1" max="1" width="4.28515625" style="33" customWidth="1"/>
    <col min="2" max="2" width="39.28515625" style="52" customWidth="1"/>
    <col min="3" max="3" width="18.140625" style="69" customWidth="1"/>
    <col min="4" max="5" width="9.140625" style="33"/>
    <col min="6" max="6" width="13.140625" style="33" bestFit="1" customWidth="1"/>
    <col min="7" max="12" width="9.140625" style="33"/>
    <col min="13" max="13" width="10" style="33" bestFit="1" customWidth="1"/>
    <col min="14" max="17" width="9.140625" style="33"/>
    <col min="18" max="19" width="15.5703125" style="33" customWidth="1"/>
    <col min="20" max="16384" width="9.140625" style="33"/>
  </cols>
  <sheetData>
    <row r="1" spans="2:19" ht="19.5" customHeight="1" x14ac:dyDescent="0.25">
      <c r="C1" s="55"/>
      <c r="R1" s="34" t="s">
        <v>29</v>
      </c>
      <c r="S1" s="35" t="s">
        <v>68</v>
      </c>
    </row>
    <row r="2" spans="2:19" ht="15" x14ac:dyDescent="0.25">
      <c r="B2" s="53" t="s">
        <v>37</v>
      </c>
      <c r="C2" s="56">
        <f>[1]NPC!$E$313/1000000000</f>
        <v>1.5102089866503634</v>
      </c>
      <c r="D2" s="36" t="s">
        <v>33</v>
      </c>
      <c r="M2" s="47">
        <v>0.42120000000000002</v>
      </c>
      <c r="Q2" s="37" t="s">
        <v>30</v>
      </c>
      <c r="R2" s="38">
        <v>641066299.94715166</v>
      </c>
      <c r="S2" s="38">
        <v>636103595.28086162</v>
      </c>
    </row>
    <row r="3" spans="2:19" ht="15" x14ac:dyDescent="0.25">
      <c r="C3" s="57">
        <f>[1]NPC!$E$315</f>
        <v>25.586128968123081</v>
      </c>
      <c r="D3" s="36" t="s">
        <v>34</v>
      </c>
      <c r="Q3" s="37" t="s">
        <v>31</v>
      </c>
      <c r="R3" s="33">
        <v>0.4262831716003761</v>
      </c>
    </row>
    <row r="4" spans="2:19" ht="15" x14ac:dyDescent="0.25">
      <c r="C4" s="39">
        <f>[2]Summary!$D$30/1000000</f>
        <v>-11.650591274218559</v>
      </c>
      <c r="D4" s="36" t="s">
        <v>35</v>
      </c>
      <c r="Q4" s="37" t="s">
        <v>32</v>
      </c>
      <c r="R4" s="33">
        <v>0.41971722672390366</v>
      </c>
    </row>
    <row r="5" spans="2:19" ht="15.75" x14ac:dyDescent="0.25">
      <c r="C5" s="39">
        <f>[2]Summary!$D$31/1000000</f>
        <v>-4.9627046662900147</v>
      </c>
      <c r="D5" s="40" t="s">
        <v>36</v>
      </c>
      <c r="Q5" s="37"/>
    </row>
    <row r="6" spans="2:19" ht="15.75" x14ac:dyDescent="0.25">
      <c r="C6" s="57">
        <f>S2/1000000</f>
        <v>636.10359528086167</v>
      </c>
      <c r="D6" s="40" t="s">
        <v>38</v>
      </c>
      <c r="Q6" s="37"/>
    </row>
    <row r="7" spans="2:19" ht="15.75" x14ac:dyDescent="0.25">
      <c r="C7" s="39"/>
      <c r="D7" s="40"/>
      <c r="Q7" s="37"/>
    </row>
    <row r="8" spans="2:19" ht="23.25" x14ac:dyDescent="0.25">
      <c r="B8" s="52" t="s">
        <v>39</v>
      </c>
      <c r="C8" s="72">
        <f>'[3]PIVOT REPORTS Corrected'!$AA$72</f>
        <v>422850.70900800824</v>
      </c>
      <c r="D8" s="49" t="s">
        <v>40</v>
      </c>
    </row>
    <row r="9" spans="2:19" ht="15.75" x14ac:dyDescent="0.25">
      <c r="C9" s="58">
        <f>-'Figure 2'!D5/1000000</f>
        <v>2.259520722400004</v>
      </c>
      <c r="D9" s="49" t="s">
        <v>41</v>
      </c>
    </row>
    <row r="10" spans="2:19" ht="15.75" x14ac:dyDescent="0.25">
      <c r="C10" s="59">
        <f>-'Figure 2'!D7/'Figure 2'!D5</f>
        <v>0.76436117011377969</v>
      </c>
      <c r="D10" s="49" t="s">
        <v>42</v>
      </c>
    </row>
    <row r="11" spans="2:19" ht="15.75" x14ac:dyDescent="0.25">
      <c r="C11" s="72">
        <f>'Figure 2'!$C$22</f>
        <v>511872.09970000008</v>
      </c>
      <c r="D11" s="49" t="s">
        <v>43</v>
      </c>
    </row>
    <row r="12" spans="2:19" ht="15.75" x14ac:dyDescent="0.25">
      <c r="B12" s="53"/>
      <c r="C12" s="60">
        <f>'Figure 2'!$D$22</f>
        <v>0.50747945054630661</v>
      </c>
      <c r="D12" s="49" t="s">
        <v>44</v>
      </c>
    </row>
    <row r="13" spans="2:19" ht="23.25" x14ac:dyDescent="0.25">
      <c r="B13" s="52" t="s">
        <v>45</v>
      </c>
      <c r="C13" s="61">
        <f>'[4]Wind Integration Calc'!$E$11</f>
        <v>2.0311359335237582</v>
      </c>
      <c r="D13" s="41" t="s">
        <v>46</v>
      </c>
    </row>
    <row r="14" spans="2:19" ht="15.75" x14ac:dyDescent="0.25">
      <c r="C14" s="61">
        <f>'[4]Wind Integration Calc'!$E$10</f>
        <v>1.657494266805541</v>
      </c>
      <c r="D14" s="40" t="s">
        <v>47</v>
      </c>
    </row>
    <row r="15" spans="2:19" ht="15.75" x14ac:dyDescent="0.25">
      <c r="C15" s="61"/>
      <c r="D15" s="40"/>
    </row>
    <row r="16" spans="2:19" ht="23.25" x14ac:dyDescent="0.25">
      <c r="B16" s="52" t="s">
        <v>48</v>
      </c>
      <c r="C16" s="70">
        <f>[5]WheelingCosts!$I$39/200000/12</f>
        <v>1.9516627083906741</v>
      </c>
      <c r="D16" s="40" t="s">
        <v>66</v>
      </c>
    </row>
    <row r="17" spans="2:6" ht="15.75" x14ac:dyDescent="0.25">
      <c r="B17" s="52" t="s">
        <v>69</v>
      </c>
      <c r="C17" s="68">
        <f>(2294.64+50.83)/1000</f>
        <v>2.3454699999999997</v>
      </c>
      <c r="D17" s="40" t="s">
        <v>67</v>
      </c>
    </row>
    <row r="18" spans="2:6" ht="15" x14ac:dyDescent="0.25">
      <c r="B18" s="33"/>
      <c r="C18" s="43"/>
      <c r="D18" s="73" t="s">
        <v>65</v>
      </c>
    </row>
    <row r="19" spans="2:6" ht="15.75" x14ac:dyDescent="0.25">
      <c r="C19" s="62"/>
      <c r="D19" s="40"/>
    </row>
    <row r="20" spans="2:6" ht="15.75" x14ac:dyDescent="0.25">
      <c r="C20" s="71"/>
      <c r="D20" s="41"/>
      <c r="F20" s="42"/>
    </row>
    <row r="21" spans="2:6" ht="15.75" x14ac:dyDescent="0.25">
      <c r="C21" s="66"/>
      <c r="D21" s="40"/>
    </row>
    <row r="22" spans="2:6" ht="15.75" x14ac:dyDescent="0.25">
      <c r="C22" s="63"/>
      <c r="D22" s="40"/>
    </row>
    <row r="23" spans="2:6" ht="15.75" x14ac:dyDescent="0.25">
      <c r="C23" s="63"/>
      <c r="D23" s="40"/>
    </row>
    <row r="24" spans="2:6" ht="15.75" x14ac:dyDescent="0.25">
      <c r="C24" s="63"/>
      <c r="D24" s="40"/>
    </row>
    <row r="25" spans="2:6" ht="15.75" x14ac:dyDescent="0.25">
      <c r="B25" s="53"/>
      <c r="C25" s="64"/>
      <c r="D25" s="40"/>
    </row>
    <row r="26" spans="2:6" ht="15.75" x14ac:dyDescent="0.25">
      <c r="C26" s="64"/>
      <c r="D26" s="40"/>
    </row>
    <row r="27" spans="2:6" ht="15.75" x14ac:dyDescent="0.25">
      <c r="C27" s="65"/>
      <c r="D27" s="44"/>
    </row>
    <row r="28" spans="2:6" ht="15" x14ac:dyDescent="0.25">
      <c r="C28" s="65"/>
      <c r="D28" s="45"/>
    </row>
    <row r="29" spans="2:6" ht="15.75" x14ac:dyDescent="0.25">
      <c r="C29" s="66"/>
      <c r="D29" s="40"/>
    </row>
    <row r="30" spans="2:6" ht="15.75" x14ac:dyDescent="0.25">
      <c r="C30" s="67"/>
      <c r="D30" s="40"/>
    </row>
    <row r="31" spans="2:6" ht="15" x14ac:dyDescent="0.25">
      <c r="C31" s="46"/>
      <c r="D31" s="45"/>
    </row>
    <row r="32" spans="2:6" ht="15" x14ac:dyDescent="0.25">
      <c r="C32" s="46"/>
      <c r="D32" s="45"/>
    </row>
    <row r="33" spans="2:4" ht="15" x14ac:dyDescent="0.25">
      <c r="B33" s="54"/>
      <c r="C33" s="68"/>
      <c r="D33" s="45"/>
    </row>
    <row r="34" spans="2:4" ht="15" x14ac:dyDescent="0.25">
      <c r="B34" s="54"/>
      <c r="D34" s="48"/>
    </row>
    <row r="35" spans="2:4" ht="15" x14ac:dyDescent="0.25">
      <c r="B35" s="54"/>
      <c r="C35" s="70"/>
      <c r="D35" s="45"/>
    </row>
  </sheetData>
  <hyperlinks>
    <hyperlink ref="D1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32" sqref="E32"/>
    </sheetView>
  </sheetViews>
  <sheetFormatPr defaultRowHeight="11.25" customHeight="1" x14ac:dyDescent="0.25"/>
  <cols>
    <col min="2" max="3" width="10.42578125" bestFit="1" customWidth="1"/>
    <col min="4" max="4" width="9.5703125" bestFit="1" customWidth="1"/>
  </cols>
  <sheetData>
    <row r="1" spans="1:12" ht="11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1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1.25" customHeight="1" x14ac:dyDescent="0.25">
      <c r="A3" s="5"/>
      <c r="B3" s="6" t="s">
        <v>5</v>
      </c>
      <c r="C3" s="6" t="s">
        <v>6</v>
      </c>
      <c r="D3" s="6" t="s">
        <v>7</v>
      </c>
      <c r="E3" s="5"/>
      <c r="F3" s="7"/>
      <c r="G3" s="8"/>
      <c r="H3" s="8"/>
      <c r="I3" s="8"/>
      <c r="J3" s="8"/>
      <c r="K3" s="8"/>
      <c r="L3" s="9"/>
    </row>
    <row r="4" spans="1:12" ht="11.25" customHeight="1" x14ac:dyDescent="0.25">
      <c r="A4" s="5"/>
      <c r="B4" s="10"/>
      <c r="C4" s="10"/>
      <c r="D4" s="10">
        <f>+C4-B4</f>
        <v>0</v>
      </c>
      <c r="E4" s="5"/>
      <c r="F4" s="11" t="s">
        <v>8</v>
      </c>
      <c r="G4" s="12"/>
      <c r="H4" s="12"/>
      <c r="I4" s="12"/>
      <c r="J4" s="12"/>
      <c r="K4" s="12"/>
      <c r="L4" s="13"/>
    </row>
    <row r="5" spans="1:12" ht="11.25" customHeight="1" x14ac:dyDescent="0.25">
      <c r="A5" s="5" t="s">
        <v>9</v>
      </c>
      <c r="B5" s="10">
        <v>-9829210.3891274966</v>
      </c>
      <c r="C5" s="10">
        <v>-12088731.111527501</v>
      </c>
      <c r="D5" s="10">
        <f>+C5-B5</f>
        <v>-2259520.722400004</v>
      </c>
      <c r="E5" s="5"/>
      <c r="F5" s="14"/>
      <c r="G5" s="15" t="s">
        <v>10</v>
      </c>
      <c r="H5" s="15"/>
      <c r="I5" s="15"/>
      <c r="J5" s="15"/>
      <c r="K5" s="15"/>
      <c r="L5" s="16"/>
    </row>
    <row r="6" spans="1:12" ht="11.25" customHeight="1" x14ac:dyDescent="0.25">
      <c r="A6" s="5"/>
      <c r="B6" s="10"/>
      <c r="C6" s="10"/>
      <c r="D6" s="5"/>
      <c r="E6" s="5"/>
      <c r="F6" s="14"/>
      <c r="G6" s="17"/>
      <c r="H6" s="17"/>
      <c r="I6" s="17"/>
      <c r="J6" s="17"/>
      <c r="K6" s="17"/>
      <c r="L6" s="16"/>
    </row>
    <row r="7" spans="1:12" ht="11.25" customHeight="1" x14ac:dyDescent="0.25">
      <c r="A7" s="5" t="s">
        <v>11</v>
      </c>
      <c r="B7" s="10">
        <v>12064986.141059991</v>
      </c>
      <c r="C7" s="10">
        <v>13821502.395234991</v>
      </c>
      <c r="D7" s="10">
        <f>+C7-B7-C15</f>
        <v>1727089.9032699999</v>
      </c>
      <c r="E7" s="5"/>
      <c r="F7" s="14"/>
      <c r="G7" s="17"/>
      <c r="H7" s="17"/>
      <c r="I7" s="17"/>
      <c r="J7" s="17"/>
      <c r="K7" s="17"/>
      <c r="L7" s="16"/>
    </row>
    <row r="8" spans="1:12" ht="11.25" customHeight="1" x14ac:dyDescent="0.25">
      <c r="A8" s="5" t="s">
        <v>12</v>
      </c>
      <c r="B8" s="10">
        <v>41814059.079119608</v>
      </c>
      <c r="C8" s="10">
        <v>42236909.788127601</v>
      </c>
      <c r="D8" s="10">
        <f>+C8-B8</f>
        <v>422850.70900799334</v>
      </c>
      <c r="E8" s="5"/>
      <c r="F8" s="14"/>
      <c r="G8" s="17"/>
      <c r="H8" s="17"/>
      <c r="I8" s="17"/>
      <c r="J8" s="17"/>
      <c r="K8" s="17"/>
      <c r="L8" s="16"/>
    </row>
    <row r="9" spans="1:12" ht="11.25" customHeight="1" x14ac:dyDescent="0.25">
      <c r="A9" s="5" t="s">
        <v>13</v>
      </c>
      <c r="B9" s="10">
        <v>7612356.4426541515</v>
      </c>
      <c r="C9" s="10">
        <v>7692505.8072891496</v>
      </c>
      <c r="D9" s="10">
        <f>+C9-B9+C15</f>
        <v>109575.71553999813</v>
      </c>
      <c r="E9" s="5"/>
      <c r="F9" s="14"/>
      <c r="G9" s="17"/>
      <c r="H9" s="17"/>
      <c r="I9" s="17"/>
      <c r="J9" s="17"/>
      <c r="K9" s="17"/>
      <c r="L9" s="16"/>
    </row>
    <row r="10" spans="1:12" ht="11.25" customHeight="1" x14ac:dyDescent="0.25">
      <c r="A10" s="5" t="s">
        <v>14</v>
      </c>
      <c r="B10" s="10">
        <v>3933747.2315982901</v>
      </c>
      <c r="C10" s="10">
        <v>3933747.2315982901</v>
      </c>
      <c r="D10" s="10">
        <f>+C10-B10</f>
        <v>0</v>
      </c>
      <c r="E10" s="5"/>
      <c r="F10" s="14"/>
      <c r="G10" s="17"/>
      <c r="H10" s="17"/>
      <c r="I10" s="17"/>
      <c r="J10" s="17"/>
      <c r="K10" s="17"/>
      <c r="L10" s="16"/>
    </row>
    <row r="11" spans="1:12" ht="11.25" customHeight="1" x14ac:dyDescent="0.25">
      <c r="A11" s="5" t="s">
        <v>15</v>
      </c>
      <c r="B11" s="10">
        <v>3428578.5305937179</v>
      </c>
      <c r="C11" s="10">
        <v>3428578.5305937179</v>
      </c>
      <c r="D11" s="10">
        <f>+C11-B11</f>
        <v>0</v>
      </c>
      <c r="E11" s="5"/>
      <c r="F11" s="14"/>
      <c r="G11" s="17"/>
      <c r="H11" s="17"/>
      <c r="I11" s="17"/>
      <c r="J11" s="17"/>
      <c r="K11" s="17"/>
      <c r="L11" s="16"/>
    </row>
    <row r="12" spans="1:12" ht="11.25" customHeight="1" x14ac:dyDescent="0.25">
      <c r="A12" s="5"/>
      <c r="B12" s="10"/>
      <c r="C12" s="5"/>
      <c r="D12" s="5"/>
      <c r="E12" s="5"/>
      <c r="F12" s="14"/>
      <c r="G12" s="17"/>
      <c r="H12" s="17"/>
      <c r="I12" s="17"/>
      <c r="J12" s="17"/>
      <c r="K12" s="17"/>
      <c r="L12" s="16"/>
    </row>
    <row r="13" spans="1:12" ht="11.25" customHeight="1" x14ac:dyDescent="0.25">
      <c r="A13" s="5"/>
      <c r="B13" s="10"/>
      <c r="C13" s="10"/>
      <c r="D13" s="10"/>
      <c r="E13" s="5"/>
      <c r="F13" s="14"/>
      <c r="G13" s="17"/>
      <c r="H13" s="17"/>
      <c r="I13" s="17"/>
      <c r="J13" s="17"/>
      <c r="K13" s="17"/>
      <c r="L13" s="16"/>
    </row>
    <row r="14" spans="1:12" ht="11.25" customHeight="1" x14ac:dyDescent="0.25">
      <c r="A14" s="5"/>
      <c r="B14" s="5"/>
      <c r="C14" s="5"/>
      <c r="D14" s="5"/>
      <c r="E14" s="5"/>
      <c r="F14" s="14"/>
      <c r="G14" s="17"/>
      <c r="H14" s="17"/>
      <c r="I14" s="17"/>
      <c r="J14" s="17"/>
      <c r="K14" s="17"/>
      <c r="L14" s="16"/>
    </row>
    <row r="15" spans="1:12" ht="11.25" customHeight="1" x14ac:dyDescent="0.25">
      <c r="A15" s="5" t="s">
        <v>16</v>
      </c>
      <c r="B15" s="5"/>
      <c r="C15" s="18">
        <v>29426.350904999985</v>
      </c>
      <c r="D15" s="5"/>
      <c r="E15" s="5"/>
      <c r="F15" s="14"/>
      <c r="G15" s="17"/>
      <c r="H15" s="17"/>
      <c r="I15" s="17"/>
      <c r="J15" s="17"/>
      <c r="K15" s="17"/>
      <c r="L15" s="16"/>
    </row>
    <row r="16" spans="1:12" ht="11.25" customHeight="1" x14ac:dyDescent="0.25">
      <c r="A16" s="5"/>
      <c r="B16" s="5"/>
      <c r="C16" s="5"/>
      <c r="D16" s="5"/>
      <c r="E16" s="5"/>
      <c r="F16" s="14"/>
      <c r="G16" s="17"/>
      <c r="H16" s="17"/>
      <c r="I16" s="17"/>
      <c r="J16" s="17"/>
      <c r="K16" s="17"/>
      <c r="L16" s="16"/>
    </row>
    <row r="17" spans="1:12" ht="11.25" customHeight="1" x14ac:dyDescent="0.25">
      <c r="A17" s="5"/>
      <c r="B17" s="5"/>
      <c r="C17" s="5"/>
      <c r="D17" s="5"/>
      <c r="E17" s="5"/>
      <c r="F17" s="14"/>
      <c r="G17" s="17"/>
      <c r="H17" s="17"/>
      <c r="I17" s="17"/>
      <c r="J17" s="17"/>
      <c r="K17" s="17"/>
      <c r="L17" s="16"/>
    </row>
    <row r="18" spans="1:12" ht="11.25" customHeight="1" x14ac:dyDescent="0.25">
      <c r="A18" s="5" t="s">
        <v>22</v>
      </c>
      <c r="B18" s="5"/>
      <c r="C18" s="18">
        <v>38483.251199999977</v>
      </c>
      <c r="D18" s="5"/>
      <c r="E18" s="5"/>
      <c r="F18" s="14"/>
      <c r="G18" s="17"/>
      <c r="H18" s="17"/>
      <c r="I18" s="17"/>
      <c r="J18" s="17"/>
      <c r="K18" s="17"/>
      <c r="L18" s="16"/>
    </row>
    <row r="19" spans="1:12" ht="11.25" customHeight="1" x14ac:dyDescent="0.25">
      <c r="A19" s="5" t="s">
        <v>23</v>
      </c>
      <c r="B19" s="5"/>
      <c r="C19" s="18">
        <v>104931.00330000001</v>
      </c>
      <c r="D19" s="5"/>
      <c r="E19" s="5"/>
      <c r="F19" s="14"/>
      <c r="G19" s="17"/>
      <c r="H19" s="17"/>
      <c r="I19" s="17"/>
      <c r="J19" s="17"/>
      <c r="K19" s="17"/>
      <c r="L19" s="16"/>
    </row>
    <row r="20" spans="1:12" ht="11.25" customHeight="1" x14ac:dyDescent="0.25">
      <c r="A20" s="5" t="s">
        <v>24</v>
      </c>
      <c r="B20" s="5"/>
      <c r="C20" s="18">
        <v>2295.2058299999999</v>
      </c>
      <c r="D20" s="5"/>
      <c r="E20" s="5"/>
      <c r="F20" s="14"/>
      <c r="G20" s="17"/>
      <c r="H20" s="17"/>
      <c r="I20" s="17"/>
      <c r="J20" s="17"/>
      <c r="K20" s="17"/>
      <c r="L20" s="16"/>
    </row>
    <row r="21" spans="1:12" ht="11.25" customHeight="1" x14ac:dyDescent="0.25">
      <c r="A21" s="5" t="s">
        <v>25</v>
      </c>
      <c r="B21" s="5"/>
      <c r="C21" s="18">
        <v>841499.53200000012</v>
      </c>
      <c r="D21" s="5"/>
      <c r="E21" s="5"/>
      <c r="F21" s="14"/>
      <c r="G21" s="17"/>
      <c r="H21" s="17"/>
      <c r="I21" s="17"/>
      <c r="J21" s="17"/>
      <c r="K21" s="17"/>
      <c r="L21" s="16"/>
    </row>
    <row r="22" spans="1:12" ht="11.25" customHeight="1" x14ac:dyDescent="0.25">
      <c r="A22" s="5" t="s">
        <v>26</v>
      </c>
      <c r="B22" s="5"/>
      <c r="C22" s="18">
        <v>511872.09970000008</v>
      </c>
      <c r="D22" s="19">
        <f>C22/1008655.8168</f>
        <v>0.50747945054630661</v>
      </c>
      <c r="E22" s="5"/>
      <c r="F22" s="14"/>
      <c r="G22" s="17"/>
      <c r="H22" s="17"/>
      <c r="I22" s="17"/>
      <c r="J22" s="17"/>
      <c r="K22" s="17"/>
      <c r="L22" s="16"/>
    </row>
    <row r="23" spans="1:12" ht="11.25" customHeight="1" x14ac:dyDescent="0.25">
      <c r="A23" s="5" t="s">
        <v>27</v>
      </c>
      <c r="B23" s="5"/>
      <c r="C23" s="18">
        <v>19217.109200000003</v>
      </c>
      <c r="D23" s="5"/>
      <c r="E23" s="5"/>
      <c r="F23" s="14"/>
      <c r="G23" s="17"/>
      <c r="H23" s="17"/>
      <c r="I23" s="17"/>
      <c r="J23" s="17"/>
      <c r="K23" s="17"/>
      <c r="L23" s="16"/>
    </row>
    <row r="24" spans="1:12" ht="11.25" customHeight="1" x14ac:dyDescent="0.25">
      <c r="A24" s="5" t="s">
        <v>28</v>
      </c>
      <c r="B24" s="5"/>
      <c r="C24" s="18">
        <v>208791.70203999997</v>
      </c>
      <c r="D24" s="5"/>
      <c r="E24" s="5"/>
      <c r="F24" s="14"/>
      <c r="G24" s="17"/>
      <c r="H24" s="17"/>
      <c r="I24" s="17"/>
      <c r="J24" s="17"/>
      <c r="K24" s="17"/>
      <c r="L24" s="16"/>
    </row>
    <row r="25" spans="1:12" ht="11.25" customHeight="1" x14ac:dyDescent="0.25">
      <c r="A25" s="5"/>
      <c r="B25" s="5"/>
      <c r="C25" s="5"/>
      <c r="D25" s="5"/>
      <c r="E25" s="5"/>
      <c r="F25" s="14"/>
      <c r="G25" s="17"/>
      <c r="H25" s="17"/>
      <c r="I25" s="17"/>
      <c r="J25" s="17"/>
      <c r="K25" s="17"/>
      <c r="L25" s="16"/>
    </row>
    <row r="26" spans="1:12" ht="11.25" customHeight="1" x14ac:dyDescent="0.25">
      <c r="A26" s="5"/>
      <c r="B26" s="5"/>
      <c r="C26" s="18">
        <f>SUM(C18:C25)</f>
        <v>1727089.9032700001</v>
      </c>
      <c r="D26" s="5"/>
      <c r="E26" s="5"/>
      <c r="F26" s="14"/>
      <c r="G26" s="17"/>
      <c r="H26" s="17"/>
      <c r="I26" s="17"/>
      <c r="J26" s="17"/>
      <c r="K26" s="17"/>
      <c r="L26" s="16"/>
    </row>
    <row r="27" spans="1:12" ht="11.25" customHeight="1" x14ac:dyDescent="0.25">
      <c r="A27" s="5"/>
      <c r="B27" s="5"/>
      <c r="C27" s="5"/>
      <c r="D27" s="5"/>
      <c r="E27" s="5"/>
      <c r="F27" s="14"/>
      <c r="G27" s="17"/>
      <c r="H27" s="20" t="s">
        <v>17</v>
      </c>
      <c r="I27" s="21" t="s">
        <v>18</v>
      </c>
      <c r="J27" s="21"/>
      <c r="K27" s="22"/>
      <c r="L27" s="16"/>
    </row>
    <row r="28" spans="1:12" ht="11.25" customHeight="1" x14ac:dyDescent="0.25">
      <c r="A28" s="5"/>
      <c r="B28" s="5"/>
      <c r="C28" s="5"/>
      <c r="D28" s="5"/>
      <c r="E28" s="5"/>
      <c r="F28" s="14"/>
      <c r="G28" s="17"/>
      <c r="H28" s="23" t="s">
        <v>9</v>
      </c>
      <c r="I28" s="24" t="s">
        <v>11</v>
      </c>
      <c r="J28" s="23" t="s">
        <v>19</v>
      </c>
      <c r="K28" s="23" t="s">
        <v>13</v>
      </c>
      <c r="L28" s="16"/>
    </row>
    <row r="29" spans="1:12" ht="11.25" customHeight="1" x14ac:dyDescent="0.25">
      <c r="A29" s="5"/>
      <c r="B29" s="5"/>
      <c r="C29" s="5"/>
      <c r="D29" s="5"/>
      <c r="E29" s="5"/>
      <c r="F29" s="14"/>
      <c r="G29" s="25" t="s">
        <v>20</v>
      </c>
      <c r="H29" s="26">
        <f>-D5</f>
        <v>2259520.722400004</v>
      </c>
      <c r="I29" s="26">
        <f>+D7</f>
        <v>1727089.9032699999</v>
      </c>
      <c r="J29" s="26">
        <f>+D8</f>
        <v>422850.70900799334</v>
      </c>
      <c r="K29" s="26">
        <f>+D9</f>
        <v>109575.71553999813</v>
      </c>
      <c r="L29" s="16"/>
    </row>
    <row r="30" spans="1:12" ht="11.25" customHeight="1" x14ac:dyDescent="0.25">
      <c r="A30" s="5"/>
      <c r="B30" s="5"/>
      <c r="C30" s="5"/>
      <c r="D30" s="5"/>
      <c r="E30" s="5"/>
      <c r="F30" s="14"/>
      <c r="G30" s="27" t="s">
        <v>21</v>
      </c>
      <c r="H30" s="28"/>
      <c r="I30" s="29">
        <f>+I29/$H$29</f>
        <v>0.76436117011377969</v>
      </c>
      <c r="J30" s="29">
        <f>+J29/$H$29</f>
        <v>0.18714177073749177</v>
      </c>
      <c r="K30" s="29">
        <f>+K29/$H$29</f>
        <v>4.8495114230954983E-2</v>
      </c>
      <c r="L30" s="16"/>
    </row>
    <row r="31" spans="1:12" ht="11.25" customHeight="1" x14ac:dyDescent="0.25">
      <c r="A31" s="5"/>
      <c r="B31" s="5"/>
      <c r="C31" s="5"/>
      <c r="D31" s="5"/>
      <c r="E31" s="5"/>
      <c r="F31" s="30"/>
      <c r="G31" s="31"/>
      <c r="H31" s="31"/>
      <c r="I31" s="31"/>
      <c r="J31" s="31"/>
      <c r="K31" s="31"/>
      <c r="L31" s="3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B4" sqref="B4"/>
    </sheetView>
  </sheetViews>
  <sheetFormatPr defaultRowHeight="15" x14ac:dyDescent="0.25"/>
  <cols>
    <col min="1" max="1" width="18.7109375" customWidth="1"/>
    <col min="2" max="4" width="10.5703125" bestFit="1" customWidth="1"/>
  </cols>
  <sheetData>
    <row r="2" spans="1:4" x14ac:dyDescent="0.25">
      <c r="A2" t="s">
        <v>4</v>
      </c>
    </row>
    <row r="3" spans="1:4" x14ac:dyDescent="0.25">
      <c r="B3">
        <v>2011</v>
      </c>
      <c r="C3">
        <v>2012</v>
      </c>
      <c r="D3">
        <v>2013</v>
      </c>
    </row>
    <row r="4" spans="1:4" x14ac:dyDescent="0.25">
      <c r="A4" t="s">
        <v>3</v>
      </c>
      <c r="B4" s="4">
        <v>9490557.7967000008</v>
      </c>
      <c r="C4" s="4">
        <v>10369939.923990324</v>
      </c>
      <c r="D4" s="4">
        <v>11401751.18637</v>
      </c>
    </row>
    <row r="5" spans="1:4" x14ac:dyDescent="0.25">
      <c r="A5" s="3" t="s">
        <v>2</v>
      </c>
      <c r="B5" s="2">
        <v>6802152.2860000012</v>
      </c>
      <c r="C5" s="2">
        <v>7746563.8140000021</v>
      </c>
      <c r="D5" s="2">
        <v>7841250.9480000008</v>
      </c>
    </row>
    <row r="6" spans="1:4" x14ac:dyDescent="0.25">
      <c r="A6" t="s">
        <v>1</v>
      </c>
      <c r="B6" s="1">
        <f>+B5-B4</f>
        <v>-2688405.5106999995</v>
      </c>
      <c r="C6" s="1">
        <f>+C5-C4</f>
        <v>-2623376.109990322</v>
      </c>
      <c r="D6" s="1">
        <f>+D5-D4</f>
        <v>-3560500.2383699995</v>
      </c>
    </row>
    <row r="7" spans="1:4" x14ac:dyDescent="0.25">
      <c r="B7" s="1"/>
      <c r="C7" s="1"/>
      <c r="D7" s="1"/>
    </row>
    <row r="8" spans="1:4" x14ac:dyDescent="0.25">
      <c r="A8" t="s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5" sqref="K3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36" sqref="F36"/>
    </sheetView>
  </sheetViews>
  <sheetFormatPr defaultRowHeight="15" x14ac:dyDescent="0.25"/>
  <cols>
    <col min="1" max="1" width="23.28515625" customWidth="1"/>
    <col min="2" max="2" width="16.28515625" customWidth="1"/>
  </cols>
  <sheetData>
    <row r="1" spans="1:6" x14ac:dyDescent="0.25">
      <c r="C1" t="s">
        <v>49</v>
      </c>
      <c r="D1" t="s">
        <v>50</v>
      </c>
      <c r="E1" t="s">
        <v>51</v>
      </c>
      <c r="F1" t="s">
        <v>52</v>
      </c>
    </row>
    <row r="2" spans="1:6" x14ac:dyDescent="0.25">
      <c r="A2" t="s">
        <v>53</v>
      </c>
      <c r="B2" s="50" t="s">
        <v>54</v>
      </c>
      <c r="C2" s="51">
        <v>83.475499999999997</v>
      </c>
      <c r="D2" s="51">
        <v>86.894300000000001</v>
      </c>
      <c r="E2" s="51">
        <v>71.552000000000007</v>
      </c>
      <c r="F2" s="51">
        <v>84.013000000000005</v>
      </c>
    </row>
    <row r="3" spans="1:6" x14ac:dyDescent="0.25">
      <c r="A3" t="s">
        <v>55</v>
      </c>
      <c r="B3" s="50" t="s">
        <v>56</v>
      </c>
      <c r="C3" s="51">
        <v>83.021900000000002</v>
      </c>
      <c r="D3" s="51">
        <v>87.034000000000006</v>
      </c>
      <c r="E3" s="51">
        <v>68.881699999999995</v>
      </c>
      <c r="F3" s="51">
        <v>83.668999999999997</v>
      </c>
    </row>
    <row r="4" spans="1:6" x14ac:dyDescent="0.25">
      <c r="A4" t="s">
        <v>57</v>
      </c>
      <c r="B4" s="50" t="s">
        <v>58</v>
      </c>
      <c r="C4" s="51">
        <v>82.322800000000001</v>
      </c>
      <c r="D4" s="51">
        <v>86.703500000000005</v>
      </c>
      <c r="E4" s="51">
        <v>66.825199999999995</v>
      </c>
      <c r="F4" s="51">
        <v>82.830399999999997</v>
      </c>
    </row>
    <row r="5" spans="1:6" x14ac:dyDescent="0.25">
      <c r="A5" t="s">
        <v>59</v>
      </c>
      <c r="B5" s="50" t="s">
        <v>60</v>
      </c>
      <c r="C5" s="51">
        <v>82.752399999999994</v>
      </c>
      <c r="D5" s="51">
        <v>85.920199999999994</v>
      </c>
      <c r="E5" s="51">
        <v>64.361999999999995</v>
      </c>
      <c r="F5" s="51">
        <v>79.982699999999994</v>
      </c>
    </row>
    <row r="6" spans="1:6" x14ac:dyDescent="0.25">
      <c r="A6" t="s">
        <v>61</v>
      </c>
      <c r="B6" s="50" t="s">
        <v>62</v>
      </c>
      <c r="C6" s="51">
        <v>82.6511</v>
      </c>
      <c r="D6" s="51">
        <v>86.272599999999997</v>
      </c>
      <c r="E6" s="51">
        <v>60.9831</v>
      </c>
      <c r="F6" s="51">
        <v>78.002799999999993</v>
      </c>
    </row>
    <row r="7" spans="1:6" x14ac:dyDescent="0.25">
      <c r="A7" t="s">
        <v>63</v>
      </c>
      <c r="B7" s="50" t="s">
        <v>64</v>
      </c>
      <c r="C7" s="51"/>
      <c r="D7" s="51">
        <v>87.862300000000005</v>
      </c>
      <c r="E7" s="51"/>
      <c r="F7" s="51">
        <v>78.192300000000003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References</vt:lpstr>
      <vt:lpstr>Figure 2</vt:lpstr>
      <vt:lpstr>Figure 3</vt:lpstr>
      <vt:lpstr>Table 1</vt:lpstr>
      <vt:lpstr>Figure 4</vt:lpstr>
      <vt:lpstr>Focus 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2014-06-04T19:20:29Z</dcterms:modified>
</cp:coreProperties>
</file>