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0620"/>
  </bookViews>
  <sheets>
    <sheet name="(Exh.5) A3 Method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'[4](6.7) Base UTGRC12 Stlmt NPC'!$F$7:$Q$7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PSATable">[2]Hermiston!$A$41:$E$56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/>
</workbook>
</file>

<file path=xl/calcChain.xml><?xml version="1.0" encoding="utf-8"?>
<calcChain xmlns="http://schemas.openxmlformats.org/spreadsheetml/2006/main">
  <c r="S41" i="1"/>
  <c r="H40"/>
  <c r="I40" s="1"/>
  <c r="J40" s="1"/>
  <c r="K40" s="1"/>
  <c r="L40" s="1"/>
  <c r="M40" s="1"/>
  <c r="N40" s="1"/>
  <c r="O40" s="1"/>
  <c r="P40" s="1"/>
  <c r="Q40" s="1"/>
  <c r="G40"/>
  <c r="F35"/>
  <c r="D35"/>
  <c r="F24"/>
  <c r="F21"/>
  <c r="D21"/>
  <c r="F20"/>
  <c r="D20"/>
  <c r="Q14"/>
  <c r="P14"/>
  <c r="O14"/>
  <c r="N14"/>
  <c r="M14"/>
  <c r="L14"/>
  <c r="K14"/>
  <c r="J14"/>
  <c r="I14"/>
  <c r="H14"/>
  <c r="G14"/>
  <c r="F14"/>
  <c r="D14"/>
  <c r="F11"/>
  <c r="D11"/>
  <c r="F10"/>
  <c r="F12" s="1"/>
  <c r="F16" s="1"/>
  <c r="D10"/>
  <c r="G6"/>
  <c r="G24" s="1"/>
  <c r="A3"/>
  <c r="A2"/>
  <c r="A1"/>
  <c r="A10" l="1"/>
  <c r="S14"/>
  <c r="H6"/>
  <c r="G10"/>
  <c r="A11"/>
  <c r="F22"/>
  <c r="G21"/>
  <c r="G35"/>
  <c r="G11"/>
  <c r="G20"/>
  <c r="G22" l="1"/>
  <c r="G26" s="1"/>
  <c r="A12"/>
  <c r="G12"/>
  <c r="F26"/>
  <c r="F30" s="1"/>
  <c r="F32" s="1"/>
  <c r="H35"/>
  <c r="H21"/>
  <c r="H24"/>
  <c r="H20"/>
  <c r="H11"/>
  <c r="I6"/>
  <c r="H10"/>
  <c r="D12"/>
  <c r="F34" l="1"/>
  <c r="H22"/>
  <c r="I10"/>
  <c r="I24"/>
  <c r="I20"/>
  <c r="J6"/>
  <c r="I35"/>
  <c r="I21"/>
  <c r="I11"/>
  <c r="G16"/>
  <c r="G30" s="1"/>
  <c r="G32" s="1"/>
  <c r="G34" s="1"/>
  <c r="G36" s="1"/>
  <c r="G42" s="1"/>
  <c r="H12"/>
  <c r="H16" s="1"/>
  <c r="A14"/>
  <c r="I12" l="1"/>
  <c r="I16" s="1"/>
  <c r="J10"/>
  <c r="J24"/>
  <c r="J20"/>
  <c r="J11"/>
  <c r="K6"/>
  <c r="J35"/>
  <c r="J21"/>
  <c r="H26"/>
  <c r="H30" s="1"/>
  <c r="H32" s="1"/>
  <c r="I22"/>
  <c r="I26" s="1"/>
  <c r="D16"/>
  <c r="A16"/>
  <c r="F36"/>
  <c r="I30" l="1"/>
  <c r="I32" s="1"/>
  <c r="I34" s="1"/>
  <c r="I36" s="1"/>
  <c r="I42" s="1"/>
  <c r="H34"/>
  <c r="F42"/>
  <c r="J22"/>
  <c r="J12"/>
  <c r="J16" s="1"/>
  <c r="A20"/>
  <c r="K24"/>
  <c r="K20"/>
  <c r="K11"/>
  <c r="K35"/>
  <c r="K21"/>
  <c r="K10"/>
  <c r="K12" s="1"/>
  <c r="K16" s="1"/>
  <c r="L6"/>
  <c r="L35" l="1"/>
  <c r="L21"/>
  <c r="L24"/>
  <c r="L20"/>
  <c r="L11"/>
  <c r="M6"/>
  <c r="L10"/>
  <c r="A21"/>
  <c r="D22" s="1"/>
  <c r="J26"/>
  <c r="J30" s="1"/>
  <c r="J32" s="1"/>
  <c r="F43"/>
  <c r="F44" s="1"/>
  <c r="G41" s="1"/>
  <c r="H36"/>
  <c r="K22"/>
  <c r="K26" s="1"/>
  <c r="K30" s="1"/>
  <c r="K32" s="1"/>
  <c r="K34" s="1"/>
  <c r="K36" s="1"/>
  <c r="K42" s="1"/>
  <c r="G43" l="1"/>
  <c r="G44" s="1"/>
  <c r="H41" s="1"/>
  <c r="H42"/>
  <c r="L22"/>
  <c r="L26" s="1"/>
  <c r="M10"/>
  <c r="M24"/>
  <c r="M20"/>
  <c r="M11"/>
  <c r="M35"/>
  <c r="M21"/>
  <c r="N6"/>
  <c r="J34"/>
  <c r="A22"/>
  <c r="L12"/>
  <c r="A24" l="1"/>
  <c r="A26" s="1"/>
  <c r="L16"/>
  <c r="L30" s="1"/>
  <c r="L32" s="1"/>
  <c r="J36"/>
  <c r="M12"/>
  <c r="M16" s="1"/>
  <c r="H43"/>
  <c r="H44" s="1"/>
  <c r="I41" s="1"/>
  <c r="N10"/>
  <c r="N24"/>
  <c r="N20"/>
  <c r="N11"/>
  <c r="O6"/>
  <c r="N35"/>
  <c r="N21"/>
  <c r="M22"/>
  <c r="D26" l="1"/>
  <c r="O24"/>
  <c r="O20"/>
  <c r="O11"/>
  <c r="O35"/>
  <c r="O21"/>
  <c r="O10"/>
  <c r="P6"/>
  <c r="N12"/>
  <c r="N16" s="1"/>
  <c r="L34"/>
  <c r="M26"/>
  <c r="M30" s="1"/>
  <c r="M32" s="1"/>
  <c r="M34" s="1"/>
  <c r="M36" s="1"/>
  <c r="M42" s="1"/>
  <c r="I43"/>
  <c r="I44"/>
  <c r="J41" s="1"/>
  <c r="N22"/>
  <c r="N26" s="1"/>
  <c r="J42"/>
  <c r="D30"/>
  <c r="A30"/>
  <c r="D32" l="1"/>
  <c r="A32"/>
  <c r="N30"/>
  <c r="N32" s="1"/>
  <c r="N34" s="1"/>
  <c r="N36" s="1"/>
  <c r="N42" s="1"/>
  <c r="J43"/>
  <c r="J44" s="1"/>
  <c r="K41" s="1"/>
  <c r="P35"/>
  <c r="P21"/>
  <c r="P10"/>
  <c r="P24"/>
  <c r="P20"/>
  <c r="P22" s="1"/>
  <c r="P11"/>
  <c r="Q6"/>
  <c r="L36"/>
  <c r="O12"/>
  <c r="O16" s="1"/>
  <c r="O22"/>
  <c r="O26" s="1"/>
  <c r="K43" l="1"/>
  <c r="K44" s="1"/>
  <c r="L41" s="1"/>
  <c r="O30"/>
  <c r="O32" s="1"/>
  <c r="O34" s="1"/>
  <c r="Q10"/>
  <c r="Q11"/>
  <c r="S11" s="1"/>
  <c r="Q24"/>
  <c r="S24" s="1"/>
  <c r="Q20"/>
  <c r="Q35"/>
  <c r="S35" s="1"/>
  <c r="Q21"/>
  <c r="S21" s="1"/>
  <c r="P12"/>
  <c r="P16" s="1"/>
  <c r="L42"/>
  <c r="P26"/>
  <c r="D34"/>
  <c r="A34"/>
  <c r="L43" l="1"/>
  <c r="L44" s="1"/>
  <c r="M41" s="1"/>
  <c r="Q12"/>
  <c r="S10"/>
  <c r="Q22"/>
  <c r="S20"/>
  <c r="O36"/>
  <c r="A35"/>
  <c r="A36" s="1"/>
  <c r="P30"/>
  <c r="P32" s="1"/>
  <c r="P34" s="1"/>
  <c r="P36" s="1"/>
  <c r="P42" s="1"/>
  <c r="M43" l="1"/>
  <c r="M44" s="1"/>
  <c r="N41" s="1"/>
  <c r="Q16"/>
  <c r="S12"/>
  <c r="S16" s="1"/>
  <c r="D36"/>
  <c r="Q26"/>
  <c r="S22"/>
  <c r="S26" s="1"/>
  <c r="O42"/>
  <c r="D42"/>
  <c r="A40"/>
  <c r="Q30" l="1"/>
  <c r="Q32" s="1"/>
  <c r="S30"/>
  <c r="A41"/>
  <c r="Q34"/>
  <c r="S32"/>
  <c r="N43"/>
  <c r="N44" s="1"/>
  <c r="O41" s="1"/>
  <c r="O43" l="1"/>
  <c r="O44" s="1"/>
  <c r="P41" s="1"/>
  <c r="A42"/>
  <c r="A43" s="1"/>
  <c r="A44" s="1"/>
  <c r="D41" s="1"/>
  <c r="Q36"/>
  <c r="S34"/>
  <c r="D43" l="1"/>
  <c r="Q42"/>
  <c r="S42" s="1"/>
  <c r="S36"/>
  <c r="P43"/>
  <c r="P44" s="1"/>
  <c r="Q41" s="1"/>
  <c r="D44"/>
  <c r="Q43" l="1"/>
  <c r="S43" s="1"/>
  <c r="S44" s="1"/>
  <c r="Q44" l="1"/>
</calcChain>
</file>

<file path=xl/sharedStrings.xml><?xml version="1.0" encoding="utf-8"?>
<sst xmlns="http://schemas.openxmlformats.org/spreadsheetml/2006/main" count="30" uniqueCount="25">
  <si>
    <t>Line No.</t>
  </si>
  <si>
    <t>Reference</t>
  </si>
  <si>
    <t>Total</t>
  </si>
  <si>
    <t>Actual: Utah Allocated</t>
  </si>
  <si>
    <t>NPC</t>
  </si>
  <si>
    <t>Wheeling Revenue</t>
  </si>
  <si>
    <t>Jurisdictional Sales</t>
  </si>
  <si>
    <t>Actual Utah $/MWh</t>
  </si>
  <si>
    <t>Base:  Utah Allocated</t>
  </si>
  <si>
    <t>Base Utah $/MWh</t>
  </si>
  <si>
    <t>Deferral:</t>
  </si>
  <si>
    <t>$/ MWH Differential</t>
  </si>
  <si>
    <t>Total Deferrable</t>
  </si>
  <si>
    <t>Incremental EBA Deferral at 70% Sharing</t>
  </si>
  <si>
    <t>Additional FERC ER11-3643 Revenues</t>
  </si>
  <si>
    <t xml:space="preserve">Incremental Deferral </t>
  </si>
  <si>
    <t>Energy Balancing Account:</t>
  </si>
  <si>
    <t>Monthly Interest Rate</t>
  </si>
  <si>
    <t>Note 1</t>
  </si>
  <si>
    <t>Beginning Balance</t>
  </si>
  <si>
    <t>Incremental Deferral</t>
  </si>
  <si>
    <t>Interest</t>
  </si>
  <si>
    <t>Ending Balance</t>
  </si>
  <si>
    <t xml:space="preserve">Note: </t>
  </si>
  <si>
    <t>Docket No. 09-035-15, March 2, 2011 Report and Order, Page 79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</si>
</sst>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\ #,##0.00_);_(&quot;$&quot;* \(#,##0.00\);_(&quot;$&quot;* &quot;-&quot;??_);_(@_)"/>
    <numFmt numFmtId="166" formatCode="_(&quot;$&quot;\ #,##0.00_);_(&quot;$&quot;\ \(#,##0.00\);_(&quot;$&quot;\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b/>
      <sz val="16"/>
      <name val="Times New Roman"/>
      <family val="1"/>
    </font>
    <font>
      <b/>
      <sz val="12"/>
      <name val="Arial"/>
      <family val="2"/>
    </font>
    <font>
      <sz val="8"/>
      <color theme="1"/>
      <name val="Courier New"/>
      <family val="2"/>
    </font>
    <font>
      <sz val="10"/>
      <name val="Swiss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8">
    <xf numFmtId="0" fontId="0" fillId="0" borderId="0"/>
    <xf numFmtId="44" fontId="2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9" fillId="0" borderId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0" fontId="4" fillId="3" borderId="5" applyNumberFormat="0" applyBorder="0" applyAlignment="0" applyProtection="0"/>
    <xf numFmtId="170" fontId="5" fillId="0" borderId="0" applyNumberFormat="0" applyFill="0" applyBorder="0" applyAlignment="0" applyProtection="0"/>
    <xf numFmtId="0" fontId="4" fillId="0" borderId="6" applyNumberFormat="0" applyBorder="0" applyAlignment="0"/>
    <xf numFmtId="171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172" fontId="2" fillId="0" borderId="0"/>
    <xf numFmtId="41" fontId="2" fillId="0" borderId="0"/>
    <xf numFmtId="0" fontId="2" fillId="0" borderId="0"/>
    <xf numFmtId="0" fontId="1" fillId="0" borderId="0"/>
    <xf numFmtId="0" fontId="2" fillId="0" borderId="0"/>
    <xf numFmtId="41" fontId="12" fillId="0" borderId="0" applyFon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3" fillId="0" borderId="0"/>
    <xf numFmtId="0" fontId="2" fillId="0" borderId="0"/>
    <xf numFmtId="0" fontId="11" fillId="0" borderId="0"/>
    <xf numFmtId="12" fontId="10" fillId="4" borderId="7">
      <alignment horizontal="left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" fillId="5" borderId="8" applyNumberFormat="0" applyProtection="0">
      <alignment vertical="center"/>
    </xf>
    <xf numFmtId="4" fontId="16" fillId="6" borderId="8" applyNumberFormat="0" applyProtection="0">
      <alignment vertical="center"/>
    </xf>
    <xf numFmtId="4" fontId="15" fillId="6" borderId="8" applyNumberFormat="0" applyProtection="0">
      <alignment vertical="center"/>
    </xf>
    <xf numFmtId="0" fontId="15" fillId="6" borderId="8" applyNumberFormat="0" applyProtection="0">
      <alignment horizontal="left" vertical="top" indent="1"/>
    </xf>
    <xf numFmtId="4" fontId="15" fillId="7" borderId="9" applyNumberFormat="0" applyProtection="0">
      <alignment vertical="center"/>
    </xf>
    <xf numFmtId="4" fontId="13" fillId="8" borderId="8" applyNumberFormat="0" applyProtection="0">
      <alignment horizontal="right" vertical="center"/>
    </xf>
    <xf numFmtId="4" fontId="13" fillId="9" borderId="8" applyNumberFormat="0" applyProtection="0">
      <alignment horizontal="right" vertical="center"/>
    </xf>
    <xf numFmtId="4" fontId="13" fillId="10" borderId="8" applyNumberFormat="0" applyProtection="0">
      <alignment horizontal="right" vertical="center"/>
    </xf>
    <xf numFmtId="4" fontId="13" fillId="11" borderId="8" applyNumberFormat="0" applyProtection="0">
      <alignment horizontal="right" vertical="center"/>
    </xf>
    <xf numFmtId="4" fontId="13" fillId="12" borderId="8" applyNumberFormat="0" applyProtection="0">
      <alignment horizontal="right" vertical="center"/>
    </xf>
    <xf numFmtId="4" fontId="13" fillId="13" borderId="8" applyNumberFormat="0" applyProtection="0">
      <alignment horizontal="right" vertical="center"/>
    </xf>
    <xf numFmtId="4" fontId="13" fillId="14" borderId="8" applyNumberFormat="0" applyProtection="0">
      <alignment horizontal="right" vertical="center"/>
    </xf>
    <xf numFmtId="4" fontId="13" fillId="15" borderId="8" applyNumberFormat="0" applyProtection="0">
      <alignment horizontal="right" vertical="center"/>
    </xf>
    <xf numFmtId="4" fontId="13" fillId="16" borderId="8" applyNumberFormat="0" applyProtection="0">
      <alignment horizontal="right" vertical="center"/>
    </xf>
    <xf numFmtId="4" fontId="15" fillId="17" borderId="1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7" fillId="19" borderId="0" applyNumberFormat="0" applyProtection="0">
      <alignment horizontal="left" vertical="center" indent="1"/>
    </xf>
    <xf numFmtId="4" fontId="13" fillId="20" borderId="8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7" borderId="8" applyNumberFormat="0" applyProtection="0">
      <alignment horizontal="left" vertical="center" indent="1"/>
    </xf>
    <xf numFmtId="0" fontId="2" fillId="7" borderId="8" applyNumberFormat="0" applyProtection="0">
      <alignment horizontal="left" vertical="top" indent="1"/>
    </xf>
    <xf numFmtId="0" fontId="2" fillId="21" borderId="8" applyNumberFormat="0" applyProtection="0">
      <alignment horizontal="left" vertical="center" indent="1"/>
    </xf>
    <xf numFmtId="0" fontId="2" fillId="21" borderId="8" applyNumberFormat="0" applyProtection="0">
      <alignment horizontal="left" vertical="top" indent="1"/>
    </xf>
    <xf numFmtId="0" fontId="2" fillId="22" borderId="8" applyNumberFormat="0" applyProtection="0">
      <alignment horizontal="left" vertical="center" indent="1"/>
    </xf>
    <xf numFmtId="0" fontId="2" fillId="22" borderId="8" applyNumberFormat="0" applyProtection="0">
      <alignment horizontal="left" vertical="top" indent="1"/>
    </xf>
    <xf numFmtId="4" fontId="13" fillId="3" borderId="8" applyNumberFormat="0" applyProtection="0">
      <alignment vertical="center"/>
    </xf>
    <xf numFmtId="4" fontId="20" fillId="3" borderId="8" applyNumberFormat="0" applyProtection="0">
      <alignment vertical="center"/>
    </xf>
    <xf numFmtId="4" fontId="13" fillId="3" borderId="8" applyNumberFormat="0" applyProtection="0">
      <alignment horizontal="left" vertical="center" indent="1"/>
    </xf>
    <xf numFmtId="0" fontId="13" fillId="3" borderId="8" applyNumberFormat="0" applyProtection="0">
      <alignment horizontal="left" vertical="top" indent="1"/>
    </xf>
    <xf numFmtId="4" fontId="13" fillId="23" borderId="11" applyNumberFormat="0" applyProtection="0">
      <alignment horizontal="right" vertical="center"/>
    </xf>
    <xf numFmtId="4" fontId="20" fillId="18" borderId="8" applyNumberFormat="0" applyProtection="0">
      <alignment horizontal="right" vertical="center"/>
    </xf>
    <xf numFmtId="4" fontId="13" fillId="20" borderId="8" applyNumberFormat="0" applyProtection="0">
      <alignment horizontal="left" vertical="center" indent="1"/>
    </xf>
    <xf numFmtId="0" fontId="13" fillId="7" borderId="8" applyNumberFormat="0" applyProtection="0">
      <alignment horizontal="center" vertical="top"/>
    </xf>
    <xf numFmtId="4" fontId="21" fillId="0" borderId="0" applyNumberFormat="0" applyProtection="0">
      <alignment horizontal="left" vertical="center"/>
    </xf>
    <xf numFmtId="4" fontId="22" fillId="24" borderId="0" applyNumberFormat="0" applyProtection="0">
      <alignment horizontal="left"/>
    </xf>
    <xf numFmtId="4" fontId="23" fillId="18" borderId="8" applyNumberFormat="0" applyProtection="0">
      <alignment horizontal="right" vertical="center"/>
    </xf>
    <xf numFmtId="0" fontId="3" fillId="0" borderId="5">
      <alignment horizontal="center" vertical="center" wrapText="1"/>
    </xf>
    <xf numFmtId="37" fontId="4" fillId="6" borderId="0" applyNumberFormat="0" applyBorder="0" applyAlignment="0" applyProtection="0"/>
    <xf numFmtId="37" fontId="4" fillId="0" borderId="0"/>
    <xf numFmtId="3" fontId="24" fillId="25" borderId="12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6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1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</cellXfs>
  <cellStyles count="108"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2 2" xfId="11"/>
    <cellStyle name="Comma 2 2 2" xfId="12"/>
    <cellStyle name="Comma 3" xfId="13"/>
    <cellStyle name="Comma 3 2" xfId="14"/>
    <cellStyle name="Comma 4" xfId="15"/>
    <cellStyle name="Comma 5" xfId="16"/>
    <cellStyle name="Comma 6" xfId="17"/>
    <cellStyle name="Comma0" xfId="18"/>
    <cellStyle name="Currency" xfId="1" builtinId="4"/>
    <cellStyle name="Currency 2" xfId="19"/>
    <cellStyle name="Currency 2 2" xfId="20"/>
    <cellStyle name="Currency 2 2 2" xfId="21"/>
    <cellStyle name="Currency 3" xfId="22"/>
    <cellStyle name="Currency No Comma" xfId="23"/>
    <cellStyle name="Currency0" xfId="24"/>
    <cellStyle name="Date" xfId="25"/>
    <cellStyle name="Fixed" xfId="26"/>
    <cellStyle name="Grey" xfId="27"/>
    <cellStyle name="header" xfId="28"/>
    <cellStyle name="Header1" xfId="29"/>
    <cellStyle name="Header2" xfId="30"/>
    <cellStyle name="Input [yellow]" xfId="31"/>
    <cellStyle name="MCP" xfId="32"/>
    <cellStyle name="noninput" xfId="33"/>
    <cellStyle name="Normal" xfId="0" builtinId="0"/>
    <cellStyle name="Normal - Style1" xfId="34"/>
    <cellStyle name="Normal 10" xfId="35"/>
    <cellStyle name="Normal 11" xfId="36"/>
    <cellStyle name="Normal 12" xfId="37"/>
    <cellStyle name="Normal 13" xfId="38"/>
    <cellStyle name="Normal 14" xfId="39"/>
    <cellStyle name="Normal 2" xfId="40"/>
    <cellStyle name="Normal 2 2" xfId="41"/>
    <cellStyle name="Normal 2 3" xfId="42"/>
    <cellStyle name="Normal 2 3 2" xfId="43"/>
    <cellStyle name="Normal 3" xfId="44"/>
    <cellStyle name="Normal 3 2" xfId="45"/>
    <cellStyle name="Normal 3 2 2" xfId="46"/>
    <cellStyle name="Normal 3 3" xfId="47"/>
    <cellStyle name="Normal 4" xfId="48"/>
    <cellStyle name="Normal 4 2" xfId="49"/>
    <cellStyle name="Normal 5" xfId="50"/>
    <cellStyle name="Normal 6" xfId="51"/>
    <cellStyle name="Normal 6 2" xfId="52"/>
    <cellStyle name="Normal 7" xfId="53"/>
    <cellStyle name="Normal 8" xfId="54"/>
    <cellStyle name="Normal 9" xfId="55"/>
    <cellStyle name="Password" xfId="56"/>
    <cellStyle name="Percent [2]" xfId="57"/>
    <cellStyle name="Percent 2" xfId="58"/>
    <cellStyle name="Percent 2 2" xfId="59"/>
    <cellStyle name="Percent 2 2 2" xfId="60"/>
    <cellStyle name="Percent 2 3" xfId="61"/>
    <cellStyle name="Percent 3" xfId="62"/>
    <cellStyle name="Percent 3 2" xfId="63"/>
    <cellStyle name="Percent 4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title 2" xfId="102"/>
    <cellStyle name="SAPBEXundefined" xfId="103"/>
    <cellStyle name="Titles" xfId="104"/>
    <cellStyle name="Unprot" xfId="105"/>
    <cellStyle name="Unprot$" xfId="106"/>
    <cellStyle name="Unprotect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even%20R.%20McDougal\Confidential%20EBA%20Workpap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paper Index"/>
      <sheetName val="Table 1"/>
      <sheetName val="(Exh BSD1) A1 Scalar Method"/>
      <sheetName val="(Exh SRM3)09-035-15 Methd"/>
      <sheetName val="(Exh SRM4) A2 Method"/>
      <sheetName val="(Exh SRM5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6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2012 - December 31, 2012</v>
          </cell>
        </row>
        <row r="14">
          <cell r="B14" t="str">
            <v>Exhibit SRM-5</v>
          </cell>
          <cell r="C14" t="str">
            <v>Docket 11-035-200 Stipulation Exhibit A3 Method (Monthly Allocation)</v>
          </cell>
        </row>
        <row r="17">
          <cell r="B17" t="str">
            <v>(5.1)</v>
          </cell>
        </row>
        <row r="24">
          <cell r="B24" t="str">
            <v>(6.1)</v>
          </cell>
        </row>
        <row r="33">
          <cell r="B33" t="str">
            <v>(7.1)</v>
          </cell>
        </row>
        <row r="38">
          <cell r="B38" t="str">
            <v>(8.3)</v>
          </cell>
        </row>
      </sheetData>
      <sheetData sheetId="1"/>
      <sheetData sheetId="2"/>
      <sheetData sheetId="3"/>
      <sheetData sheetId="4"/>
      <sheetData sheetId="5"/>
      <sheetData sheetId="6">
        <row r="86">
          <cell r="B86">
            <v>0</v>
          </cell>
          <cell r="C86">
            <v>0</v>
          </cell>
          <cell r="D86">
            <v>0</v>
          </cell>
          <cell r="E86" t="str">
            <v>ALLOCATION</v>
          </cell>
          <cell r="F86">
            <v>0</v>
          </cell>
          <cell r="G86" t="str">
            <v>Total</v>
          </cell>
          <cell r="H86">
            <v>0</v>
          </cell>
          <cell r="I86">
            <v>40909</v>
          </cell>
          <cell r="J86">
            <v>40940</v>
          </cell>
          <cell r="K86">
            <v>40969</v>
          </cell>
          <cell r="L86">
            <v>41000</v>
          </cell>
          <cell r="M86">
            <v>41030</v>
          </cell>
          <cell r="N86">
            <v>41061</v>
          </cell>
          <cell r="O86">
            <v>41091</v>
          </cell>
          <cell r="P86">
            <v>41122</v>
          </cell>
          <cell r="Q86">
            <v>41153</v>
          </cell>
          <cell r="R86">
            <v>41183</v>
          </cell>
          <cell r="S86">
            <v>41214</v>
          </cell>
          <cell r="T86">
            <v>41244</v>
          </cell>
          <cell r="U86">
            <v>0</v>
          </cell>
        </row>
        <row r="122">
          <cell r="B122">
            <v>0</v>
          </cell>
          <cell r="C122" t="str">
            <v>PRORATED ACTUAL NET POWER COST</v>
          </cell>
          <cell r="D122">
            <v>0</v>
          </cell>
          <cell r="E122">
            <v>0</v>
          </cell>
          <cell r="F122">
            <v>0</v>
          </cell>
          <cell r="G122">
            <v>643306289.02016342</v>
          </cell>
          <cell r="H122">
            <v>0</v>
          </cell>
          <cell r="I122">
            <v>50384272.035001434</v>
          </cell>
          <cell r="J122">
            <v>47750490.637007669</v>
          </cell>
          <cell r="K122">
            <v>48573918.439756043</v>
          </cell>
          <cell r="L122">
            <v>47874267.195083015</v>
          </cell>
          <cell r="M122">
            <v>51997548.188346297</v>
          </cell>
          <cell r="N122">
            <v>55426874.25581</v>
          </cell>
          <cell r="O122">
            <v>64109443.533163816</v>
          </cell>
          <cell r="P122">
            <v>69331048.142525375</v>
          </cell>
          <cell r="Q122">
            <v>56440730.929762796</v>
          </cell>
          <cell r="R122">
            <v>52983792.561803058</v>
          </cell>
          <cell r="S122">
            <v>47350891.38248077</v>
          </cell>
          <cell r="T122">
            <v>51083011.719423167</v>
          </cell>
          <cell r="U122">
            <v>0</v>
          </cell>
        </row>
      </sheetData>
      <sheetData sheetId="7"/>
      <sheetData sheetId="8"/>
      <sheetData sheetId="9"/>
      <sheetData sheetId="10"/>
      <sheetData sheetId="11"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Total</v>
          </cell>
          <cell r="I37">
            <v>0</v>
          </cell>
          <cell r="J37">
            <v>40909</v>
          </cell>
          <cell r="K37">
            <v>40940</v>
          </cell>
          <cell r="L37">
            <v>40969</v>
          </cell>
          <cell r="M37">
            <v>41000</v>
          </cell>
          <cell r="N37">
            <v>41030</v>
          </cell>
          <cell r="O37">
            <v>41061</v>
          </cell>
          <cell r="P37">
            <v>41091</v>
          </cell>
          <cell r="Q37">
            <v>41122</v>
          </cell>
          <cell r="R37">
            <v>41153</v>
          </cell>
          <cell r="S37">
            <v>41183</v>
          </cell>
          <cell r="T37">
            <v>41214</v>
          </cell>
          <cell r="U37">
            <v>41244</v>
          </cell>
          <cell r="V37">
            <v>0</v>
          </cell>
        </row>
        <row r="109">
          <cell r="B109">
            <v>0</v>
          </cell>
          <cell r="C109">
            <v>0</v>
          </cell>
          <cell r="D109" t="str">
            <v>Base Utah MWh</v>
          </cell>
          <cell r="E109">
            <v>0</v>
          </cell>
          <cell r="F109">
            <v>0</v>
          </cell>
          <cell r="G109">
            <v>0</v>
          </cell>
          <cell r="H109">
            <v>24284218.349622905</v>
          </cell>
          <cell r="I109">
            <v>0</v>
          </cell>
          <cell r="J109">
            <v>2063902.0910900002</v>
          </cell>
          <cell r="K109">
            <v>1921260.0009999999</v>
          </cell>
          <cell r="L109">
            <v>2005099.9989900005</v>
          </cell>
          <cell r="M109">
            <v>1927130.00199</v>
          </cell>
          <cell r="N109">
            <v>1998790.0010000002</v>
          </cell>
          <cell r="O109">
            <v>2094789.4639500005</v>
          </cell>
          <cell r="P109">
            <v>2317920.0813900004</v>
          </cell>
          <cell r="Q109">
            <v>2272573.7665000004</v>
          </cell>
          <cell r="R109">
            <v>1939245.2271900002</v>
          </cell>
          <cell r="S109">
            <v>1914847.0974229029</v>
          </cell>
          <cell r="T109">
            <v>1856770.00499</v>
          </cell>
          <cell r="U109">
            <v>1971890.61411</v>
          </cell>
          <cell r="V109">
            <v>0</v>
          </cell>
        </row>
        <row r="110">
          <cell r="B110">
            <v>0</v>
          </cell>
          <cell r="C110">
            <v>0</v>
          </cell>
          <cell r="D110" t="str">
            <v>Base Utah NPC</v>
          </cell>
          <cell r="E110">
            <v>0</v>
          </cell>
          <cell r="F110">
            <v>0</v>
          </cell>
          <cell r="G110">
            <v>0</v>
          </cell>
          <cell r="H110">
            <v>628095313.86455834</v>
          </cell>
          <cell r="I110">
            <v>0</v>
          </cell>
          <cell r="J110">
            <v>53744070.348356538</v>
          </cell>
          <cell r="K110">
            <v>49484259.658798903</v>
          </cell>
          <cell r="L110">
            <v>50694662.498194434</v>
          </cell>
          <cell r="M110">
            <v>50304042.824127056</v>
          </cell>
          <cell r="N110">
            <v>52612782.595674813</v>
          </cell>
          <cell r="O110">
            <v>51238039.321422353</v>
          </cell>
          <cell r="P110">
            <v>58522086.594448857</v>
          </cell>
          <cell r="Q110">
            <v>63183354.894598417</v>
          </cell>
          <cell r="R110">
            <v>52548450.891778402</v>
          </cell>
          <cell r="S110">
            <v>49475091.552411273</v>
          </cell>
          <cell r="T110">
            <v>47745574.198106132</v>
          </cell>
          <cell r="U110">
            <v>48542898.486641221</v>
          </cell>
          <cell r="V110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>
        <row r="10">
          <cell r="B10">
            <v>0</v>
          </cell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40909</v>
          </cell>
          <cell r="H10">
            <v>40940</v>
          </cell>
          <cell r="I10">
            <v>40969</v>
          </cell>
          <cell r="J10">
            <v>41000</v>
          </cell>
          <cell r="K10">
            <v>41030</v>
          </cell>
          <cell r="L10">
            <v>41061</v>
          </cell>
          <cell r="M10">
            <v>41091</v>
          </cell>
          <cell r="N10">
            <v>41122</v>
          </cell>
          <cell r="O10">
            <v>41153</v>
          </cell>
          <cell r="P10">
            <v>41183</v>
          </cell>
          <cell r="Q10">
            <v>41214</v>
          </cell>
          <cell r="R10">
            <v>41244</v>
          </cell>
          <cell r="S10">
            <v>0</v>
          </cell>
          <cell r="T10" t="str">
            <v>Total</v>
          </cell>
          <cell r="U10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Utah Allocated Additional FERC ER11-3643 Revenues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>Utah Allocated Actual Wheeling Revenues</v>
          </cell>
          <cell r="G60">
            <v>-2290729.4109847243</v>
          </cell>
          <cell r="H60">
            <v>-2094138.4684991771</v>
          </cell>
          <cell r="I60">
            <v>-2357934.1068175598</v>
          </cell>
          <cell r="J60">
            <v>-2758643.1619549119</v>
          </cell>
          <cell r="K60">
            <v>-3294011.6336565185</v>
          </cell>
          <cell r="L60">
            <v>-3541625.4591424586</v>
          </cell>
          <cell r="M60">
            <v>-3543639.4539326453</v>
          </cell>
          <cell r="N60">
            <v>-3106300.8604224264</v>
          </cell>
          <cell r="O60">
            <v>-2646916.4238691106</v>
          </cell>
          <cell r="P60">
            <v>-2655349.2707134266</v>
          </cell>
          <cell r="Q60">
            <v>-2476756.208295559</v>
          </cell>
          <cell r="R60">
            <v>-2229819.6350749535</v>
          </cell>
          <cell r="S60">
            <v>0</v>
          </cell>
          <cell r="T60">
            <v>-32995864.093363471</v>
          </cell>
          <cell r="U6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Prorated Utah Allocated Wheeling Revenues In Rates</v>
          </cell>
          <cell r="G91">
            <v>-2538480.7149133333</v>
          </cell>
          <cell r="H91">
            <v>-2538480.7149133333</v>
          </cell>
          <cell r="I91">
            <v>-2538480.7149133333</v>
          </cell>
          <cell r="J91">
            <v>-2538480.7149133333</v>
          </cell>
          <cell r="K91">
            <v>-2538480.7149133333</v>
          </cell>
          <cell r="L91">
            <v>-2538480.7149133333</v>
          </cell>
          <cell r="M91">
            <v>-2538480.7149133333</v>
          </cell>
          <cell r="N91">
            <v>-2538480.7149133333</v>
          </cell>
          <cell r="O91">
            <v>-2538480.7149133333</v>
          </cell>
          <cell r="P91">
            <v>-2632895.7375498926</v>
          </cell>
          <cell r="Q91">
            <v>-2684824</v>
          </cell>
          <cell r="R91">
            <v>-2684824</v>
          </cell>
          <cell r="S91">
            <v>0</v>
          </cell>
          <cell r="T91">
            <v>-30848870.171769895</v>
          </cell>
          <cell r="U91">
            <v>0</v>
          </cell>
        </row>
      </sheetData>
      <sheetData sheetId="19"/>
      <sheetData sheetId="20"/>
      <sheetData sheetId="21">
        <row r="15">
          <cell r="E15">
            <v>1946950.0360000003</v>
          </cell>
          <cell r="F15">
            <v>1874420.7660000001</v>
          </cell>
          <cell r="G15">
            <v>1807946.942</v>
          </cell>
          <cell r="H15">
            <v>1766007.7980000002</v>
          </cell>
          <cell r="I15">
            <v>1924978.5579999997</v>
          </cell>
          <cell r="J15">
            <v>2064853.2010000004</v>
          </cell>
          <cell r="K15">
            <v>2389448.4219999998</v>
          </cell>
          <cell r="L15">
            <v>2358258.7520000003</v>
          </cell>
          <cell r="M15">
            <v>1901403.0560000001</v>
          </cell>
          <cell r="N15">
            <v>1923127.1470000001</v>
          </cell>
          <cell r="O15">
            <v>1827155.2839999998</v>
          </cell>
          <cell r="P15">
            <v>2087566.4540000001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showGridLines="0" tabSelected="1" view="pageLayout" topLeftCell="E49" zoomScaleSheetLayoutView="70" workbookViewId="0">
      <selection activeCell="G61" sqref="G61"/>
    </sheetView>
  </sheetViews>
  <sheetFormatPr defaultRowHeight="15.75" customHeight="1"/>
  <cols>
    <col min="1" max="1" width="5.5703125" style="7" customWidth="1"/>
    <col min="2" max="2" width="35.28515625" style="8" customWidth="1"/>
    <col min="3" max="3" width="2.28515625" style="9" customWidth="1"/>
    <col min="4" max="4" width="25.140625" style="10" customWidth="1"/>
    <col min="5" max="5" width="2.28515625" style="9" customWidth="1"/>
    <col min="6" max="13" width="11.42578125" style="9" customWidth="1"/>
    <col min="14" max="14" width="13.28515625" style="9" customWidth="1"/>
    <col min="15" max="15" width="12.7109375" style="9" customWidth="1"/>
    <col min="16" max="16" width="12.5703125" style="9" customWidth="1"/>
    <col min="17" max="17" width="13" style="9" customWidth="1"/>
    <col min="18" max="18" width="2.28515625" style="9" customWidth="1"/>
    <col min="19" max="19" width="14" style="9" customWidth="1"/>
    <col min="20" max="20" width="2.28515625" style="9" customWidth="1"/>
    <col min="21" max="21" width="20.28515625" style="12" customWidth="1"/>
    <col min="22" max="23" width="9.7109375" style="9" customWidth="1"/>
    <col min="24" max="16384" width="9.140625" style="9"/>
  </cols>
  <sheetData>
    <row r="1" spans="1:21" s="3" customFormat="1" ht="15.75" customHeight="1">
      <c r="A1" s="1" t="str">
        <f>+'[4]Workpaper Index'!C4</f>
        <v>Utah Energy Balancing Account Mechanism</v>
      </c>
      <c r="B1" s="2"/>
      <c r="D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3" customFormat="1" ht="15.75" customHeight="1">
      <c r="A2" s="1" t="str">
        <f>+'[4]Workpaper Index'!C5</f>
        <v>January 1, 2012 - December 31, 2012</v>
      </c>
      <c r="B2" s="2"/>
      <c r="D2" s="4"/>
      <c r="U2" s="6"/>
    </row>
    <row r="3" spans="1:21" s="3" customFormat="1" ht="15.75" customHeight="1">
      <c r="A3" s="1" t="str">
        <f>+'[4]Workpaper Index'!B14&amp;" - "&amp;'[4]Workpaper Index'!C14</f>
        <v>Exhibit SRM-5 - Docket 11-035-200 Stipulation Exhibit A3 Method (Monthly Allocation)</v>
      </c>
      <c r="B3" s="2"/>
      <c r="D3" s="4"/>
      <c r="U3" s="6"/>
    </row>
    <row r="4" spans="1:21" ht="15.75" customHeight="1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1:21" ht="15.75" customHeight="1">
      <c r="A5" s="9"/>
      <c r="B5" s="13"/>
      <c r="R5" s="3"/>
    </row>
    <row r="6" spans="1:21" ht="25.5">
      <c r="A6" s="14" t="s">
        <v>0</v>
      </c>
      <c r="B6" s="15"/>
      <c r="C6" s="3"/>
      <c r="D6" s="16" t="s">
        <v>1</v>
      </c>
      <c r="E6" s="3"/>
      <c r="F6" s="17">
        <v>40909</v>
      </c>
      <c r="G6" s="17">
        <f>EDATE(F6,1)</f>
        <v>40940</v>
      </c>
      <c r="H6" s="17">
        <f t="shared" ref="H6:Q6" si="0">EDATE(G6,1)</f>
        <v>40969</v>
      </c>
      <c r="I6" s="17">
        <f t="shared" si="0"/>
        <v>41000</v>
      </c>
      <c r="J6" s="17">
        <f t="shared" si="0"/>
        <v>41030</v>
      </c>
      <c r="K6" s="17">
        <f t="shared" si="0"/>
        <v>41061</v>
      </c>
      <c r="L6" s="17">
        <f t="shared" si="0"/>
        <v>41091</v>
      </c>
      <c r="M6" s="17">
        <f t="shared" si="0"/>
        <v>41122</v>
      </c>
      <c r="N6" s="17">
        <f t="shared" si="0"/>
        <v>41153</v>
      </c>
      <c r="O6" s="17">
        <f t="shared" si="0"/>
        <v>41183</v>
      </c>
      <c r="P6" s="17">
        <f t="shared" si="0"/>
        <v>41214</v>
      </c>
      <c r="Q6" s="17">
        <f t="shared" si="0"/>
        <v>41244</v>
      </c>
      <c r="R6" s="3"/>
      <c r="S6" s="17" t="s">
        <v>2</v>
      </c>
      <c r="T6" s="18"/>
    </row>
    <row r="7" spans="1:21" ht="15.75" customHeight="1">
      <c r="A7" s="19"/>
      <c r="B7" s="20"/>
      <c r="C7" s="3"/>
      <c r="D7" s="21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3"/>
      <c r="S7" s="22"/>
      <c r="T7" s="23"/>
      <c r="U7" s="24"/>
    </row>
    <row r="8" spans="1:21" ht="15.75" customHeight="1">
      <c r="A8" s="25" t="s">
        <v>3</v>
      </c>
      <c r="B8" s="2"/>
      <c r="C8" s="3"/>
      <c r="D8" s="21"/>
      <c r="E8" s="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23"/>
      <c r="T8" s="23"/>
      <c r="U8" s="24"/>
    </row>
    <row r="9" spans="1:21" ht="15.75" customHeight="1">
      <c r="A9" s="26"/>
      <c r="B9" s="20"/>
      <c r="C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"/>
      <c r="S9" s="27"/>
      <c r="T9" s="23"/>
      <c r="U9" s="24"/>
    </row>
    <row r="10" spans="1:21" ht="15.75" customHeight="1">
      <c r="A10" s="26">
        <f>+MAX($A$1:A9)+1</f>
        <v>1</v>
      </c>
      <c r="B10" s="21" t="s">
        <v>4</v>
      </c>
      <c r="D10" s="28" t="str">
        <f>+'[4]Workpaper Index'!B17</f>
        <v>(5.1)</v>
      </c>
      <c r="F10" s="29">
        <f>+INDEX('[4](5.1) UT Allocated Actual NPC'!$122:$122,1,MATCH(F$6,'[4](5.1) UT Allocated Actual NPC'!$86:$86,0))</f>
        <v>50384272.035001434</v>
      </c>
      <c r="G10" s="29">
        <f>+INDEX('[4](5.1) UT Allocated Actual NPC'!$122:$122,1,MATCH(G$6,'[4](5.1) UT Allocated Actual NPC'!$86:$86,0))</f>
        <v>47750490.637007669</v>
      </c>
      <c r="H10" s="29">
        <f>+INDEX('[4](5.1) UT Allocated Actual NPC'!$122:$122,1,MATCH(H$6,'[4](5.1) UT Allocated Actual NPC'!$86:$86,0))</f>
        <v>48573918.439756043</v>
      </c>
      <c r="I10" s="29">
        <f>+INDEX('[4](5.1) UT Allocated Actual NPC'!$122:$122,1,MATCH(I$6,'[4](5.1) UT Allocated Actual NPC'!$86:$86,0))</f>
        <v>47874267.195083015</v>
      </c>
      <c r="J10" s="29">
        <f>+INDEX('[4](5.1) UT Allocated Actual NPC'!$122:$122,1,MATCH(J$6,'[4](5.1) UT Allocated Actual NPC'!$86:$86,0))</f>
        <v>51997548.188346297</v>
      </c>
      <c r="K10" s="29">
        <f>+INDEX('[4](5.1) UT Allocated Actual NPC'!$122:$122,1,MATCH(K$6,'[4](5.1) UT Allocated Actual NPC'!$86:$86,0))</f>
        <v>55426874.25581</v>
      </c>
      <c r="L10" s="29">
        <f>+INDEX('[4](5.1) UT Allocated Actual NPC'!$122:$122,1,MATCH(L$6,'[4](5.1) UT Allocated Actual NPC'!$86:$86,0))</f>
        <v>64109443.533163816</v>
      </c>
      <c r="M10" s="29">
        <f>+INDEX('[4](5.1) UT Allocated Actual NPC'!$122:$122,1,MATCH(M$6,'[4](5.1) UT Allocated Actual NPC'!$86:$86,0))</f>
        <v>69331048.142525375</v>
      </c>
      <c r="N10" s="29">
        <f>+INDEX('[4](5.1) UT Allocated Actual NPC'!$122:$122,1,MATCH(N$6,'[4](5.1) UT Allocated Actual NPC'!$86:$86,0))</f>
        <v>56440730.929762796</v>
      </c>
      <c r="O10" s="29">
        <f>+INDEX('[4](5.1) UT Allocated Actual NPC'!$122:$122,1,MATCH(O$6,'[4](5.1) UT Allocated Actual NPC'!$86:$86,0))</f>
        <v>52983792.561803058</v>
      </c>
      <c r="P10" s="29">
        <f>+INDEX('[4](5.1) UT Allocated Actual NPC'!$122:$122,1,MATCH(P$6,'[4](5.1) UT Allocated Actual NPC'!$86:$86,0))</f>
        <v>47350891.38248077</v>
      </c>
      <c r="Q10" s="29">
        <f>+INDEX('[4](5.1) UT Allocated Actual NPC'!$122:$122,1,MATCH(Q$6,'[4](5.1) UT Allocated Actual NPC'!$86:$86,0))</f>
        <v>51083011.719423167</v>
      </c>
      <c r="R10" s="3"/>
      <c r="S10" s="29">
        <f>+SUM(F10:Q10)</f>
        <v>643306289.02016342</v>
      </c>
      <c r="T10" s="23"/>
      <c r="U10" s="24"/>
    </row>
    <row r="11" spans="1:21" ht="15.75" customHeight="1">
      <c r="A11" s="26">
        <f>+MAX($A$1:A10)+1</f>
        <v>2</v>
      </c>
      <c r="B11" s="21" t="s">
        <v>5</v>
      </c>
      <c r="D11" s="28" t="str">
        <f>+'[4]Workpaper Index'!B33</f>
        <v>(7.1)</v>
      </c>
      <c r="F11" s="29">
        <f>+INDEX('[4](7.1) Wheeling Revenues'!$60:$60,1,MATCH(F$6,'[4](7.1) Wheeling Revenues'!$10:$10,0))</f>
        <v>-2290729.4109847243</v>
      </c>
      <c r="G11" s="29">
        <f>+INDEX('[4](7.1) Wheeling Revenues'!$60:$60,1,MATCH(G$6,'[4](7.1) Wheeling Revenues'!$10:$10,0))</f>
        <v>-2094138.4684991771</v>
      </c>
      <c r="H11" s="29">
        <f>+INDEX('[4](7.1) Wheeling Revenues'!$60:$60,1,MATCH(H$6,'[4](7.1) Wheeling Revenues'!$10:$10,0))</f>
        <v>-2357934.1068175598</v>
      </c>
      <c r="I11" s="29">
        <f>+INDEX('[4](7.1) Wheeling Revenues'!$60:$60,1,MATCH(I$6,'[4](7.1) Wheeling Revenues'!$10:$10,0))</f>
        <v>-2758643.1619549119</v>
      </c>
      <c r="J11" s="29">
        <f>+INDEX('[4](7.1) Wheeling Revenues'!$60:$60,1,MATCH(J$6,'[4](7.1) Wheeling Revenues'!$10:$10,0))</f>
        <v>-3294011.6336565185</v>
      </c>
      <c r="K11" s="29">
        <f>+INDEX('[4](7.1) Wheeling Revenues'!$60:$60,1,MATCH(K$6,'[4](7.1) Wheeling Revenues'!$10:$10,0))</f>
        <v>-3541625.4591424586</v>
      </c>
      <c r="L11" s="29">
        <f>+INDEX('[4](7.1) Wheeling Revenues'!$60:$60,1,MATCH(L$6,'[4](7.1) Wheeling Revenues'!$10:$10,0))</f>
        <v>-3543639.4539326453</v>
      </c>
      <c r="M11" s="29">
        <f>+INDEX('[4](7.1) Wheeling Revenues'!$60:$60,1,MATCH(M$6,'[4](7.1) Wheeling Revenues'!$10:$10,0))</f>
        <v>-3106300.8604224264</v>
      </c>
      <c r="N11" s="29">
        <f>+INDEX('[4](7.1) Wheeling Revenues'!$60:$60,1,MATCH(N$6,'[4](7.1) Wheeling Revenues'!$10:$10,0))</f>
        <v>-2646916.4238691106</v>
      </c>
      <c r="O11" s="29">
        <f>+INDEX('[4](7.1) Wheeling Revenues'!$60:$60,1,MATCH(O$6,'[4](7.1) Wheeling Revenues'!$10:$10,0))</f>
        <v>-2655349.2707134266</v>
      </c>
      <c r="P11" s="29">
        <f>+INDEX('[4](7.1) Wheeling Revenues'!$60:$60,1,MATCH(P$6,'[4](7.1) Wheeling Revenues'!$10:$10,0))</f>
        <v>-2476756.208295559</v>
      </c>
      <c r="Q11" s="29">
        <f>+INDEX('[4](7.1) Wheeling Revenues'!$60:$60,1,MATCH(Q$6,'[4](7.1) Wheeling Revenues'!$10:$10,0))</f>
        <v>-2229819.6350749535</v>
      </c>
      <c r="R11" s="3"/>
      <c r="S11" s="29">
        <f>+SUM(F11:Q11)</f>
        <v>-32995864.093363471</v>
      </c>
      <c r="T11" s="23"/>
      <c r="U11" s="24"/>
    </row>
    <row r="12" spans="1:21" ht="15.75" customHeight="1">
      <c r="A12" s="26">
        <f>+MAX($A$1:A11)+1</f>
        <v>3</v>
      </c>
      <c r="B12" s="21" t="s">
        <v>2</v>
      </c>
      <c r="D12" s="10" t="str">
        <f>"∑ Lines "&amp;$A$10&amp;":"&amp;$A$11&amp;""</f>
        <v>∑ Lines 1:2</v>
      </c>
      <c r="F12" s="30">
        <f>+SUM(F10:F11)</f>
        <v>48093542.62401671</v>
      </c>
      <c r="G12" s="30">
        <f>+SUM(G10:G11)</f>
        <v>45656352.168508492</v>
      </c>
      <c r="H12" s="30">
        <f>+SUM(H10:H11)</f>
        <v>46215984.332938485</v>
      </c>
      <c r="I12" s="30">
        <f t="shared" ref="I12:Q12" si="1">+SUM(I10:I11)</f>
        <v>45115624.033128105</v>
      </c>
      <c r="J12" s="30">
        <f t="shared" si="1"/>
        <v>48703536.55468978</v>
      </c>
      <c r="K12" s="30">
        <f t="shared" si="1"/>
        <v>51885248.796667539</v>
      </c>
      <c r="L12" s="30">
        <f t="shared" si="1"/>
        <v>60565804.079231173</v>
      </c>
      <c r="M12" s="30">
        <f t="shared" si="1"/>
        <v>66224747.28210295</v>
      </c>
      <c r="N12" s="30">
        <f t="shared" si="1"/>
        <v>53793814.505893685</v>
      </c>
      <c r="O12" s="30">
        <f t="shared" si="1"/>
        <v>50328443.291089632</v>
      </c>
      <c r="P12" s="30">
        <f t="shared" si="1"/>
        <v>44874135.174185209</v>
      </c>
      <c r="Q12" s="30">
        <f t="shared" si="1"/>
        <v>48853192.084348217</v>
      </c>
      <c r="R12" s="3"/>
      <c r="S12" s="30">
        <f>+SUM(F12:Q12)</f>
        <v>610310424.92679989</v>
      </c>
      <c r="T12" s="23"/>
      <c r="U12" s="24"/>
    </row>
    <row r="13" spans="1:21" ht="15.75" customHeight="1">
      <c r="A13" s="26"/>
      <c r="B13" s="2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"/>
      <c r="S13" s="29"/>
      <c r="T13" s="23"/>
      <c r="U13" s="24"/>
    </row>
    <row r="14" spans="1:21" ht="15.75" customHeight="1">
      <c r="A14" s="26">
        <f>+MAX($A$1:A13)+1</f>
        <v>4</v>
      </c>
      <c r="B14" s="21" t="s">
        <v>6</v>
      </c>
      <c r="D14" s="28" t="str">
        <f>+'[4]Workpaper Index'!B38</f>
        <v>(8.3)</v>
      </c>
      <c r="F14" s="29">
        <f>+'[4](8.3) Utah Sales'!E15</f>
        <v>1946950.0360000003</v>
      </c>
      <c r="G14" s="29">
        <f>+'[4](8.3) Utah Sales'!F15</f>
        <v>1874420.7660000001</v>
      </c>
      <c r="H14" s="29">
        <f>+'[4](8.3) Utah Sales'!G15</f>
        <v>1807946.942</v>
      </c>
      <c r="I14" s="29">
        <f>+'[4](8.3) Utah Sales'!H15</f>
        <v>1766007.7980000002</v>
      </c>
      <c r="J14" s="29">
        <f>+'[4](8.3) Utah Sales'!I15</f>
        <v>1924978.5579999997</v>
      </c>
      <c r="K14" s="29">
        <f>+'[4](8.3) Utah Sales'!J15</f>
        <v>2064853.2010000004</v>
      </c>
      <c r="L14" s="29">
        <f>+'[4](8.3) Utah Sales'!K15</f>
        <v>2389448.4219999998</v>
      </c>
      <c r="M14" s="29">
        <f>+'[4](8.3) Utah Sales'!L15</f>
        <v>2358258.7520000003</v>
      </c>
      <c r="N14" s="29">
        <f>+'[4](8.3) Utah Sales'!M15</f>
        <v>1901403.0560000001</v>
      </c>
      <c r="O14" s="29">
        <f>+'[4](8.3) Utah Sales'!N15</f>
        <v>1923127.1470000001</v>
      </c>
      <c r="P14" s="29">
        <f>+'[4](8.3) Utah Sales'!O15</f>
        <v>1827155.2839999998</v>
      </c>
      <c r="Q14" s="29">
        <f>+'[4](8.3) Utah Sales'!P15</f>
        <v>2087566.4540000001</v>
      </c>
      <c r="R14" s="3"/>
      <c r="S14" s="29">
        <f>+SUM(F14:Q14)</f>
        <v>23872116.415999997</v>
      </c>
      <c r="T14" s="23"/>
      <c r="U14" s="24"/>
    </row>
    <row r="15" spans="1:21" ht="15.75" customHeight="1">
      <c r="A15" s="26"/>
      <c r="B15" s="2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"/>
      <c r="S15" s="27"/>
      <c r="T15" s="23"/>
      <c r="U15" s="24"/>
    </row>
    <row r="16" spans="1:21" ht="15.75" customHeight="1">
      <c r="A16" s="26">
        <f>+MAX($A$1:A15)+1</f>
        <v>5</v>
      </c>
      <c r="B16" s="21" t="s">
        <v>7</v>
      </c>
      <c r="D16" s="10" t="str">
        <f>"Line "&amp;$A$12&amp;" / Line "&amp;$A$14&amp;""</f>
        <v>Line 3 / Line 4</v>
      </c>
      <c r="F16" s="31">
        <f t="shared" ref="F16:Q16" si="2">+F12/F14</f>
        <v>24.701991183515251</v>
      </c>
      <c r="G16" s="31">
        <f t="shared" si="2"/>
        <v>24.357579150138637</v>
      </c>
      <c r="H16" s="31">
        <f t="shared" si="2"/>
        <v>25.562688406006597</v>
      </c>
      <c r="I16" s="31">
        <f t="shared" si="2"/>
        <v>25.546673171104594</v>
      </c>
      <c r="J16" s="31">
        <f t="shared" si="2"/>
        <v>25.300820288248524</v>
      </c>
      <c r="K16" s="31">
        <f t="shared" si="2"/>
        <v>25.127814786804077</v>
      </c>
      <c r="L16" s="31">
        <f t="shared" si="2"/>
        <v>25.347190389879518</v>
      </c>
      <c r="M16" s="31">
        <f t="shared" si="2"/>
        <v>28.0820530087883</v>
      </c>
      <c r="N16" s="31">
        <f t="shared" si="2"/>
        <v>28.29164197256538</v>
      </c>
      <c r="O16" s="31">
        <f t="shared" si="2"/>
        <v>26.170107041336269</v>
      </c>
      <c r="P16" s="31">
        <f t="shared" si="2"/>
        <v>24.55956292666432</v>
      </c>
      <c r="Q16" s="31">
        <f t="shared" si="2"/>
        <v>23.401981762420203</v>
      </c>
      <c r="R16" s="3"/>
      <c r="S16" s="31">
        <f>+S12/S14</f>
        <v>25.565828110562776</v>
      </c>
      <c r="T16" s="23"/>
      <c r="U16" s="24"/>
    </row>
    <row r="17" spans="1:21" ht="15.75" customHeight="1">
      <c r="A17" s="26"/>
      <c r="R17" s="3"/>
      <c r="T17" s="23"/>
      <c r="U17" s="24"/>
    </row>
    <row r="18" spans="1:21" ht="15.75" customHeight="1">
      <c r="A18" s="32" t="s">
        <v>8</v>
      </c>
      <c r="B18" s="33"/>
      <c r="C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"/>
      <c r="S18" s="34"/>
      <c r="T18" s="23"/>
      <c r="U18" s="24"/>
    </row>
    <row r="19" spans="1:21" ht="15.75" customHeight="1">
      <c r="A19" s="32"/>
      <c r="B19" s="33"/>
      <c r="C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"/>
      <c r="S19" s="34"/>
      <c r="T19" s="23"/>
      <c r="U19" s="24"/>
    </row>
    <row r="20" spans="1:21" ht="15.75" customHeight="1">
      <c r="A20" s="26">
        <f>+MAX($A$1:A19)+1</f>
        <v>6</v>
      </c>
      <c r="B20" s="21" t="s">
        <v>4</v>
      </c>
      <c r="C20" s="25"/>
      <c r="D20" s="28" t="str">
        <f>+'[4]Workpaper Index'!B24</f>
        <v>(6.1)</v>
      </c>
      <c r="E20" s="25"/>
      <c r="F20" s="29">
        <f>+INDEX('[4](6.1) Prorated Base NPC'!$110:$110,1,MATCH(F$6,'[4](6.1) Prorated Base NPC'!$37:$37,0))</f>
        <v>53744070.348356538</v>
      </c>
      <c r="G20" s="29">
        <f>+INDEX('[4](6.1) Prorated Base NPC'!$110:$110,1,MATCH(G$6,'[4](6.1) Prorated Base NPC'!$37:$37,0))</f>
        <v>49484259.658798903</v>
      </c>
      <c r="H20" s="29">
        <f>+INDEX('[4](6.1) Prorated Base NPC'!$110:$110,1,MATCH(H$6,'[4](6.1) Prorated Base NPC'!$37:$37,0))</f>
        <v>50694662.498194434</v>
      </c>
      <c r="I20" s="29">
        <f>+INDEX('[4](6.1) Prorated Base NPC'!$110:$110,1,MATCH(I$6,'[4](6.1) Prorated Base NPC'!$37:$37,0))</f>
        <v>50304042.824127056</v>
      </c>
      <c r="J20" s="29">
        <f>+INDEX('[4](6.1) Prorated Base NPC'!$110:$110,1,MATCH(J$6,'[4](6.1) Prorated Base NPC'!$37:$37,0))</f>
        <v>52612782.595674813</v>
      </c>
      <c r="K20" s="29">
        <f>+INDEX('[4](6.1) Prorated Base NPC'!$110:$110,1,MATCH(K$6,'[4](6.1) Prorated Base NPC'!$37:$37,0))</f>
        <v>51238039.321422353</v>
      </c>
      <c r="L20" s="29">
        <f>+INDEX('[4](6.1) Prorated Base NPC'!$110:$110,1,MATCH(L$6,'[4](6.1) Prorated Base NPC'!$37:$37,0))</f>
        <v>58522086.594448857</v>
      </c>
      <c r="M20" s="29">
        <f>+INDEX('[4](6.1) Prorated Base NPC'!$110:$110,1,MATCH(M$6,'[4](6.1) Prorated Base NPC'!$37:$37,0))</f>
        <v>63183354.894598417</v>
      </c>
      <c r="N20" s="29">
        <f>+INDEX('[4](6.1) Prorated Base NPC'!$110:$110,1,MATCH(N$6,'[4](6.1) Prorated Base NPC'!$37:$37,0))</f>
        <v>52548450.891778402</v>
      </c>
      <c r="O20" s="29">
        <f>+INDEX('[4](6.1) Prorated Base NPC'!$110:$110,1,MATCH(O$6,'[4](6.1) Prorated Base NPC'!$37:$37,0))</f>
        <v>49475091.552411273</v>
      </c>
      <c r="P20" s="29">
        <f>+INDEX('[4](6.1) Prorated Base NPC'!$110:$110,1,MATCH(P$6,'[4](6.1) Prorated Base NPC'!$37:$37,0))</f>
        <v>47745574.198106132</v>
      </c>
      <c r="Q20" s="29">
        <f>+INDEX('[4](6.1) Prorated Base NPC'!$110:$110,1,MATCH(Q$6,'[4](6.1) Prorated Base NPC'!$37:$37,0))</f>
        <v>48542898.486641221</v>
      </c>
      <c r="R20" s="3"/>
      <c r="S20" s="29">
        <f>+SUM(F20:Q20)</f>
        <v>628095313.86455834</v>
      </c>
      <c r="T20" s="23"/>
      <c r="U20" s="35"/>
    </row>
    <row r="21" spans="1:21" ht="15.75" customHeight="1">
      <c r="A21" s="26">
        <f>+MAX($A$1:A20)+1</f>
        <v>7</v>
      </c>
      <c r="B21" s="21" t="s">
        <v>5</v>
      </c>
      <c r="C21" s="25"/>
      <c r="D21" s="28" t="str">
        <f>+'[4]Workpaper Index'!B33</f>
        <v>(7.1)</v>
      </c>
      <c r="E21" s="25"/>
      <c r="F21" s="29">
        <f>+INDEX('[4](7.1) Wheeling Revenues'!$91:$91,MATCH(F$6,'[4](7.1) Wheeling Revenues'!$10:$10,0))</f>
        <v>-2538480.7149133333</v>
      </c>
      <c r="G21" s="29">
        <f>+INDEX('[4](7.1) Wheeling Revenues'!$91:$91,MATCH(G$6,'[4](7.1) Wheeling Revenues'!$10:$10,0))</f>
        <v>-2538480.7149133333</v>
      </c>
      <c r="H21" s="29">
        <f>+INDEX('[4](7.1) Wheeling Revenues'!$91:$91,MATCH(H$6,'[4](7.1) Wheeling Revenues'!$10:$10,0))</f>
        <v>-2538480.7149133333</v>
      </c>
      <c r="I21" s="29">
        <f>+INDEX('[4](7.1) Wheeling Revenues'!$91:$91,MATCH(I$6,'[4](7.1) Wheeling Revenues'!$10:$10,0))</f>
        <v>-2538480.7149133333</v>
      </c>
      <c r="J21" s="29">
        <f>+INDEX('[4](7.1) Wheeling Revenues'!$91:$91,MATCH(J$6,'[4](7.1) Wheeling Revenues'!$10:$10,0))</f>
        <v>-2538480.7149133333</v>
      </c>
      <c r="K21" s="29">
        <f>+INDEX('[4](7.1) Wheeling Revenues'!$91:$91,MATCH(K$6,'[4](7.1) Wheeling Revenues'!$10:$10,0))</f>
        <v>-2538480.7149133333</v>
      </c>
      <c r="L21" s="29">
        <f>+INDEX('[4](7.1) Wheeling Revenues'!$91:$91,MATCH(L$6,'[4](7.1) Wheeling Revenues'!$10:$10,0))</f>
        <v>-2538480.7149133333</v>
      </c>
      <c r="M21" s="29">
        <f>+INDEX('[4](7.1) Wheeling Revenues'!$91:$91,MATCH(M$6,'[4](7.1) Wheeling Revenues'!$10:$10,0))</f>
        <v>-2538480.7149133333</v>
      </c>
      <c r="N21" s="29">
        <f>+INDEX('[4](7.1) Wheeling Revenues'!$91:$91,MATCH(N$6,'[4](7.1) Wheeling Revenues'!$10:$10,0))</f>
        <v>-2538480.7149133333</v>
      </c>
      <c r="O21" s="29">
        <f>+INDEX('[4](7.1) Wheeling Revenues'!$91:$91,MATCH(O$6,'[4](7.1) Wheeling Revenues'!$10:$10,0))</f>
        <v>-2632895.7375498926</v>
      </c>
      <c r="P21" s="29">
        <f>+INDEX('[4](7.1) Wheeling Revenues'!$91:$91,MATCH(P$6,'[4](7.1) Wheeling Revenues'!$10:$10,0))</f>
        <v>-2684824</v>
      </c>
      <c r="Q21" s="29">
        <f>+INDEX('[4](7.1) Wheeling Revenues'!$91:$91,MATCH(Q$6,'[4](7.1) Wheeling Revenues'!$10:$10,0))</f>
        <v>-2684824</v>
      </c>
      <c r="R21" s="3"/>
      <c r="S21" s="29">
        <f>+SUM(F21:Q21)</f>
        <v>-30848870.171769895</v>
      </c>
      <c r="T21" s="36"/>
      <c r="U21" s="24"/>
    </row>
    <row r="22" spans="1:21" ht="15.75" customHeight="1">
      <c r="A22" s="26">
        <f>+MAX($A$1:A21)+1</f>
        <v>8</v>
      </c>
      <c r="B22" s="21" t="s">
        <v>2</v>
      </c>
      <c r="C22" s="25"/>
      <c r="D22" s="10" t="str">
        <f>"∑ Lines "&amp;$A$20&amp;":"&amp;$A$21&amp;""</f>
        <v>∑ Lines 6:7</v>
      </c>
      <c r="E22" s="25"/>
      <c r="F22" s="30">
        <f>+SUM(F20:F21)</f>
        <v>51205589.633443207</v>
      </c>
      <c r="G22" s="30">
        <f>+SUM(G20:G21)</f>
        <v>46945778.943885572</v>
      </c>
      <c r="H22" s="30">
        <f>+SUM(H20:H21)</f>
        <v>48156181.783281103</v>
      </c>
      <c r="I22" s="30">
        <f t="shared" ref="I22:Q22" si="3">+SUM(I20:I21)</f>
        <v>47765562.109213725</v>
      </c>
      <c r="J22" s="30">
        <f t="shared" si="3"/>
        <v>50074301.880761482</v>
      </c>
      <c r="K22" s="30">
        <f t="shared" si="3"/>
        <v>48699558.606509022</v>
      </c>
      <c r="L22" s="30">
        <f t="shared" si="3"/>
        <v>55983605.879535526</v>
      </c>
      <c r="M22" s="30">
        <f t="shared" si="3"/>
        <v>60644874.179685086</v>
      </c>
      <c r="N22" s="30">
        <f t="shared" si="3"/>
        <v>50009970.176865071</v>
      </c>
      <c r="O22" s="30">
        <f t="shared" si="3"/>
        <v>46842195.81486138</v>
      </c>
      <c r="P22" s="30">
        <f t="shared" si="3"/>
        <v>45060750.198106132</v>
      </c>
      <c r="Q22" s="30">
        <f t="shared" si="3"/>
        <v>45858074.486641221</v>
      </c>
      <c r="R22" s="3"/>
      <c r="S22" s="30">
        <f>+SUM(F22:Q22)</f>
        <v>597246443.69278848</v>
      </c>
      <c r="T22" s="23"/>
      <c r="U22" s="24"/>
    </row>
    <row r="23" spans="1:21" ht="15.75" customHeight="1">
      <c r="A23" s="26"/>
      <c r="B23" s="21"/>
      <c r="C23" s="25"/>
      <c r="E23" s="2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"/>
      <c r="S23" s="29"/>
      <c r="T23" s="23"/>
      <c r="U23" s="24"/>
    </row>
    <row r="24" spans="1:21" ht="15.75" customHeight="1">
      <c r="A24" s="26">
        <f>+MAX($A$1:A23)+1</f>
        <v>9</v>
      </c>
      <c r="B24" s="21" t="s">
        <v>6</v>
      </c>
      <c r="C24" s="25"/>
      <c r="D24" s="28"/>
      <c r="E24" s="25"/>
      <c r="F24" s="29">
        <f>+INDEX('[4](6.1) Prorated Base NPC'!$109:$109,1,MATCH(F$6,'[4](6.1) Prorated Base NPC'!$37:$37,0))</f>
        <v>2063902.0910900002</v>
      </c>
      <c r="G24" s="29">
        <f>+INDEX('[4](6.1) Prorated Base NPC'!$109:$109,1,MATCH(G$6,'[4](6.1) Prorated Base NPC'!$37:$37,0))</f>
        <v>1921260.0009999999</v>
      </c>
      <c r="H24" s="29">
        <f>+INDEX('[4](6.1) Prorated Base NPC'!$109:$109,1,MATCH(H$6,'[4](6.1) Prorated Base NPC'!$37:$37,0))</f>
        <v>2005099.9989900005</v>
      </c>
      <c r="I24" s="29">
        <f>+INDEX('[4](6.1) Prorated Base NPC'!$109:$109,1,MATCH(I$6,'[4](6.1) Prorated Base NPC'!$37:$37,0))</f>
        <v>1927130.00199</v>
      </c>
      <c r="J24" s="29">
        <f>+INDEX('[4](6.1) Prorated Base NPC'!$109:$109,1,MATCH(J$6,'[4](6.1) Prorated Base NPC'!$37:$37,0))</f>
        <v>1998790.0010000002</v>
      </c>
      <c r="K24" s="29">
        <f>+INDEX('[4](6.1) Prorated Base NPC'!$109:$109,1,MATCH(K$6,'[4](6.1) Prorated Base NPC'!$37:$37,0))</f>
        <v>2094789.4639500005</v>
      </c>
      <c r="L24" s="29">
        <f>+INDEX('[4](6.1) Prorated Base NPC'!$109:$109,1,MATCH(L$6,'[4](6.1) Prorated Base NPC'!$37:$37,0))</f>
        <v>2317920.0813900004</v>
      </c>
      <c r="M24" s="29">
        <f>+INDEX('[4](6.1) Prorated Base NPC'!$109:$109,1,MATCH(M$6,'[4](6.1) Prorated Base NPC'!$37:$37,0))</f>
        <v>2272573.7665000004</v>
      </c>
      <c r="N24" s="29">
        <f>+INDEX('[4](6.1) Prorated Base NPC'!$109:$109,1,MATCH(N$6,'[4](6.1) Prorated Base NPC'!$37:$37,0))</f>
        <v>1939245.2271900002</v>
      </c>
      <c r="O24" s="29">
        <f>+INDEX('[4](6.1) Prorated Base NPC'!$109:$109,1,MATCH(O$6,'[4](6.1) Prorated Base NPC'!$37:$37,0))</f>
        <v>1914847.0974229029</v>
      </c>
      <c r="P24" s="29">
        <f>+INDEX('[4](6.1) Prorated Base NPC'!$109:$109,1,MATCH(P$6,'[4](6.1) Prorated Base NPC'!$37:$37,0))</f>
        <v>1856770.00499</v>
      </c>
      <c r="Q24" s="29">
        <f>+INDEX('[4](6.1) Prorated Base NPC'!$109:$109,1,MATCH(Q$6,'[4](6.1) Prorated Base NPC'!$37:$37,0))</f>
        <v>1971890.61411</v>
      </c>
      <c r="R24" s="3"/>
      <c r="S24" s="29">
        <f>+SUM(F24:Q24)</f>
        <v>24284218.349622905</v>
      </c>
      <c r="T24" s="23"/>
      <c r="U24" s="24"/>
    </row>
    <row r="25" spans="1:21" ht="15.75" customHeight="1">
      <c r="A25" s="26"/>
      <c r="B25" s="21"/>
      <c r="C25" s="25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"/>
      <c r="S25" s="27"/>
      <c r="T25" s="23"/>
      <c r="U25" s="24"/>
    </row>
    <row r="26" spans="1:21" ht="15.75" customHeight="1">
      <c r="A26" s="26">
        <f>+MAX($A$1:A25)+1</f>
        <v>10</v>
      </c>
      <c r="B26" s="21" t="s">
        <v>9</v>
      </c>
      <c r="C26" s="25"/>
      <c r="D26" s="10" t="str">
        <f>"Line "&amp;$A$22&amp;" / Line "&amp;$A$24&amp;""</f>
        <v>Line 8 / Line 9</v>
      </c>
      <c r="E26" s="25"/>
      <c r="F26" s="31">
        <f>+F22/F24</f>
        <v>24.810086609486504</v>
      </c>
      <c r="G26" s="31">
        <f>+G22/G24</f>
        <v>24.434891123247599</v>
      </c>
      <c r="H26" s="31">
        <f>+H22/H24</f>
        <v>24.016847941518183</v>
      </c>
      <c r="I26" s="31">
        <f t="shared" ref="I26:Q26" si="4">+I22/I24</f>
        <v>24.785853606082554</v>
      </c>
      <c r="J26" s="31">
        <f t="shared" si="4"/>
        <v>25.052307573936815</v>
      </c>
      <c r="K26" s="31">
        <f t="shared" si="4"/>
        <v>23.247948991818784</v>
      </c>
      <c r="L26" s="31">
        <f t="shared" si="4"/>
        <v>24.152517737351634</v>
      </c>
      <c r="M26" s="31">
        <f t="shared" si="4"/>
        <v>26.685547054027861</v>
      </c>
      <c r="N26" s="31">
        <f t="shared" si="4"/>
        <v>25.788368317569809</v>
      </c>
      <c r="O26" s="31">
        <f t="shared" si="4"/>
        <v>24.462629876768727</v>
      </c>
      <c r="P26" s="31">
        <f t="shared" si="4"/>
        <v>24.268353149289922</v>
      </c>
      <c r="Q26" s="31">
        <f t="shared" si="4"/>
        <v>23.255891659760735</v>
      </c>
      <c r="R26" s="3"/>
      <c r="S26" s="31">
        <f>+S22/S24</f>
        <v>24.594015549282144</v>
      </c>
      <c r="T26" s="23"/>
      <c r="U26" s="24"/>
    </row>
    <row r="27" spans="1:21" ht="15.75" customHeight="1">
      <c r="A27" s="26"/>
      <c r="B27" s="37"/>
      <c r="C27" s="25"/>
      <c r="E27" s="2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"/>
      <c r="S27" s="27"/>
      <c r="T27" s="23"/>
      <c r="U27" s="24"/>
    </row>
    <row r="28" spans="1:21" ht="15.75" customHeight="1">
      <c r="A28" s="25" t="s">
        <v>10</v>
      </c>
      <c r="B28" s="37"/>
      <c r="C28" s="25"/>
      <c r="E28" s="2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"/>
      <c r="S28" s="27"/>
      <c r="T28" s="23"/>
      <c r="U28" s="24"/>
    </row>
    <row r="29" spans="1:21" ht="15.75" customHeight="1">
      <c r="A29" s="25"/>
      <c r="B29" s="37"/>
      <c r="C29" s="25"/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"/>
      <c r="S29" s="27"/>
      <c r="T29" s="23"/>
      <c r="U29" s="24"/>
    </row>
    <row r="30" spans="1:21" ht="15.75" customHeight="1">
      <c r="A30" s="26">
        <f>+MAX($A$1:A28)+1</f>
        <v>11</v>
      </c>
      <c r="B30" s="21" t="s">
        <v>11</v>
      </c>
      <c r="C30" s="25"/>
      <c r="D30" s="10" t="str">
        <f>"Line "&amp;$A$16&amp;" - Line "&amp;$A$26&amp;""</f>
        <v>Line 5 - Line 10</v>
      </c>
      <c r="E30" s="25"/>
      <c r="F30" s="38">
        <f t="shared" ref="F30:Q30" si="5">+F16-F26</f>
        <v>-0.10809542597125343</v>
      </c>
      <c r="G30" s="38">
        <f t="shared" si="5"/>
        <v>-7.7311973108962206E-2</v>
      </c>
      <c r="H30" s="38">
        <f t="shared" si="5"/>
        <v>1.5458404644884141</v>
      </c>
      <c r="I30" s="38">
        <f t="shared" si="5"/>
        <v>0.76081956502203951</v>
      </c>
      <c r="J30" s="38">
        <f t="shared" si="5"/>
        <v>0.24851271431170829</v>
      </c>
      <c r="K30" s="38">
        <f t="shared" si="5"/>
        <v>1.8798657949852924</v>
      </c>
      <c r="L30" s="38">
        <f t="shared" si="5"/>
        <v>1.1946726525278848</v>
      </c>
      <c r="M30" s="38">
        <f t="shared" si="5"/>
        <v>1.396505954760439</v>
      </c>
      <c r="N30" s="38">
        <f t="shared" si="5"/>
        <v>2.5032736549955708</v>
      </c>
      <c r="O30" s="38">
        <f t="shared" si="5"/>
        <v>1.7074771645675426</v>
      </c>
      <c r="P30" s="38">
        <f t="shared" si="5"/>
        <v>0.29120977737439802</v>
      </c>
      <c r="Q30" s="38">
        <f t="shared" si="5"/>
        <v>0.14609010265946765</v>
      </c>
      <c r="R30" s="3"/>
      <c r="S30" s="38">
        <f>+S16-S26</f>
        <v>0.97181256128063254</v>
      </c>
      <c r="T30" s="23"/>
      <c r="U30" s="24"/>
    </row>
    <row r="31" spans="1:21" ht="15.75" customHeight="1">
      <c r="A31" s="26"/>
      <c r="B31" s="21"/>
      <c r="C31" s="25"/>
      <c r="E31" s="2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  <c r="S31" s="39"/>
      <c r="T31" s="23"/>
      <c r="U31" s="24"/>
    </row>
    <row r="32" spans="1:21" ht="15.75" customHeight="1">
      <c r="A32" s="26">
        <f>+MAX($A$1:A31)+1</f>
        <v>12</v>
      </c>
      <c r="B32" s="21" t="s">
        <v>12</v>
      </c>
      <c r="C32" s="25"/>
      <c r="D32" s="10" t="str">
        <f>"Line "&amp;$A$14&amp;" * Line "&amp;$A$30&amp;""</f>
        <v>Line 4 * Line 11</v>
      </c>
      <c r="E32" s="25"/>
      <c r="F32" s="29">
        <f t="shared" ref="F32:Q32" si="6">+F30*F14</f>
        <v>-210456.39348616725</v>
      </c>
      <c r="G32" s="29">
        <f t="shared" si="6"/>
        <v>-144915.16785587234</v>
      </c>
      <c r="H32" s="29">
        <f t="shared" si="6"/>
        <v>2794797.5405916879</v>
      </c>
      <c r="I32" s="29">
        <f t="shared" si="6"/>
        <v>1343613.2846998901</v>
      </c>
      <c r="J32" s="29">
        <f t="shared" si="6"/>
        <v>478381.64644041815</v>
      </c>
      <c r="K32" s="29">
        <f t="shared" si="6"/>
        <v>3881646.9042257913</v>
      </c>
      <c r="L32" s="29">
        <f t="shared" si="6"/>
        <v>2854608.6843893086</v>
      </c>
      <c r="M32" s="29">
        <f t="shared" si="6"/>
        <v>3293322.3900339217</v>
      </c>
      <c r="N32" s="29">
        <f t="shared" si="6"/>
        <v>4759732.1776128681</v>
      </c>
      <c r="O32" s="29">
        <f t="shared" si="6"/>
        <v>3283695.688062428</v>
      </c>
      <c r="P32" s="29">
        <f t="shared" si="6"/>
        <v>532085.48348209495</v>
      </c>
      <c r="Q32" s="29">
        <f t="shared" si="6"/>
        <v>304972.79757332086</v>
      </c>
      <c r="R32" s="3"/>
      <c r="S32" s="29">
        <f>+SUM(F32:Q32)</f>
        <v>23171485.035769694</v>
      </c>
      <c r="T32" s="23"/>
      <c r="U32" s="24"/>
    </row>
    <row r="33" spans="1:21" ht="15.75" customHeight="1">
      <c r="A33" s="26"/>
      <c r="B33" s="21"/>
      <c r="C33" s="25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"/>
      <c r="S33" s="27"/>
      <c r="T33" s="23"/>
      <c r="U33" s="24"/>
    </row>
    <row r="34" spans="1:21" ht="15.75" customHeight="1">
      <c r="A34" s="26">
        <f>+MAX($A$1:A33)+1</f>
        <v>13</v>
      </c>
      <c r="B34" s="21" t="s">
        <v>13</v>
      </c>
      <c r="C34" s="25"/>
      <c r="D34" s="10" t="str">
        <f>"Line "&amp;A32&amp;" * 70%"</f>
        <v>Line 12 * 70%</v>
      </c>
      <c r="E34" s="25"/>
      <c r="F34" s="29">
        <f>F32*0.7</f>
        <v>-147319.47544031707</v>
      </c>
      <c r="G34" s="29">
        <f>G32*0.7</f>
        <v>-101440.61749911062</v>
      </c>
      <c r="H34" s="29">
        <f>H32*0.7</f>
        <v>1956358.2784141814</v>
      </c>
      <c r="I34" s="29">
        <f>I32*0.7</f>
        <v>940529.29928992293</v>
      </c>
      <c r="J34" s="29">
        <f t="shared" ref="J34:Q34" si="7">J32*0.7</f>
        <v>334867.1525082927</v>
      </c>
      <c r="K34" s="29">
        <f t="shared" si="7"/>
        <v>2717152.8329580538</v>
      </c>
      <c r="L34" s="29">
        <f t="shared" si="7"/>
        <v>1998226.0790725159</v>
      </c>
      <c r="M34" s="29">
        <f t="shared" si="7"/>
        <v>2305325.673023745</v>
      </c>
      <c r="N34" s="29">
        <f t="shared" si="7"/>
        <v>3331812.5243290076</v>
      </c>
      <c r="O34" s="29">
        <f t="shared" si="7"/>
        <v>2298586.9816436996</v>
      </c>
      <c r="P34" s="29">
        <f t="shared" si="7"/>
        <v>372459.83843746642</v>
      </c>
      <c r="Q34" s="29">
        <f t="shared" si="7"/>
        <v>213480.9583013246</v>
      </c>
      <c r="R34" s="3"/>
      <c r="S34" s="29">
        <f>+SUM(F34:Q34)</f>
        <v>16220039.525038781</v>
      </c>
      <c r="T34" s="23"/>
      <c r="U34" s="24"/>
    </row>
    <row r="35" spans="1:21" ht="15.75" customHeight="1">
      <c r="A35" s="26">
        <f>+MAX($A$1:A34)+1</f>
        <v>14</v>
      </c>
      <c r="B35" s="21" t="s">
        <v>14</v>
      </c>
      <c r="C35" s="25"/>
      <c r="D35" s="28" t="str">
        <f>+'[4]Workpaper Index'!B33</f>
        <v>(7.1)</v>
      </c>
      <c r="E35" s="25"/>
      <c r="F35" s="27">
        <f>+INDEX('[4](7.1) Wheeling Revenues'!$59:$59,1,MATCH(F$6,'[4](7.1) Wheeling Revenues'!$10:$10,0))</f>
        <v>0</v>
      </c>
      <c r="G35" s="27">
        <f>+INDEX('[4](7.1) Wheeling Revenues'!$59:$59,1,MATCH(G$6,'[4](7.1) Wheeling Revenues'!$10:$10,0))</f>
        <v>0</v>
      </c>
      <c r="H35" s="27">
        <f>+INDEX('[4](7.1) Wheeling Revenues'!$59:$59,1,MATCH(H$6,'[4](7.1) Wheeling Revenues'!$10:$10,0))</f>
        <v>0</v>
      </c>
      <c r="I35" s="27">
        <f>+INDEX('[4](7.1) Wheeling Revenues'!$59:$59,1,MATCH(I$6,'[4](7.1) Wheeling Revenues'!$10:$10,0))</f>
        <v>0</v>
      </c>
      <c r="J35" s="27">
        <f>+INDEX('[4](7.1) Wheeling Revenues'!$59:$59,1,MATCH(J$6,'[4](7.1) Wheeling Revenues'!$10:$10,0))</f>
        <v>0</v>
      </c>
      <c r="K35" s="27">
        <f>+INDEX('[4](7.1) Wheeling Revenues'!$59:$59,1,MATCH(K$6,'[4](7.1) Wheeling Revenues'!$10:$10,0))</f>
        <v>0</v>
      </c>
      <c r="L35" s="27">
        <f>+INDEX('[4](7.1) Wheeling Revenues'!$59:$59,1,MATCH(L$6,'[4](7.1) Wheeling Revenues'!$10:$10,0))</f>
        <v>0</v>
      </c>
      <c r="M35" s="27">
        <f>+INDEX('[4](7.1) Wheeling Revenues'!$59:$59,1,MATCH(M$6,'[4](7.1) Wheeling Revenues'!$10:$10,0))</f>
        <v>0</v>
      </c>
      <c r="N35" s="27">
        <f>+INDEX('[4](7.1) Wheeling Revenues'!$59:$59,1,MATCH(N$6,'[4](7.1) Wheeling Revenues'!$10:$10,0))</f>
        <v>0</v>
      </c>
      <c r="O35" s="27">
        <f>+INDEX('[4](7.1) Wheeling Revenues'!$59:$59,1,MATCH(O$6,'[4](7.1) Wheeling Revenues'!$10:$10,0))</f>
        <v>0</v>
      </c>
      <c r="P35" s="27">
        <f>+INDEX('[4](7.1) Wheeling Revenues'!$59:$59,1,MATCH(P$6,'[4](7.1) Wheeling Revenues'!$10:$10,0))</f>
        <v>0</v>
      </c>
      <c r="Q35" s="27">
        <f>+INDEX('[4](7.1) Wheeling Revenues'!$59:$59,1,MATCH(Q$6,'[4](7.1) Wheeling Revenues'!$10:$10,0))</f>
        <v>0</v>
      </c>
      <c r="R35" s="3"/>
      <c r="S35" s="40">
        <f>+SUM(F35:Q35)</f>
        <v>0</v>
      </c>
      <c r="T35" s="23"/>
      <c r="U35" s="24"/>
    </row>
    <row r="36" spans="1:21" ht="15.75" customHeight="1">
      <c r="A36" s="26">
        <f>+MAX($A$1:A35)+1</f>
        <v>15</v>
      </c>
      <c r="B36" s="37" t="s">
        <v>15</v>
      </c>
      <c r="C36" s="25"/>
      <c r="D36" s="10" t="str">
        <f>"∑ Lines "&amp;$A$34&amp;":"&amp;$A$35&amp;""</f>
        <v>∑ Lines 13:14</v>
      </c>
      <c r="E36" s="25"/>
      <c r="F36" s="41">
        <f>+SUM(F34:F35)</f>
        <v>-147319.47544031707</v>
      </c>
      <c r="G36" s="41">
        <f>+SUM(G34:G35)</f>
        <v>-101440.61749911062</v>
      </c>
      <c r="H36" s="41">
        <f>+SUM(H34:H35)</f>
        <v>1956358.2784141814</v>
      </c>
      <c r="I36" s="41">
        <f t="shared" ref="I36:Q36" si="8">+SUM(I34:I35)</f>
        <v>940529.29928992293</v>
      </c>
      <c r="J36" s="41">
        <f t="shared" si="8"/>
        <v>334867.1525082927</v>
      </c>
      <c r="K36" s="41">
        <f t="shared" si="8"/>
        <v>2717152.8329580538</v>
      </c>
      <c r="L36" s="41">
        <f t="shared" si="8"/>
        <v>1998226.0790725159</v>
      </c>
      <c r="M36" s="41">
        <f t="shared" si="8"/>
        <v>2305325.673023745</v>
      </c>
      <c r="N36" s="41">
        <f t="shared" si="8"/>
        <v>3331812.5243290076</v>
      </c>
      <c r="O36" s="41">
        <f t="shared" si="8"/>
        <v>2298586.9816436996</v>
      </c>
      <c r="P36" s="41">
        <f t="shared" si="8"/>
        <v>372459.83843746642</v>
      </c>
      <c r="Q36" s="41">
        <f t="shared" si="8"/>
        <v>213480.9583013246</v>
      </c>
      <c r="R36" s="3"/>
      <c r="S36" s="27">
        <f>+SUM(F36:Q36)</f>
        <v>16220039.525038781</v>
      </c>
      <c r="T36" s="23"/>
      <c r="U36" s="24"/>
    </row>
    <row r="37" spans="1:21" ht="15.75" customHeight="1">
      <c r="A37" s="26"/>
      <c r="B37" s="37"/>
      <c r="C37" s="25"/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"/>
      <c r="S37" s="27"/>
      <c r="T37" s="23"/>
      <c r="U37" s="24"/>
    </row>
    <row r="38" spans="1:21" ht="15.75" customHeight="1">
      <c r="A38" s="25" t="s">
        <v>16</v>
      </c>
      <c r="B38" s="37"/>
      <c r="C38" s="25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"/>
      <c r="S38" s="27"/>
      <c r="T38" s="23"/>
      <c r="U38" s="24"/>
    </row>
    <row r="39" spans="1:21" ht="15.75" customHeight="1">
      <c r="A39" s="26"/>
      <c r="B39" s="37"/>
      <c r="C39" s="4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3"/>
      <c r="S39" s="43"/>
      <c r="T39" s="44"/>
      <c r="U39" s="24"/>
    </row>
    <row r="40" spans="1:21" ht="15.75" customHeight="1">
      <c r="A40" s="26">
        <f>+MAX($A$1:A39)+1</f>
        <v>16</v>
      </c>
      <c r="B40" s="21" t="s">
        <v>17</v>
      </c>
      <c r="C40" s="45"/>
      <c r="D40" s="10" t="s">
        <v>18</v>
      </c>
      <c r="E40" s="45"/>
      <c r="F40" s="46">
        <v>5.0000000000000001E-3</v>
      </c>
      <c r="G40" s="46">
        <f>+F40</f>
        <v>5.0000000000000001E-3</v>
      </c>
      <c r="H40" s="46">
        <f t="shared" ref="H40:Q40" si="9">+G40</f>
        <v>5.0000000000000001E-3</v>
      </c>
      <c r="I40" s="46">
        <f t="shared" si="9"/>
        <v>5.0000000000000001E-3</v>
      </c>
      <c r="J40" s="46">
        <f t="shared" si="9"/>
        <v>5.0000000000000001E-3</v>
      </c>
      <c r="K40" s="46">
        <f t="shared" si="9"/>
        <v>5.0000000000000001E-3</v>
      </c>
      <c r="L40" s="46">
        <f t="shared" si="9"/>
        <v>5.0000000000000001E-3</v>
      </c>
      <c r="M40" s="46">
        <f t="shared" si="9"/>
        <v>5.0000000000000001E-3</v>
      </c>
      <c r="N40" s="46">
        <f t="shared" si="9"/>
        <v>5.0000000000000001E-3</v>
      </c>
      <c r="O40" s="46">
        <f t="shared" si="9"/>
        <v>5.0000000000000001E-3</v>
      </c>
      <c r="P40" s="46">
        <f t="shared" si="9"/>
        <v>5.0000000000000001E-3</v>
      </c>
      <c r="Q40" s="46">
        <f t="shared" si="9"/>
        <v>5.0000000000000001E-3</v>
      </c>
      <c r="R40" s="3"/>
      <c r="S40" s="46"/>
      <c r="T40" s="11"/>
      <c r="U40" s="24"/>
    </row>
    <row r="41" spans="1:21" ht="15.75" customHeight="1">
      <c r="A41" s="26">
        <f>+MAX($A$1:A40)+1</f>
        <v>17</v>
      </c>
      <c r="B41" s="21" t="s">
        <v>19</v>
      </c>
      <c r="C41" s="45"/>
      <c r="D41" s="10" t="str">
        <f>"Prior Month Line "&amp;$A$44&amp;""</f>
        <v>Prior Month Line 20</v>
      </c>
      <c r="E41" s="45"/>
      <c r="F41" s="47">
        <v>0</v>
      </c>
      <c r="G41" s="47">
        <f t="shared" ref="G41:Q41" si="10">+F44</f>
        <v>-147687.77412891787</v>
      </c>
      <c r="H41" s="47">
        <f t="shared" si="10"/>
        <v>-250120.43204242084</v>
      </c>
      <c r="I41" s="47">
        <f t="shared" si="10"/>
        <v>1709878.1399075838</v>
      </c>
      <c r="J41" s="47">
        <f t="shared" si="10"/>
        <v>2661308.1531452695</v>
      </c>
      <c r="K41" s="47">
        <f t="shared" si="10"/>
        <v>3010319.0143005592</v>
      </c>
      <c r="L41" s="47">
        <f t="shared" si="10"/>
        <v>5749316.3244125107</v>
      </c>
      <c r="M41" s="47">
        <f t="shared" si="10"/>
        <v>7781284.5503047705</v>
      </c>
      <c r="N41" s="47">
        <f t="shared" si="10"/>
        <v>10131279.960262598</v>
      </c>
      <c r="O41" s="47">
        <f t="shared" si="10"/>
        <v>13522078.415703742</v>
      </c>
      <c r="P41" s="47">
        <f t="shared" si="10"/>
        <v>15894022.256880069</v>
      </c>
      <c r="Q41" s="47">
        <f t="shared" si="10"/>
        <v>16346883.35619803</v>
      </c>
      <c r="R41" s="3"/>
      <c r="S41" s="47">
        <f>+F41</f>
        <v>0</v>
      </c>
      <c r="T41" s="48"/>
      <c r="U41" s="24"/>
    </row>
    <row r="42" spans="1:21" ht="15.75" customHeight="1">
      <c r="A42" s="26">
        <f>+MAX($A$1:A41)+1</f>
        <v>18</v>
      </c>
      <c r="B42" s="21" t="s">
        <v>20</v>
      </c>
      <c r="C42" s="45"/>
      <c r="D42" s="10" t="str">
        <f>"Line "&amp;$A$36</f>
        <v>Line 15</v>
      </c>
      <c r="E42" s="45"/>
      <c r="F42" s="47">
        <f>+F36</f>
        <v>-147319.47544031707</v>
      </c>
      <c r="G42" s="47">
        <f>+G36</f>
        <v>-101440.61749911062</v>
      </c>
      <c r="H42" s="47">
        <f>+H36</f>
        <v>1956358.2784141814</v>
      </c>
      <c r="I42" s="47">
        <f t="shared" ref="I42:Q42" si="11">+I36</f>
        <v>940529.29928992293</v>
      </c>
      <c r="J42" s="47">
        <f t="shared" si="11"/>
        <v>334867.1525082927</v>
      </c>
      <c r="K42" s="47">
        <f t="shared" si="11"/>
        <v>2717152.8329580538</v>
      </c>
      <c r="L42" s="47">
        <f t="shared" si="11"/>
        <v>1998226.0790725159</v>
      </c>
      <c r="M42" s="47">
        <f t="shared" si="11"/>
        <v>2305325.673023745</v>
      </c>
      <c r="N42" s="47">
        <f t="shared" si="11"/>
        <v>3331812.5243290076</v>
      </c>
      <c r="O42" s="47">
        <f t="shared" si="11"/>
        <v>2298586.9816436996</v>
      </c>
      <c r="P42" s="47">
        <f t="shared" si="11"/>
        <v>372459.83843746642</v>
      </c>
      <c r="Q42" s="47">
        <f t="shared" si="11"/>
        <v>213480.9583013246</v>
      </c>
      <c r="R42" s="3"/>
      <c r="S42" s="47">
        <f>+SUM(F42:Q42)</f>
        <v>16220039.525038781</v>
      </c>
      <c r="T42" s="48"/>
      <c r="U42" s="24"/>
    </row>
    <row r="43" spans="1:21" ht="15.75" customHeight="1">
      <c r="A43" s="26">
        <f>+MAX($A$1:A42)+1</f>
        <v>19</v>
      </c>
      <c r="B43" s="49" t="s">
        <v>21</v>
      </c>
      <c r="C43" s="45"/>
      <c r="D43" s="10" t="str">
        <f>"Line "&amp;$A$40&amp;" * ( Line "&amp;$A$41&amp;" + 50% x Line "&amp;$A$42&amp;")"</f>
        <v>Line 16 * ( Line 17 + 50% x Line 18)</v>
      </c>
      <c r="E43" s="45"/>
      <c r="F43" s="50">
        <f t="shared" ref="F43:Q43" si="12">+(F41+0.5*SUM(F42:F42))*F40</f>
        <v>-368.29868860079267</v>
      </c>
      <c r="G43" s="50">
        <f t="shared" si="12"/>
        <v>-992.04041439236596</v>
      </c>
      <c r="H43" s="50">
        <f t="shared" si="12"/>
        <v>3640.2935358233494</v>
      </c>
      <c r="I43" s="50">
        <f t="shared" si="12"/>
        <v>10900.713947762726</v>
      </c>
      <c r="J43" s="50">
        <f t="shared" si="12"/>
        <v>14143.708646997078</v>
      </c>
      <c r="K43" s="50">
        <f t="shared" si="12"/>
        <v>21844.477153897929</v>
      </c>
      <c r="L43" s="50">
        <f t="shared" si="12"/>
        <v>33742.146819743844</v>
      </c>
      <c r="M43" s="50">
        <f t="shared" si="12"/>
        <v>44669.736934083216</v>
      </c>
      <c r="N43" s="50">
        <f t="shared" si="12"/>
        <v>58985.931112135513</v>
      </c>
      <c r="O43" s="50">
        <f t="shared" si="12"/>
        <v>73356.859532627961</v>
      </c>
      <c r="P43" s="50">
        <f t="shared" si="12"/>
        <v>80401.26088049401</v>
      </c>
      <c r="Q43" s="50">
        <f t="shared" si="12"/>
        <v>82268.119176743465</v>
      </c>
      <c r="R43" s="3"/>
      <c r="S43" s="29">
        <f>+SUM(F43:Q43)</f>
        <v>422592.90863731597</v>
      </c>
      <c r="T43" s="48"/>
      <c r="U43" s="24"/>
    </row>
    <row r="44" spans="1:21" ht="15.75" customHeight="1">
      <c r="A44" s="26">
        <f>+MAX($A$1:A43)+1</f>
        <v>20</v>
      </c>
      <c r="B44" s="37" t="s">
        <v>22</v>
      </c>
      <c r="C44" s="45"/>
      <c r="D44" s="10" t="str">
        <f>"∑ Lines "&amp;$A$41&amp;":"&amp;$A$43&amp;""</f>
        <v>∑ Lines 17:19</v>
      </c>
      <c r="E44" s="45"/>
      <c r="F44" s="41">
        <f t="shared" ref="F44:Q44" si="13">+SUM(F41:F43)</f>
        <v>-147687.77412891787</v>
      </c>
      <c r="G44" s="41">
        <f t="shared" si="13"/>
        <v>-250120.43204242084</v>
      </c>
      <c r="H44" s="41">
        <f t="shared" si="13"/>
        <v>1709878.1399075838</v>
      </c>
      <c r="I44" s="41">
        <f t="shared" si="13"/>
        <v>2661308.1531452695</v>
      </c>
      <c r="J44" s="41">
        <f t="shared" si="13"/>
        <v>3010319.0143005592</v>
      </c>
      <c r="K44" s="41">
        <f t="shared" si="13"/>
        <v>5749316.3244125107</v>
      </c>
      <c r="L44" s="41">
        <f t="shared" si="13"/>
        <v>7781284.5503047705</v>
      </c>
      <c r="M44" s="41">
        <f t="shared" si="13"/>
        <v>10131279.960262598</v>
      </c>
      <c r="N44" s="41">
        <f t="shared" si="13"/>
        <v>13522078.415703742</v>
      </c>
      <c r="O44" s="41">
        <f t="shared" si="13"/>
        <v>15894022.256880069</v>
      </c>
      <c r="P44" s="41">
        <f t="shared" si="13"/>
        <v>16346883.35619803</v>
      </c>
      <c r="Q44" s="41">
        <f t="shared" si="13"/>
        <v>16642632.433676098</v>
      </c>
      <c r="R44" s="3"/>
      <c r="S44" s="41">
        <f>+SUM(S41:S43)</f>
        <v>16642632.433676098</v>
      </c>
      <c r="T44" s="48"/>
      <c r="U44" s="24"/>
    </row>
    <row r="45" spans="1:21" ht="15.75" customHeight="1">
      <c r="A45" s="26"/>
      <c r="B45" s="25"/>
      <c r="C45" s="25"/>
      <c r="D45" s="4"/>
      <c r="E45" s="2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"/>
      <c r="S45" s="11"/>
      <c r="T45" s="11"/>
      <c r="U45" s="24"/>
    </row>
    <row r="46" spans="1:21" ht="15.75" customHeight="1">
      <c r="A46" s="26"/>
      <c r="B46" s="20"/>
      <c r="C46" s="25"/>
      <c r="D46" s="4"/>
      <c r="E46" s="25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"/>
      <c r="S46" s="11"/>
      <c r="T46" s="11"/>
      <c r="U46" s="24"/>
    </row>
    <row r="47" spans="1:21" ht="15.75" customHeight="1">
      <c r="A47" s="3" t="s">
        <v>23</v>
      </c>
      <c r="C47" s="25"/>
      <c r="D47" s="4"/>
      <c r="E47" s="25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"/>
      <c r="S47" s="11"/>
      <c r="T47" s="11"/>
      <c r="U47" s="24"/>
    </row>
    <row r="48" spans="1:21" ht="15.75" customHeight="1">
      <c r="A48" s="52">
        <v>1</v>
      </c>
      <c r="B48" s="53" t="s">
        <v>24</v>
      </c>
      <c r="C48" s="25"/>
      <c r="D48" s="4"/>
      <c r="E48" s="25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"/>
      <c r="S48" s="11"/>
      <c r="T48" s="11"/>
      <c r="U48" s="24"/>
    </row>
    <row r="49" spans="1:21" ht="15.75" customHeight="1">
      <c r="A49" s="3"/>
      <c r="B49" s="2"/>
      <c r="C49" s="54"/>
      <c r="E49" s="54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"/>
      <c r="S49" s="11"/>
      <c r="T49" s="11"/>
      <c r="U49" s="24"/>
    </row>
    <row r="50" spans="1:21" ht="15.75" customHeight="1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"/>
      <c r="S50" s="55"/>
      <c r="T50" s="55"/>
      <c r="U50" s="24"/>
    </row>
    <row r="51" spans="1:21" ht="15.75" customHeight="1">
      <c r="R51" s="3"/>
      <c r="S51" s="55"/>
      <c r="T51" s="55"/>
      <c r="U51" s="24"/>
    </row>
    <row r="52" spans="1:21" ht="15.75" customHeight="1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"/>
      <c r="S52" s="55"/>
      <c r="T52" s="55"/>
      <c r="U52" s="24"/>
    </row>
    <row r="53" spans="1:21" ht="15.75" customHeight="1">
      <c r="R53" s="3"/>
      <c r="S53" s="55"/>
      <c r="T53" s="55"/>
      <c r="U53" s="24"/>
    </row>
    <row r="54" spans="1:21" ht="15.75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"/>
      <c r="S54" s="55"/>
      <c r="T54" s="55"/>
      <c r="U54" s="24"/>
    </row>
    <row r="55" spans="1:21" ht="15.75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3"/>
      <c r="S55" s="55"/>
      <c r="T55" s="55"/>
      <c r="U55" s="24"/>
    </row>
    <row r="56" spans="1:21" ht="15.75" customHeight="1">
      <c r="R56" s="3"/>
      <c r="S56" s="55"/>
      <c r="T56" s="55"/>
      <c r="U56" s="24"/>
    </row>
    <row r="57" spans="1:21" ht="15.75" customHeight="1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"/>
      <c r="S57" s="55"/>
      <c r="T57" s="55"/>
      <c r="U57" s="24"/>
    </row>
    <row r="58" spans="1:21" ht="15.75" customHeight="1">
      <c r="R58" s="3"/>
      <c r="S58" s="55"/>
      <c r="T58" s="55"/>
      <c r="U58" s="24"/>
    </row>
    <row r="59" spans="1:21" ht="15.75" customHeight="1">
      <c r="R59" s="3"/>
      <c r="U59" s="24"/>
    </row>
    <row r="60" spans="1:21" ht="15.75" customHeight="1">
      <c r="R60" s="3"/>
      <c r="U60" s="24"/>
    </row>
    <row r="61" spans="1:21" ht="15.75" customHeight="1">
      <c r="R61" s="3"/>
      <c r="U61" s="24"/>
    </row>
    <row r="62" spans="1:21" ht="15.75" customHeight="1">
      <c r="R62" s="3"/>
      <c r="U62" s="24"/>
    </row>
    <row r="63" spans="1:21" ht="15.75" customHeight="1">
      <c r="R63" s="3"/>
      <c r="U63" s="24"/>
    </row>
    <row r="64" spans="1:21" ht="15.75" customHeight="1">
      <c r="R64" s="3"/>
      <c r="U64" s="24"/>
    </row>
    <row r="65" spans="18:21" ht="15.75" customHeight="1">
      <c r="R65" s="3"/>
      <c r="U65" s="24"/>
    </row>
    <row r="66" spans="18:21" ht="15.75" customHeight="1">
      <c r="R66" s="3"/>
      <c r="U66" s="24"/>
    </row>
    <row r="67" spans="18:21" ht="15.75" customHeight="1">
      <c r="R67" s="3"/>
      <c r="U67" s="24"/>
    </row>
    <row r="68" spans="18:21" ht="15.75" customHeight="1">
      <c r="R68" s="3"/>
      <c r="U68" s="24"/>
    </row>
    <row r="69" spans="18:21" ht="15.75" customHeight="1">
      <c r="R69" s="3"/>
      <c r="U69" s="24"/>
    </row>
    <row r="70" spans="18:21" ht="15.75" customHeight="1">
      <c r="R70" s="3"/>
      <c r="U70" s="24"/>
    </row>
    <row r="71" spans="18:21" ht="15.75" customHeight="1">
      <c r="R71" s="3"/>
      <c r="U71" s="24"/>
    </row>
    <row r="72" spans="18:21" ht="15.75" customHeight="1">
      <c r="R72" s="3"/>
      <c r="U72" s="24"/>
    </row>
    <row r="73" spans="18:21" ht="15.75" customHeight="1">
      <c r="R73" s="3"/>
      <c r="U73" s="24"/>
    </row>
    <row r="74" spans="18:21" ht="15.75" customHeight="1">
      <c r="R74" s="3"/>
      <c r="U74" s="24"/>
    </row>
    <row r="75" spans="18:21" ht="15.75" customHeight="1">
      <c r="R75" s="3"/>
      <c r="U75" s="24"/>
    </row>
    <row r="76" spans="18:21" ht="15.75" customHeight="1">
      <c r="R76" s="3"/>
      <c r="U76" s="24"/>
    </row>
    <row r="77" spans="18:21" ht="15.75" customHeight="1">
      <c r="R77" s="3"/>
      <c r="U77" s="24"/>
    </row>
    <row r="78" spans="18:21" ht="15.75" customHeight="1">
      <c r="R78" s="3"/>
      <c r="U78" s="24"/>
    </row>
    <row r="79" spans="18:21" ht="15.75" customHeight="1">
      <c r="R79" s="3"/>
      <c r="U79" s="24"/>
    </row>
    <row r="80" spans="18:21" ht="15.75" customHeight="1">
      <c r="R80" s="3"/>
      <c r="U80" s="24"/>
    </row>
    <row r="81" spans="18:21" ht="15.75" customHeight="1">
      <c r="R81" s="3"/>
      <c r="U81" s="24"/>
    </row>
    <row r="82" spans="18:21" ht="15.75" customHeight="1">
      <c r="R82" s="3"/>
      <c r="U82" s="24"/>
    </row>
    <row r="83" spans="18:21" ht="15.75" customHeight="1">
      <c r="U83" s="24"/>
    </row>
    <row r="84" spans="18:21" ht="15.75" customHeight="1">
      <c r="U84" s="24"/>
    </row>
    <row r="85" spans="18:21" ht="15.75" customHeight="1">
      <c r="U85" s="24"/>
    </row>
    <row r="86" spans="18:21" ht="15.75" customHeight="1">
      <c r="U86" s="24"/>
    </row>
    <row r="87" spans="18:21" ht="15.75" customHeight="1">
      <c r="U87" s="24"/>
    </row>
    <row r="88" spans="18:21" ht="15.75" customHeight="1">
      <c r="U88" s="24"/>
    </row>
    <row r="89" spans="18:21" ht="15.75" customHeight="1">
      <c r="U89" s="24"/>
    </row>
    <row r="90" spans="18:21" ht="15.75" customHeight="1">
      <c r="U90" s="24"/>
    </row>
    <row r="91" spans="18:21" ht="15.75" customHeight="1">
      <c r="U91" s="24"/>
    </row>
    <row r="92" spans="18:21" ht="15.75" customHeight="1">
      <c r="U92" s="24"/>
    </row>
    <row r="93" spans="18:21" ht="15.75" customHeight="1">
      <c r="U93" s="24"/>
    </row>
    <row r="94" spans="18:21" ht="15.75" customHeight="1">
      <c r="U94" s="24"/>
    </row>
    <row r="95" spans="18:21" ht="15.75" customHeight="1">
      <c r="U95" s="24"/>
    </row>
    <row r="96" spans="18:21" ht="15.75" customHeight="1">
      <c r="U96" s="24"/>
    </row>
    <row r="97" spans="21:21" ht="15.75" customHeight="1">
      <c r="U97" s="24"/>
    </row>
    <row r="98" spans="21:21" ht="15.75" customHeight="1">
      <c r="U98" s="24"/>
    </row>
    <row r="99" spans="21:21" ht="15.75" customHeight="1">
      <c r="U99" s="24"/>
    </row>
    <row r="100" spans="21:21" ht="15.75" customHeight="1">
      <c r="U100" s="24"/>
    </row>
    <row r="101" spans="21:21" ht="15.75" customHeight="1">
      <c r="U101" s="24"/>
    </row>
    <row r="102" spans="21:21" ht="15.75" customHeight="1">
      <c r="U102" s="24"/>
    </row>
    <row r="103" spans="21:21" ht="15.75" customHeight="1">
      <c r="U103" s="24"/>
    </row>
    <row r="104" spans="21:21" ht="15.75" customHeight="1">
      <c r="U104" s="24"/>
    </row>
    <row r="105" spans="21:21" ht="15.75" customHeight="1">
      <c r="U105" s="24"/>
    </row>
    <row r="106" spans="21:21" ht="15.75" customHeight="1">
      <c r="U106" s="24"/>
    </row>
    <row r="107" spans="21:21" ht="15.75" customHeight="1">
      <c r="U107" s="24"/>
    </row>
    <row r="108" spans="21:21" ht="15.75" customHeight="1">
      <c r="U108" s="24"/>
    </row>
    <row r="109" spans="21:21" ht="15.75" customHeight="1">
      <c r="U109" s="24"/>
    </row>
    <row r="110" spans="21:21" ht="15.75" customHeight="1">
      <c r="U110" s="24"/>
    </row>
    <row r="111" spans="21:21" ht="15.75" customHeight="1">
      <c r="U111" s="24"/>
    </row>
    <row r="112" spans="21:21" ht="15.75" customHeight="1">
      <c r="U112" s="24"/>
    </row>
    <row r="113" spans="21:21" ht="15.75" customHeight="1">
      <c r="U113" s="24"/>
    </row>
    <row r="114" spans="21:21" ht="15.75" customHeight="1">
      <c r="U114" s="24"/>
    </row>
    <row r="115" spans="21:21" ht="15.75" customHeight="1">
      <c r="U115" s="24"/>
    </row>
    <row r="116" spans="21:21" ht="15.75" customHeight="1">
      <c r="U116" s="24"/>
    </row>
    <row r="117" spans="21:21" ht="15.75" customHeight="1">
      <c r="U117" s="24"/>
    </row>
    <row r="118" spans="21:21" ht="15.75" customHeight="1">
      <c r="U118" s="24"/>
    </row>
    <row r="119" spans="21:21" ht="15.75" customHeight="1">
      <c r="U119" s="24"/>
    </row>
    <row r="120" spans="21:21" ht="15.75" customHeight="1">
      <c r="U120" s="24"/>
    </row>
    <row r="121" spans="21:21" ht="15.75" customHeight="1">
      <c r="U121" s="24"/>
    </row>
    <row r="122" spans="21:21" ht="15.75" customHeight="1">
      <c r="U122" s="24"/>
    </row>
    <row r="123" spans="21:21" ht="15.75" customHeight="1">
      <c r="U123" s="24"/>
    </row>
    <row r="124" spans="21:21" ht="15.75" customHeight="1">
      <c r="U124" s="24"/>
    </row>
    <row r="125" spans="21:21" ht="15.75" customHeight="1">
      <c r="U125" s="24"/>
    </row>
    <row r="126" spans="21:21" ht="15.75" customHeight="1">
      <c r="U126" s="24"/>
    </row>
    <row r="127" spans="21:21" ht="15.75" customHeight="1">
      <c r="U127" s="24"/>
    </row>
    <row r="128" spans="21:21" ht="15.75" customHeight="1">
      <c r="U128" s="24"/>
    </row>
    <row r="129" spans="21:21" ht="15.75" customHeight="1">
      <c r="U129" s="24"/>
    </row>
    <row r="130" spans="21:21" ht="15.75" customHeight="1">
      <c r="U130" s="24"/>
    </row>
    <row r="131" spans="21:21" ht="15.75" customHeight="1">
      <c r="U131" s="24"/>
    </row>
    <row r="132" spans="21:21" ht="15.75" customHeight="1">
      <c r="U132" s="24"/>
    </row>
    <row r="133" spans="21:21" ht="15.75" customHeight="1">
      <c r="U133" s="24"/>
    </row>
    <row r="134" spans="21:21" ht="15.75" customHeight="1">
      <c r="U134" s="24"/>
    </row>
    <row r="135" spans="21:21" ht="15.75" customHeight="1">
      <c r="U135" s="24"/>
    </row>
    <row r="136" spans="21:21" ht="15.75" customHeight="1">
      <c r="U136" s="24"/>
    </row>
    <row r="137" spans="21:21" ht="15.75" customHeight="1">
      <c r="U137" s="24"/>
    </row>
    <row r="138" spans="21:21" ht="15.75" customHeight="1">
      <c r="U138" s="24"/>
    </row>
    <row r="139" spans="21:21" ht="15.75" customHeight="1">
      <c r="U139" s="24"/>
    </row>
    <row r="140" spans="21:21" ht="15.75" customHeight="1">
      <c r="U140" s="24"/>
    </row>
    <row r="141" spans="21:21" ht="15.75" customHeight="1">
      <c r="U141" s="24"/>
    </row>
    <row r="142" spans="21:21" ht="15.75" customHeight="1">
      <c r="U142" s="24"/>
    </row>
    <row r="143" spans="21:21" ht="15.75" customHeight="1">
      <c r="U143" s="24"/>
    </row>
    <row r="144" spans="21:21" ht="15.75" customHeight="1">
      <c r="U144" s="24"/>
    </row>
    <row r="145" spans="21:21" ht="15.75" customHeight="1">
      <c r="U145" s="24"/>
    </row>
    <row r="146" spans="21:21" ht="15.75" customHeight="1">
      <c r="U146" s="24"/>
    </row>
    <row r="147" spans="21:21" ht="15.75" customHeight="1">
      <c r="U147" s="24"/>
    </row>
    <row r="148" spans="21:21" ht="15.75" customHeight="1">
      <c r="U148" s="24"/>
    </row>
    <row r="149" spans="21:21" ht="15.75" customHeight="1">
      <c r="U149" s="24"/>
    </row>
    <row r="150" spans="21:21" ht="15.75" customHeight="1">
      <c r="U150" s="24"/>
    </row>
    <row r="151" spans="21:21" ht="15.75" customHeight="1">
      <c r="U151" s="24"/>
    </row>
    <row r="152" spans="21:21" ht="15.75" customHeight="1">
      <c r="U152" s="24"/>
    </row>
    <row r="153" spans="21:21" ht="15.75" customHeight="1">
      <c r="U153" s="24"/>
    </row>
    <row r="154" spans="21:21" ht="15.75" customHeight="1">
      <c r="U154" s="24"/>
    </row>
    <row r="155" spans="21:21" ht="15.75" customHeight="1">
      <c r="U155" s="24"/>
    </row>
    <row r="156" spans="21:21" ht="15.75" customHeight="1">
      <c r="U156" s="24"/>
    </row>
  </sheetData>
  <pageMargins left="0.25" right="0.25" top="0.5" bottom="0.25" header="0" footer="0.3"/>
  <pageSetup scale="59" fitToWidth="0" fitToHeight="0" orientation="landscape" r:id="rId1"/>
  <headerFooter alignWithMargins="0">
    <oddFooter>&amp;C&amp;"arial"&amp;11Exhibit 4 - Docket 11-035-200 Stipulation Exhibit A3 Method (Monthly Allocation)&amp;R&amp;"arial"&amp;11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(Exh.5) A3 Method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Mullins, Bradley</dc:creator>
  <cp:lastModifiedBy>mpaschal</cp:lastModifiedBy>
  <dcterms:created xsi:type="dcterms:W3CDTF">2013-03-07T22:44:46Z</dcterms:created>
  <dcterms:modified xsi:type="dcterms:W3CDTF">2013-03-15T18:49:24Z</dcterms:modified>
</cp:coreProperties>
</file>