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 codeName="ThisWorkbook" defaultThemeVersion="124226"/>
  <bookViews>
    <workbookView xWindow="0" yWindow="30" windowWidth="12465" windowHeight="9375" activeTab="5"/>
  </bookViews>
  <sheets>
    <sheet name="Appendix B" sheetId="32" r:id="rId1"/>
    <sheet name="Table 1" sheetId="25" r:id="rId2"/>
    <sheet name="Table 2" sheetId="17" r:id="rId3"/>
    <sheet name="Table 3" sheetId="26" r:id="rId4"/>
    <sheet name="Table 4" sheetId="29" r:id="rId5"/>
    <sheet name="Table 5" sheetId="28" r:id="rId6"/>
  </sheets>
  <externalReferences>
    <externalReference r:id="rId7"/>
  </externalReferences>
  <definedNames>
    <definedName name="Discount_Rate">'Table 1'!$I$34</definedName>
    <definedName name="_xlnm.Print_Area" localSheetId="0">'Appendix B'!$A$1:$F$39</definedName>
    <definedName name="_xlnm.Print_Area" localSheetId="1">'Table 1'!$A$1:$H$45</definedName>
    <definedName name="_xlnm.Print_Area" localSheetId="2">'Table 2'!$B$1:$Q$34</definedName>
    <definedName name="_xlnm.Print_Area" localSheetId="3">'Table 3'!$B$1:$Q$34</definedName>
    <definedName name="_xlnm.Print_Area" localSheetId="4">'Table 4'!$A$1:$K$89</definedName>
    <definedName name="_xlnm.Print_Area" localSheetId="5">'Table 5'!$A$1:$D$26</definedName>
    <definedName name="_xlnm.Print_Titles" localSheetId="2">'Table 2'!$1:$9</definedName>
    <definedName name="_xlnm.Print_Titles" localSheetId="3">'Table 3'!$1:$9</definedName>
    <definedName name="_xlnm.Print_Titles" localSheetId="4">'Table 4'!$1:$6</definedName>
    <definedName name="Study_Cap_Adj">'Table 1'!$I$8</definedName>
    <definedName name="Study_CF">'[1]Monthly NPV'!$M$5</definedName>
    <definedName name="Study_MW">'[1]Monthly NPV'!$M$4</definedName>
    <definedName name="Study_Name">'[1]Monthly NPV'!$M$2</definedName>
  </definedNames>
  <calcPr calcId="124519" calcOnSave="0"/>
</workbook>
</file>

<file path=xl/calcChain.xml><?xml version="1.0" encoding="utf-8"?>
<calcChain xmlns="http://schemas.openxmlformats.org/spreadsheetml/2006/main">
  <c r="B42" i="25"/>
  <c r="B29" i="32" l="1"/>
  <c r="B6" i="25" l="1"/>
  <c r="C82" i="29" l="1"/>
  <c r="C84"/>
  <c r="C85" s="1"/>
  <c r="D76"/>
  <c r="K64"/>
  <c r="K63"/>
  <c r="J64"/>
  <c r="J63"/>
  <c r="D73"/>
  <c r="I59" s="1"/>
  <c r="C73"/>
  <c r="I58" s="1"/>
  <c r="H59"/>
  <c r="H58"/>
  <c r="F64"/>
  <c r="H64" s="1"/>
  <c r="F63"/>
  <c r="E68"/>
  <c r="G64"/>
  <c r="G63"/>
  <c r="F59"/>
  <c r="F58"/>
  <c r="D52"/>
  <c r="C52"/>
  <c r="C51"/>
  <c r="C50"/>
  <c r="D49"/>
  <c r="C49"/>
  <c r="C48"/>
  <c r="D47"/>
  <c r="C47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12"/>
  <c r="B5"/>
  <c r="F65" l="1"/>
  <c r="B33"/>
  <c r="C86"/>
  <c r="F60"/>
  <c r="I60" s="1"/>
  <c r="E14" s="1"/>
  <c r="E15" s="1"/>
  <c r="E16" s="1"/>
  <c r="H63"/>
  <c r="G58" l="1"/>
  <c r="H60"/>
  <c r="C14" s="1"/>
  <c r="D14" s="1"/>
  <c r="H65"/>
  <c r="I63" s="1"/>
  <c r="G59"/>
  <c r="G60" s="1"/>
  <c r="D15"/>
  <c r="E17"/>
  <c r="C87"/>
  <c r="B34"/>
  <c r="I64" l="1"/>
  <c r="I65" s="1"/>
  <c r="B35"/>
  <c r="D16"/>
  <c r="E18"/>
  <c r="C88"/>
  <c r="D78"/>
  <c r="G65"/>
  <c r="D48" s="1"/>
  <c r="E79" l="1"/>
  <c r="D79"/>
  <c r="D17"/>
  <c r="K65"/>
  <c r="E19"/>
  <c r="C89"/>
  <c r="B36"/>
  <c r="J65"/>
  <c r="F14" s="1"/>
  <c r="I148" i="2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E20" i="29" l="1"/>
  <c r="C90"/>
  <c r="D18"/>
  <c r="D51"/>
  <c r="F15"/>
  <c r="G14"/>
  <c r="H14" s="1"/>
  <c r="B37"/>
  <c r="B26" i="28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D19" i="29" l="1"/>
  <c r="F16"/>
  <c r="G15"/>
  <c r="H15" s="1"/>
  <c r="B38"/>
  <c r="E21"/>
  <c r="C91"/>
  <c r="E22" l="1"/>
  <c r="F83"/>
  <c r="B39"/>
  <c r="F17"/>
  <c r="G16"/>
  <c r="H16" s="1"/>
  <c r="D20"/>
  <c r="D21" l="1"/>
  <c r="F18"/>
  <c r="G17"/>
  <c r="H17" s="1"/>
  <c r="B40"/>
  <c r="E23"/>
  <c r="F84"/>
  <c r="E24" l="1"/>
  <c r="F85"/>
  <c r="B41"/>
  <c r="F19"/>
  <c r="G18"/>
  <c r="H18" s="1"/>
  <c r="D22"/>
  <c r="D23" l="1"/>
  <c r="F20"/>
  <c r="G19"/>
  <c r="H19" s="1"/>
  <c r="B42"/>
  <c r="E25"/>
  <c r="F86"/>
  <c r="F21" l="1"/>
  <c r="G20"/>
  <c r="H20" s="1"/>
  <c r="D24"/>
  <c r="E26"/>
  <c r="F87"/>
  <c r="B34" i="25"/>
  <c r="D25" i="29" l="1"/>
  <c r="F22"/>
  <c r="G21"/>
  <c r="H21" s="1"/>
  <c r="E27"/>
  <c r="F88"/>
  <c r="F23" l="1"/>
  <c r="G22"/>
  <c r="H22" s="1"/>
  <c r="D26"/>
  <c r="E28"/>
  <c r="F89"/>
  <c r="B15" i="28"/>
  <c r="C14"/>
  <c r="I32" i="29" s="1"/>
  <c r="C10" i="25"/>
  <c r="D27" i="29" l="1"/>
  <c r="F24"/>
  <c r="G23"/>
  <c r="H23" s="1"/>
  <c r="E29"/>
  <c r="F90"/>
  <c r="B16" i="28"/>
  <c r="C15"/>
  <c r="I33" i="29" s="1"/>
  <c r="F25" l="1"/>
  <c r="G24"/>
  <c r="H24" s="1"/>
  <c r="D28"/>
  <c r="E30"/>
  <c r="F91"/>
  <c r="B17" i="28"/>
  <c r="C16"/>
  <c r="I34" i="29" s="1"/>
  <c r="B45" i="25"/>
  <c r="D29" i="29" l="1"/>
  <c r="F26"/>
  <c r="G25"/>
  <c r="H25" s="1"/>
  <c r="E31"/>
  <c r="I83"/>
  <c r="B18" i="28"/>
  <c r="J34" i="29" s="1"/>
  <c r="C17" i="28"/>
  <c r="I35" i="29" l="1"/>
  <c r="J35" s="1"/>
  <c r="J33"/>
  <c r="F27"/>
  <c r="G26"/>
  <c r="H26" s="1"/>
  <c r="D30"/>
  <c r="E32"/>
  <c r="I84"/>
  <c r="B19" i="28"/>
  <c r="C18"/>
  <c r="J32" i="29" l="1"/>
  <c r="I36"/>
  <c r="J36" s="1"/>
  <c r="D31"/>
  <c r="F28"/>
  <c r="G27"/>
  <c r="H27" s="1"/>
  <c r="E33"/>
  <c r="I85"/>
  <c r="B20" i="28"/>
  <c r="C19"/>
  <c r="I37" i="29" s="1"/>
  <c r="J37" s="1"/>
  <c r="F29" l="1"/>
  <c r="G28"/>
  <c r="H28" s="1"/>
  <c r="D32"/>
  <c r="E34"/>
  <c r="I86"/>
  <c r="B21" i="28"/>
  <c r="C20"/>
  <c r="I38" i="29" s="1"/>
  <c r="J38" s="1"/>
  <c r="D33" l="1"/>
  <c r="F30"/>
  <c r="G29"/>
  <c r="H29" s="1"/>
  <c r="E35"/>
  <c r="I87"/>
  <c r="B22" i="28"/>
  <c r="C21"/>
  <c r="I39" i="29" s="1"/>
  <c r="J39" s="1"/>
  <c r="F31" l="1"/>
  <c r="G30"/>
  <c r="H30" s="1"/>
  <c r="E36"/>
  <c r="I88"/>
  <c r="D34"/>
  <c r="B23" i="28"/>
  <c r="C22"/>
  <c r="I40" i="29" s="1"/>
  <c r="J40" s="1"/>
  <c r="D35" l="1"/>
  <c r="F32"/>
  <c r="G31"/>
  <c r="H31" s="1"/>
  <c r="E37"/>
  <c r="I89"/>
  <c r="B24" i="28"/>
  <c r="C23"/>
  <c r="I41" i="29" s="1"/>
  <c r="J41" s="1"/>
  <c r="F33" l="1"/>
  <c r="G32"/>
  <c r="H32" s="1"/>
  <c r="K32" s="1"/>
  <c r="D36"/>
  <c r="E38"/>
  <c r="I90"/>
  <c r="C24" i="28"/>
  <c r="I42" i="29" s="1"/>
  <c r="J42" s="1"/>
  <c r="E39" l="1"/>
  <c r="I91"/>
  <c r="F34"/>
  <c r="G33"/>
  <c r="H33" s="1"/>
  <c r="K33" s="1"/>
  <c r="D37"/>
  <c r="D38" l="1"/>
  <c r="F35"/>
  <c r="G34"/>
  <c r="H34" s="1"/>
  <c r="K34" s="1"/>
  <c r="E40"/>
  <c r="I92"/>
  <c r="F36" l="1"/>
  <c r="G35"/>
  <c r="H35" s="1"/>
  <c r="K35" s="1"/>
  <c r="E41"/>
  <c r="I93"/>
  <c r="D39"/>
  <c r="E42" l="1"/>
  <c r="D40"/>
  <c r="F37"/>
  <c r="G36"/>
  <c r="H36" s="1"/>
  <c r="K36" s="1"/>
  <c r="D41" l="1"/>
  <c r="F38"/>
  <c r="G37"/>
  <c r="H37" s="1"/>
  <c r="K37" s="1"/>
  <c r="F39" l="1"/>
  <c r="G38"/>
  <c r="H38" s="1"/>
  <c r="K38" s="1"/>
  <c r="D42"/>
  <c r="F40" l="1"/>
  <c r="G39"/>
  <c r="H39" s="1"/>
  <c r="K39" s="1"/>
  <c r="F41" l="1"/>
  <c r="G40"/>
  <c r="H40" s="1"/>
  <c r="K40" s="1"/>
  <c r="F42" l="1"/>
  <c r="G42" s="1"/>
  <c r="H42" s="1"/>
  <c r="K42" s="1"/>
  <c r="G41"/>
  <c r="H41" s="1"/>
  <c r="K41" s="1"/>
  <c r="B6" i="26" l="1"/>
  <c r="B6" i="17"/>
  <c r="B3"/>
  <c r="B3" i="26" s="1"/>
  <c r="B3" i="29" s="1"/>
  <c r="B3" i="28" s="1"/>
  <c r="D50" i="29" s="1"/>
  <c r="B13" i="25" l="1"/>
  <c r="B12" i="26" l="1"/>
  <c r="B13" s="1"/>
  <c r="Q12" i="17"/>
  <c r="B13"/>
  <c r="B14" s="1"/>
  <c r="B8" i="32"/>
  <c r="B14" i="25"/>
  <c r="C13"/>
  <c r="Q12" i="26" l="1"/>
  <c r="Q13" i="17"/>
  <c r="B9" i="32"/>
  <c r="Q14" i="17"/>
  <c r="B15"/>
  <c r="Q13" i="26"/>
  <c r="B14"/>
  <c r="D14" i="25"/>
  <c r="B15"/>
  <c r="C14"/>
  <c r="D15" l="1"/>
  <c r="C15"/>
  <c r="B16"/>
  <c r="B15" i="26"/>
  <c r="Q14"/>
  <c r="B16" i="17"/>
  <c r="Q15"/>
  <c r="B10" i="32"/>
  <c r="B11" l="1"/>
  <c r="D16" i="25"/>
  <c r="B17"/>
  <c r="C16"/>
  <c r="Q16" i="17"/>
  <c r="B17"/>
  <c r="Q15" i="26"/>
  <c r="B16"/>
  <c r="D17" i="25" l="1"/>
  <c r="C17"/>
  <c r="B18"/>
  <c r="B17" i="26"/>
  <c r="Q16"/>
  <c r="B18" i="17"/>
  <c r="Q17"/>
  <c r="B12" i="32"/>
  <c r="B13" l="1"/>
  <c r="D18" i="25"/>
  <c r="B19"/>
  <c r="C18"/>
  <c r="B19" i="17"/>
  <c r="Q18"/>
  <c r="B18" i="26"/>
  <c r="Q17"/>
  <c r="B14" i="32" l="1"/>
  <c r="B19" i="26"/>
  <c r="Q18"/>
  <c r="B20" i="17"/>
  <c r="Q19"/>
  <c r="D19" i="25"/>
  <c r="B20"/>
  <c r="C19"/>
  <c r="D20" l="1"/>
  <c r="B21"/>
  <c r="C20"/>
  <c r="B21" i="17"/>
  <c r="Q20"/>
  <c r="B20" i="26"/>
  <c r="Q19"/>
  <c r="B15" i="32"/>
  <c r="B16" l="1"/>
  <c r="D21" i="25"/>
  <c r="C21"/>
  <c r="B22"/>
  <c r="Q20" i="26"/>
  <c r="B21"/>
  <c r="B22" i="17"/>
  <c r="Q21"/>
  <c r="Q22" l="1"/>
  <c r="B23"/>
  <c r="D22" i="25"/>
  <c r="B23"/>
  <c r="C22"/>
  <c r="Q21" i="26"/>
  <c r="B22"/>
  <c r="B17" i="32"/>
  <c r="B18" l="1"/>
  <c r="Q22" i="26"/>
  <c r="B23"/>
  <c r="D23" i="25"/>
  <c r="B24"/>
  <c r="C23"/>
  <c r="B24" i="17"/>
  <c r="Q23"/>
  <c r="B19" i="32" l="1"/>
  <c r="Q24" i="17"/>
  <c r="B25"/>
  <c r="D24" i="25"/>
  <c r="B25"/>
  <c r="C24"/>
  <c r="B24" i="26"/>
  <c r="Q23"/>
  <c r="Q24" l="1"/>
  <c r="B25"/>
  <c r="D25" i="25"/>
  <c r="C25"/>
  <c r="B26"/>
  <c r="Q25" i="17"/>
  <c r="B26"/>
  <c r="B20" i="32"/>
  <c r="Q25" i="26" l="1"/>
  <c r="B26"/>
  <c r="B21" i="32"/>
  <c r="B27" i="17"/>
  <c r="Q26"/>
  <c r="D26" i="25"/>
  <c r="C26"/>
  <c r="B27"/>
  <c r="D27" l="1"/>
  <c r="B28"/>
  <c r="C27"/>
  <c r="Q27" i="17"/>
  <c r="B28"/>
  <c r="B22" i="32"/>
  <c r="B27" i="26"/>
  <c r="Q26"/>
  <c r="Q27" l="1"/>
  <c r="B28"/>
  <c r="D28" i="25"/>
  <c r="B29"/>
  <c r="C28"/>
  <c r="B23" i="32"/>
  <c r="B29" i="17"/>
  <c r="Q28"/>
  <c r="Q29" l="1"/>
  <c r="B30"/>
  <c r="B29" i="26"/>
  <c r="Q28"/>
  <c r="B24" i="32"/>
  <c r="D29" i="25"/>
  <c r="C29"/>
  <c r="B30"/>
  <c r="B25" i="32" l="1"/>
  <c r="B30" i="26"/>
  <c r="Q29"/>
  <c r="D30" i="25"/>
  <c r="B31"/>
  <c r="C30"/>
  <c r="Q30" i="17"/>
  <c r="B31"/>
  <c r="Q31" s="1"/>
  <c r="D31" i="25" l="1"/>
  <c r="B32"/>
  <c r="C31"/>
  <c r="B31" i="26"/>
  <c r="Q31" s="1"/>
  <c r="Q30"/>
  <c r="B26" i="32"/>
  <c r="D30" l="1"/>
  <c r="B27"/>
  <c r="B37" s="1"/>
  <c r="D32" i="25"/>
  <c r="C32"/>
  <c r="C35" s="1"/>
  <c r="B41"/>
  <c r="C7" i="32" l="1"/>
  <c r="B5" i="28" l="1"/>
  <c r="B5" i="17"/>
  <c r="B5" i="26"/>
  <c r="B4" i="32"/>
  <c r="E12" i="26" l="1"/>
  <c r="E21"/>
  <c r="K21"/>
  <c r="M21"/>
  <c r="M16" l="1"/>
  <c r="H12"/>
  <c r="F12"/>
  <c r="H17"/>
  <c r="M19"/>
  <c r="I18"/>
  <c r="G19"/>
  <c r="L15"/>
  <c r="J12"/>
  <c r="H16"/>
  <c r="K15"/>
  <c r="H21"/>
  <c r="J14"/>
  <c r="J17"/>
  <c r="F13"/>
  <c r="O21"/>
  <c r="N15"/>
  <c r="N21"/>
  <c r="O13"/>
  <c r="N19"/>
  <c r="D21"/>
  <c r="F21"/>
  <c r="O17"/>
  <c r="J21"/>
  <c r="E19"/>
  <c r="F15"/>
  <c r="D17"/>
  <c r="M13"/>
  <c r="G13"/>
  <c r="H15"/>
  <c r="I21"/>
  <c r="G21"/>
  <c r="G16"/>
  <c r="K14"/>
  <c r="L19"/>
  <c r="O12"/>
  <c r="K12" l="1"/>
  <c r="I17"/>
  <c r="L20"/>
  <c r="M14"/>
  <c r="K20"/>
  <c r="L12"/>
  <c r="E14"/>
  <c r="O20"/>
  <c r="K13"/>
  <c r="I14"/>
  <c r="O14"/>
  <c r="J15"/>
  <c r="G15"/>
  <c r="E13"/>
  <c r="N16"/>
  <c r="F16"/>
  <c r="M12"/>
  <c r="I12"/>
  <c r="D13"/>
  <c r="N17"/>
  <c r="F20"/>
  <c r="I20"/>
  <c r="N20"/>
  <c r="M17"/>
  <c r="E20"/>
  <c r="D20"/>
  <c r="F19"/>
  <c r="E18"/>
  <c r="I19"/>
  <c r="F17"/>
  <c r="J19"/>
  <c r="D15"/>
  <c r="G20"/>
  <c r="M15"/>
  <c r="O16"/>
  <c r="K16"/>
  <c r="H18"/>
  <c r="H14"/>
  <c r="O19"/>
  <c r="O18"/>
  <c r="L21"/>
  <c r="D18"/>
  <c r="J13"/>
  <c r="M18"/>
  <c r="L13"/>
  <c r="M20"/>
  <c r="G14"/>
  <c r="D12"/>
  <c r="I13"/>
  <c r="N12"/>
  <c r="L14"/>
  <c r="D14"/>
  <c r="O15"/>
  <c r="J16"/>
  <c r="N13"/>
  <c r="F14"/>
  <c r="D16"/>
  <c r="G12"/>
  <c r="K17"/>
  <c r="N18"/>
  <c r="L18"/>
  <c r="J20"/>
  <c r="L17"/>
  <c r="E17"/>
  <c r="K19"/>
  <c r="H20"/>
  <c r="G17"/>
  <c r="F18"/>
  <c r="J18"/>
  <c r="K18"/>
  <c r="G18"/>
  <c r="D19"/>
  <c r="H19"/>
  <c r="L16"/>
  <c r="E15"/>
  <c r="N14"/>
  <c r="I15"/>
  <c r="E16"/>
  <c r="I16"/>
  <c r="H13"/>
  <c r="E21" i="25" l="1"/>
  <c r="G21" s="1"/>
  <c r="E18"/>
  <c r="G18" s="1"/>
  <c r="E22"/>
  <c r="G22" s="1"/>
  <c r="E16"/>
  <c r="G16" s="1"/>
  <c r="E14"/>
  <c r="G14" s="1"/>
  <c r="E19"/>
  <c r="G19" s="1"/>
  <c r="E20"/>
  <c r="G20" s="1"/>
  <c r="E17"/>
  <c r="G17" s="1"/>
  <c r="E15"/>
  <c r="G15" s="1"/>
  <c r="E13"/>
  <c r="C17" i="32" l="1"/>
  <c r="E17" s="1"/>
  <c r="C16"/>
  <c r="E16" s="1"/>
  <c r="C13"/>
  <c r="E13" s="1"/>
  <c r="G13" i="25"/>
  <c r="C12" i="32"/>
  <c r="E12" s="1"/>
  <c r="C9"/>
  <c r="E9" s="1"/>
  <c r="C10"/>
  <c r="E10" s="1"/>
  <c r="C15"/>
  <c r="E15" s="1"/>
  <c r="C14"/>
  <c r="E14" s="1"/>
  <c r="C11"/>
  <c r="E11" s="1"/>
  <c r="C8" l="1"/>
  <c r="E8" l="1"/>
  <c r="K31" i="26" l="1"/>
  <c r="M31"/>
  <c r="E22"/>
  <c r="E31"/>
  <c r="M26" l="1"/>
  <c r="H22"/>
  <c r="F22"/>
  <c r="H27"/>
  <c r="M29"/>
  <c r="I28"/>
  <c r="G29"/>
  <c r="L25"/>
  <c r="J22"/>
  <c r="H26"/>
  <c r="K25"/>
  <c r="H31"/>
  <c r="J24"/>
  <c r="J27"/>
  <c r="F23"/>
  <c r="O31"/>
  <c r="N25"/>
  <c r="N31"/>
  <c r="O23"/>
  <c r="N29"/>
  <c r="D31"/>
  <c r="F31"/>
  <c r="O27"/>
  <c r="J31"/>
  <c r="E29"/>
  <c r="F25"/>
  <c r="D27"/>
  <c r="M23"/>
  <c r="G23"/>
  <c r="H25"/>
  <c r="I31"/>
  <c r="G31"/>
  <c r="G26"/>
  <c r="K24"/>
  <c r="L29"/>
  <c r="O22"/>
  <c r="K22" l="1"/>
  <c r="I27"/>
  <c r="L30"/>
  <c r="M24"/>
  <c r="K30"/>
  <c r="L22"/>
  <c r="E24"/>
  <c r="O30"/>
  <c r="K23"/>
  <c r="I24"/>
  <c r="O24"/>
  <c r="J25"/>
  <c r="G25"/>
  <c r="E23"/>
  <c r="N26"/>
  <c r="F26"/>
  <c r="M22"/>
  <c r="I22"/>
  <c r="D23"/>
  <c r="N27"/>
  <c r="F30"/>
  <c r="I30"/>
  <c r="N30"/>
  <c r="M27"/>
  <c r="E30"/>
  <c r="D30"/>
  <c r="F29"/>
  <c r="E28"/>
  <c r="I29"/>
  <c r="F27"/>
  <c r="J29"/>
  <c r="D25"/>
  <c r="G30"/>
  <c r="M25"/>
  <c r="O26"/>
  <c r="K26"/>
  <c r="H28"/>
  <c r="H24"/>
  <c r="O29"/>
  <c r="O28"/>
  <c r="L31"/>
  <c r="D28"/>
  <c r="J23"/>
  <c r="M28"/>
  <c r="L23"/>
  <c r="M30"/>
  <c r="G24"/>
  <c r="D22"/>
  <c r="I23"/>
  <c r="N22"/>
  <c r="L24"/>
  <c r="D24"/>
  <c r="O25"/>
  <c r="J26"/>
  <c r="N23"/>
  <c r="F24"/>
  <c r="D26"/>
  <c r="G22"/>
  <c r="K27"/>
  <c r="N28"/>
  <c r="L28"/>
  <c r="J30"/>
  <c r="L27"/>
  <c r="E27"/>
  <c r="K29"/>
  <c r="H30"/>
  <c r="G27"/>
  <c r="F28"/>
  <c r="J28"/>
  <c r="K28"/>
  <c r="G28"/>
  <c r="D29"/>
  <c r="H29"/>
  <c r="L26"/>
  <c r="E25"/>
  <c r="N24"/>
  <c r="I25"/>
  <c r="E26"/>
  <c r="I26"/>
  <c r="H23"/>
  <c r="E32" i="25" l="1"/>
  <c r="G32" s="1"/>
  <c r="E31"/>
  <c r="G31" s="1"/>
  <c r="E28"/>
  <c r="G28" s="1"/>
  <c r="E30"/>
  <c r="G30" s="1"/>
  <c r="E27"/>
  <c r="G27" s="1"/>
  <c r="E25"/>
  <c r="G25" s="1"/>
  <c r="E23"/>
  <c r="E29"/>
  <c r="G29" s="1"/>
  <c r="E26"/>
  <c r="G26" s="1"/>
  <c r="E24"/>
  <c r="G24" s="1"/>
  <c r="C21" i="32" l="1"/>
  <c r="E21" s="1"/>
  <c r="C22"/>
  <c r="E22" s="1"/>
  <c r="C23"/>
  <c r="E23" s="1"/>
  <c r="C27"/>
  <c r="E27" s="1"/>
  <c r="C19"/>
  <c r="E19" s="1"/>
  <c r="C24"/>
  <c r="E24" s="1"/>
  <c r="C20"/>
  <c r="E20" s="1"/>
  <c r="C25"/>
  <c r="E25" s="1"/>
  <c r="C26"/>
  <c r="E26" s="1"/>
  <c r="G23" i="25"/>
  <c r="E36"/>
  <c r="C18" i="32" l="1"/>
  <c r="C30" s="1"/>
  <c r="G36" i="25"/>
  <c r="E18" i="32" l="1"/>
  <c r="E30"/>
</calcChain>
</file>

<file path=xl/comments1.xml><?xml version="1.0" encoding="utf-8"?>
<comments xmlns="http://schemas.openxmlformats.org/spreadsheetml/2006/main">
  <authors>
    <author>PacifiCorp</author>
  </authors>
  <commentList>
    <comment ref="G5" author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<sst xmlns="http://schemas.openxmlformats.org/spreadsheetml/2006/main" count="163" uniqueCount="114">
  <si>
    <t>Year</t>
  </si>
  <si>
    <t>Energy Cost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</si>
  <si>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</si>
  <si>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</si>
  <si>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</si>
  <si>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</si>
  <si>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</si>
  <si>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</si>
  <si>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</si>
  <si>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</si>
  <si>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</si>
  <si>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</si>
  <si>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</si>
  <si>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</si>
  <si>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</si>
  <si>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</si>
  <si>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</si>
  <si>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</si>
  <si>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</si>
  <si>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</si>
  <si>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</si>
  <si>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</si>
  <si>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</si>
  <si>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</si>
  <si>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</si>
  <si>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</si>
  <si>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</si>
  <si>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</si>
  <si>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</si>
  <si>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</si>
  <si>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</si>
  <si>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</si>
  <si>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</si>
  <si>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</si>
  <si>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</si>
  <si>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</si>
  <si>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</si>
  <si>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</si>
  <si>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</si>
  <si>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</si>
  <si>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</si>
  <si>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</si>
  <si>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</si>
  <si>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</si>
  <si>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</si>
  <si>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</si>
  <si>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</si>
  <si>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</si>
  <si>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</si>
  <si>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Denotes months with capped energy prices</t>
  </si>
  <si>
    <t>Energy Price escalated at</t>
  </si>
  <si>
    <t>Energy Only costs are calculated by GRID and are capped at the IRP Resource Energy Cost</t>
  </si>
  <si>
    <t>IRP Resource Energy Costs are provided for comparison purposes only.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</si>
  <si>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</si>
  <si>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</si>
  <si>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</si>
  <si>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</si>
  <si>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</si>
  <si>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</si>
  <si>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</si>
  <si>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</si>
  <si>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</si>
  <si>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</si>
  <si>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</si>
  <si>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</si>
  <si>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</si>
  <si>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</si>
  <si>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</si>
  <si>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</si>
  <si>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</si>
  <si>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</si>
  <si>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</si>
  <si>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</si>
  <si>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</si>
  <si>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</si>
  <si>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</si>
  <si>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</si>
  <si>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>East Side</t>
  </si>
  <si>
    <t>East Side Natural Gas</t>
  </si>
  <si>
    <t xml:space="preserve">  MW Plant capacity</t>
  </si>
  <si>
    <t xml:space="preserve">  Heat Rate in btu/kWh</t>
  </si>
  <si>
    <t xml:space="preserve">  Payment Factor</t>
  </si>
  <si>
    <t xml:space="preserve">  Capacity Factor</t>
  </si>
  <si>
    <t xml:space="preserve">  Plant capacity cost</t>
  </si>
  <si>
    <t xml:space="preserve">  Energy Weighted Capacity Factor</t>
  </si>
  <si>
    <t>Avoided Energy Costs - Unscheduled or Non-dispatch hours($/MWh)</t>
  </si>
  <si>
    <t>East</t>
  </si>
  <si>
    <t>Avoided Cost Prices $/MWh</t>
  </si>
  <si>
    <t>Difference</t>
  </si>
  <si>
    <t xml:space="preserve">Adjust Capacity payment for Partial Displacement 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</si>
  <si>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</si>
  <si>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</si>
  <si>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</si>
  <si>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O&amp;M plus on-going capital</t>
  </si>
  <si>
    <t xml:space="preserve">  Fixed Pipeline</t>
  </si>
  <si>
    <t xml:space="preserve">  Fixed O&amp;M plus on-going capital cost + Fixed Pipeline Costs</t>
  </si>
  <si>
    <t>Filing (2)</t>
  </si>
  <si>
    <t>Avoided Cost at</t>
  </si>
  <si>
    <t>2012 RFP - Needs Assessment Resource Cost</t>
  </si>
  <si>
    <t>2012 RFP - Needs Assessment Discount Rate</t>
  </si>
  <si>
    <t>2012 RFP Discount Rate</t>
  </si>
  <si>
    <t>2012.Q4 Compliance</t>
  </si>
  <si>
    <t>$/MWH</t>
  </si>
  <si>
    <t xml:space="preserve">  Variable O&amp;M Costs in $/MWH </t>
  </si>
  <si>
    <t>CCCT Duct Firing</t>
  </si>
  <si>
    <t xml:space="preserve">      Avoided Costs calculated monthly are  $46.14/MWH</t>
  </si>
  <si>
    <t>UT Compliance 2013.Q1 - 100.0 MW and 85.0% CF</t>
  </si>
  <si>
    <t>(5) Avoided Costs calculated monthly starting January 2014</t>
  </si>
  <si>
    <t xml:space="preserve">     Avoided Costs calculated monthly are  $46.14/MWH</t>
  </si>
  <si>
    <t xml:space="preserve">2028 CCCT (400 MW 1x1) </t>
  </si>
  <si>
    <t>(1)   2012 RFP - Needs Assessment discount rate</t>
  </si>
  <si>
    <t>(2)   Total avoided costs with capacity included at an 85.0% capacity factor</t>
  </si>
  <si>
    <t>(2)   Energy Only Price is the GRID calculated costs and includes some capacity costs</t>
  </si>
  <si>
    <t>Plant Costs  - 2012 RFP - Needs Assessment - [as modeled by System Optimizer]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</si>
</sst>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&quot;$&quot;#,##0.000_);[Red]\(&quot;$&quot;#,##0.000\)"/>
    <numFmt numFmtId="170" formatCode="_(* #,##0.000_);_(* \(#,##0.000\);_(* &quot;-&quot;_);_(@_)"/>
    <numFmt numFmtId="171" formatCode="_(&quot;$&quot;* #,##0_);_(&quot;$&quot;* \(#,##0\);_(&quot;$&quot;* &quot;-&quot;??_);_(@_)"/>
    <numFmt numFmtId="172" formatCode="mmm\ yyyy&quot;   &quot;"/>
    <numFmt numFmtId="173" formatCode="_(* #,##0_);[Red]_(* \(#,##0\);_(* &quot;-&quot;_);_(@_)"/>
    <numFmt numFmtId="174" formatCode="_(* #,##0.00_);[Red]_(* \(#,##0.00\);_(* &quot;-&quot;_);_(@_)"/>
    <numFmt numFmtId="175" formatCode="0.000%"/>
    <numFmt numFmtId="176" formatCode="&quot;$&quot;#,##0.00_)\ \x;"/>
    <numFmt numFmtId="177" formatCode="&quot;$&quot;#,##0.00_)"/>
  </numFmts>
  <fonts count="29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10"/>
      <color rgb="FFCCEC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17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>
      <protection locked="0"/>
    </xf>
    <xf numFmtId="41" fontId="3" fillId="0" borderId="0"/>
    <xf numFmtId="173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0" fontId="1" fillId="0" borderId="0"/>
    <xf numFmtId="173" fontId="3" fillId="0" borderId="0"/>
  </cellStyleXfs>
  <cellXfs count="228">
    <xf numFmtId="173" fontId="0" fillId="0" borderId="0" xfId="0"/>
    <xf numFmtId="173" fontId="4" fillId="0" borderId="0" xfId="0" applyFont="1" applyFill="1" applyAlignment="1">
      <alignment horizontal="centerContinuous"/>
    </xf>
    <xf numFmtId="173" fontId="6" fillId="0" borderId="0" xfId="0" quotePrefix="1" applyFont="1" applyFill="1" applyBorder="1" applyAlignment="1">
      <alignment horizontal="center"/>
    </xf>
    <xf numFmtId="173" fontId="10" fillId="0" borderId="0" xfId="0" applyFont="1" applyFill="1"/>
    <xf numFmtId="173" fontId="10" fillId="0" borderId="1" xfId="0" applyFont="1" applyFill="1" applyBorder="1" applyAlignment="1">
      <alignment horizontal="center"/>
    </xf>
    <xf numFmtId="173" fontId="11" fillId="0" borderId="0" xfId="0" applyFont="1" applyFill="1" applyAlignment="1">
      <alignment horizontal="centerContinuous"/>
    </xf>
    <xf numFmtId="173" fontId="3" fillId="0" borderId="0" xfId="0" applyFont="1" applyFill="1"/>
    <xf numFmtId="173" fontId="5" fillId="0" borderId="0" xfId="0" applyFont="1" applyFill="1" applyAlignment="1">
      <alignment horizontal="centerContinuous"/>
    </xf>
    <xf numFmtId="173" fontId="3" fillId="0" borderId="0" xfId="0" applyFont="1" applyFill="1" applyBorder="1"/>
    <xf numFmtId="173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3" fontId="8" fillId="0" borderId="0" xfId="0" applyFont="1" applyFill="1"/>
    <xf numFmtId="173" fontId="12" fillId="0" borderId="0" xfId="0" applyFont="1" applyFill="1"/>
    <xf numFmtId="173" fontId="3" fillId="0" borderId="0" xfId="0" quotePrefix="1" applyFont="1" applyFill="1" applyBorder="1" applyAlignment="1">
      <alignment horizontal="center"/>
    </xf>
    <xf numFmtId="173" fontId="8" fillId="0" borderId="0" xfId="0" applyFont="1" applyFill="1" applyAlignment="1">
      <alignment horizontal="centerContinuous"/>
    </xf>
    <xf numFmtId="173" fontId="9" fillId="0" borderId="0" xfId="0" applyFont="1" applyFill="1"/>
    <xf numFmtId="173" fontId="3" fillId="0" borderId="0" xfId="0" quotePrefix="1" applyFont="1" applyFill="1"/>
    <xf numFmtId="173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3" fontId="9" fillId="0" borderId="0" xfId="0" applyFont="1" applyFill="1" applyAlignment="1">
      <alignment horizontal="centerContinuous"/>
    </xf>
    <xf numFmtId="173" fontId="4" fillId="0" borderId="0" xfId="0" applyFont="1" applyFill="1" applyBorder="1" applyAlignment="1">
      <alignment horizontal="centerContinuous"/>
    </xf>
    <xf numFmtId="173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3" fontId="3" fillId="0" borderId="0" xfId="0" quotePrefix="1" applyFont="1" applyFill="1" applyBorder="1"/>
    <xf numFmtId="173" fontId="3" fillId="0" borderId="0" xfId="0" applyFont="1" applyFill="1" applyBorder="1" applyAlignment="1">
      <alignment horizontal="left"/>
    </xf>
    <xf numFmtId="173" fontId="10" fillId="0" borderId="3" xfId="0" applyFont="1" applyFill="1" applyBorder="1" applyAlignment="1">
      <alignment horizontal="centerContinuous"/>
    </xf>
    <xf numFmtId="173" fontId="10" fillId="0" borderId="4" xfId="0" applyFont="1" applyFill="1" applyBorder="1" applyAlignment="1">
      <alignment horizontal="centerContinuous"/>
    </xf>
    <xf numFmtId="173" fontId="10" fillId="0" borderId="5" xfId="0" applyFont="1" applyFill="1" applyBorder="1"/>
    <xf numFmtId="173" fontId="10" fillId="0" borderId="6" xfId="0" applyFont="1" applyFill="1" applyBorder="1" applyAlignment="1">
      <alignment horizontal="center"/>
    </xf>
    <xf numFmtId="173" fontId="10" fillId="0" borderId="0" xfId="0" quotePrefix="1" applyFont="1" applyFill="1" applyBorder="1" applyAlignment="1">
      <alignment horizontal="center"/>
    </xf>
    <xf numFmtId="173" fontId="10" fillId="0" borderId="7" xfId="0" applyFont="1" applyFill="1" applyBorder="1" applyAlignment="1">
      <alignment horizontal="centerContinuous"/>
    </xf>
    <xf numFmtId="173" fontId="10" fillId="0" borderId="5" xfId="0" applyFont="1" applyFill="1" applyBorder="1" applyAlignment="1">
      <alignment horizontal="centerContinuous"/>
    </xf>
    <xf numFmtId="173" fontId="10" fillId="0" borderId="8" xfId="0" applyFont="1" applyFill="1" applyBorder="1" applyAlignment="1">
      <alignment horizontal="centerContinuous"/>
    </xf>
    <xf numFmtId="173" fontId="10" fillId="0" borderId="9" xfId="0" applyFont="1" applyFill="1" applyBorder="1" applyAlignment="1">
      <alignment horizontal="centerContinuous"/>
    </xf>
    <xf numFmtId="173" fontId="10" fillId="0" borderId="8" xfId="0" applyFont="1" applyFill="1" applyBorder="1" applyAlignment="1">
      <alignment horizontal="center"/>
    </xf>
    <xf numFmtId="173" fontId="10" fillId="0" borderId="10" xfId="0" applyFont="1" applyFill="1" applyBorder="1" applyAlignment="1">
      <alignment horizontal="center"/>
    </xf>
    <xf numFmtId="173" fontId="10" fillId="0" borderId="5" xfId="0" quotePrefix="1" applyFont="1" applyFill="1" applyBorder="1" applyAlignment="1">
      <alignment horizontal="centerContinuous"/>
    </xf>
    <xf numFmtId="173" fontId="10" fillId="0" borderId="3" xfId="0" applyFont="1" applyFill="1" applyBorder="1" applyAlignment="1">
      <alignment horizontal="center"/>
    </xf>
    <xf numFmtId="173" fontId="10" fillId="0" borderId="11" xfId="0" applyFont="1" applyFill="1" applyBorder="1" applyAlignment="1">
      <alignment horizontal="center"/>
    </xf>
    <xf numFmtId="173" fontId="10" fillId="0" borderId="4" xfId="0" applyFont="1" applyFill="1" applyBorder="1" applyAlignment="1">
      <alignment horizontal="center"/>
    </xf>
    <xf numFmtId="173" fontId="10" fillId="0" borderId="2" xfId="0" applyFont="1" applyFill="1" applyBorder="1" applyAlignment="1">
      <alignment horizontal="centerContinuous"/>
    </xf>
    <xf numFmtId="43" fontId="3" fillId="0" borderId="0" xfId="1" applyFont="1" applyFill="1"/>
    <xf numFmtId="0" fontId="3" fillId="0" borderId="0" xfId="7" applyFont="1" applyFill="1" applyBorder="1" applyAlignment="1">
      <alignment horizontal="center"/>
    </xf>
    <xf numFmtId="173" fontId="3" fillId="0" borderId="0" xfId="0" applyFont="1" applyFill="1" applyAlignment="1">
      <alignment horizontal="centerContinuous"/>
    </xf>
    <xf numFmtId="173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173" fontId="3" fillId="0" borderId="7" xfId="0" applyFont="1" applyFill="1" applyBorder="1" applyAlignment="1">
      <alignment horizontal="centerContinuous"/>
    </xf>
    <xf numFmtId="173" fontId="3" fillId="0" borderId="4" xfId="0" applyFont="1" applyFill="1" applyBorder="1" applyAlignment="1">
      <alignment horizontal="centerContinuous"/>
    </xf>
    <xf numFmtId="173" fontId="3" fillId="0" borderId="8" xfId="0" applyFont="1" applyFill="1" applyBorder="1" applyAlignment="1">
      <alignment horizontal="centerContinuous"/>
    </xf>
    <xf numFmtId="173" fontId="3" fillId="0" borderId="2" xfId="0" applyFont="1" applyFill="1" applyBorder="1" applyAlignment="1">
      <alignment horizontal="centerContinuous"/>
    </xf>
    <xf numFmtId="173" fontId="3" fillId="0" borderId="9" xfId="0" applyFont="1" applyFill="1" applyBorder="1" applyAlignment="1">
      <alignment horizontal="centerContinuous"/>
    </xf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3" fontId="3" fillId="2" borderId="0" xfId="0" applyFont="1" applyFill="1"/>
    <xf numFmtId="173" fontId="3" fillId="0" borderId="8" xfId="0" applyFont="1" applyFill="1" applyBorder="1" applyAlignment="1">
      <alignment horizontal="center"/>
    </xf>
    <xf numFmtId="173" fontId="3" fillId="0" borderId="5" xfId="0" applyFont="1" applyFill="1" applyBorder="1" applyAlignment="1">
      <alignment horizontal="centerContinuous"/>
    </xf>
    <xf numFmtId="173" fontId="3" fillId="0" borderId="5" xfId="0" quotePrefix="1" applyFont="1" applyFill="1" applyBorder="1" applyAlignment="1">
      <alignment horizontal="centerContinuous"/>
    </xf>
    <xf numFmtId="173" fontId="3" fillId="0" borderId="3" xfId="0" applyFont="1" applyFill="1" applyBorder="1" applyAlignment="1">
      <alignment horizontal="centerContinuous"/>
    </xf>
    <xf numFmtId="173" fontId="3" fillId="0" borderId="5" xfId="0" applyFont="1" applyFill="1" applyBorder="1"/>
    <xf numFmtId="173" fontId="3" fillId="0" borderId="10" xfId="0" applyFont="1" applyFill="1" applyBorder="1" applyAlignment="1">
      <alignment horizontal="center"/>
    </xf>
    <xf numFmtId="173" fontId="3" fillId="0" borderId="3" xfId="0" applyFont="1" applyFill="1" applyBorder="1" applyAlignment="1">
      <alignment horizontal="center"/>
    </xf>
    <xf numFmtId="173" fontId="3" fillId="0" borderId="11" xfId="0" applyFont="1" applyFill="1" applyBorder="1" applyAlignment="1">
      <alignment horizontal="center"/>
    </xf>
    <xf numFmtId="173" fontId="3" fillId="0" borderId="4" xfId="0" applyFont="1" applyFill="1" applyBorder="1" applyAlignment="1">
      <alignment horizontal="center"/>
    </xf>
    <xf numFmtId="173" fontId="3" fillId="0" borderId="1" xfId="0" applyFont="1" applyFill="1" applyBorder="1" applyAlignment="1">
      <alignment horizontal="center"/>
    </xf>
    <xf numFmtId="173" fontId="3" fillId="0" borderId="6" xfId="0" applyFont="1" applyFill="1" applyBorder="1" applyAlignment="1">
      <alignment horizontal="center"/>
    </xf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8" fontId="3" fillId="0" borderId="6" xfId="0" applyNumberFormat="1" applyFont="1" applyFill="1" applyBorder="1"/>
    <xf numFmtId="173" fontId="15" fillId="2" borderId="0" xfId="0" applyFont="1" applyFill="1"/>
    <xf numFmtId="10" fontId="0" fillId="0" borderId="0" xfId="0" applyNumberFormat="1"/>
    <xf numFmtId="173" fontId="0" fillId="0" borderId="0" xfId="0" applyAlignment="1">
      <alignment horizontal="center"/>
    </xf>
    <xf numFmtId="173" fontId="2" fillId="0" borderId="0" xfId="0" applyFont="1" applyFill="1" applyAlignment="1">
      <alignment horizontal="right"/>
    </xf>
    <xf numFmtId="173" fontId="2" fillId="0" borderId="5" xfId="0" applyFont="1" applyFill="1" applyBorder="1" applyAlignment="1">
      <alignment horizontal="center"/>
    </xf>
    <xf numFmtId="173" fontId="2" fillId="0" borderId="5" xfId="0" applyFont="1" applyFill="1" applyBorder="1" applyAlignment="1">
      <alignment horizontal="center" wrapText="1"/>
    </xf>
    <xf numFmtId="173" fontId="2" fillId="0" borderId="5" xfId="0" applyFont="1" applyFill="1" applyBorder="1" applyAlignment="1">
      <alignment horizontal="centerContinuous" wrapText="1"/>
    </xf>
    <xf numFmtId="173" fontId="11" fillId="0" borderId="6" xfId="0" applyFont="1" applyFill="1" applyBorder="1" applyAlignment="1">
      <alignment horizontal="centerContinuous"/>
    </xf>
    <xf numFmtId="173" fontId="16" fillId="0" borderId="6" xfId="0" quotePrefix="1" applyFont="1" applyFill="1" applyBorder="1" applyAlignment="1">
      <alignment horizontal="center" wrapText="1"/>
    </xf>
    <xf numFmtId="173" fontId="16" fillId="0" borderId="6" xfId="0" applyFont="1" applyFill="1" applyBorder="1" applyAlignment="1">
      <alignment horizontal="center" wrapText="1"/>
    </xf>
    <xf numFmtId="173" fontId="2" fillId="0" borderId="0" xfId="0" applyFont="1" applyFill="1" applyAlignment="1">
      <alignment horizontal="centerContinuous"/>
    </xf>
    <xf numFmtId="173" fontId="2" fillId="0" borderId="5" xfId="0" applyFont="1" applyFill="1" applyBorder="1"/>
    <xf numFmtId="173" fontId="2" fillId="0" borderId="15" xfId="0" applyFont="1" applyFill="1" applyBorder="1" applyAlignment="1">
      <alignment horizontal="center"/>
    </xf>
    <xf numFmtId="173" fontId="2" fillId="0" borderId="6" xfId="0" applyFont="1" applyFill="1" applyBorder="1"/>
    <xf numFmtId="173" fontId="2" fillId="0" borderId="6" xfId="0" applyFont="1" applyFill="1" applyBorder="1" applyAlignment="1">
      <alignment horizontal="center"/>
    </xf>
    <xf numFmtId="8" fontId="1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3" fontId="2" fillId="0" borderId="11" xfId="0" applyFont="1" applyFill="1" applyBorder="1" applyAlignment="1">
      <alignment horizontal="centerContinuous"/>
    </xf>
    <xf numFmtId="173" fontId="5" fillId="0" borderId="7" xfId="0" applyFont="1" applyFill="1" applyBorder="1" applyAlignment="1">
      <alignment horizontal="centerContinuous"/>
    </xf>
    <xf numFmtId="173" fontId="18" fillId="3" borderId="0" xfId="0" applyFont="1" applyFill="1" applyAlignment="1">
      <alignment horizontal="centerContinuous"/>
    </xf>
    <xf numFmtId="173" fontId="19" fillId="3" borderId="0" xfId="0" applyFont="1" applyFill="1" applyAlignment="1">
      <alignment horizontal="centerContinuous"/>
    </xf>
    <xf numFmtId="14" fontId="20" fillId="3" borderId="0" xfId="0" applyNumberFormat="1" applyFont="1" applyFill="1" applyBorder="1" applyAlignment="1">
      <alignment horizontal="centerContinuous" vertical="center"/>
    </xf>
    <xf numFmtId="173" fontId="21" fillId="3" borderId="0" xfId="0" applyFont="1" applyFill="1" applyBorder="1" applyAlignment="1">
      <alignment horizontal="centerContinuous"/>
    </xf>
    <xf numFmtId="172" fontId="18" fillId="3" borderId="0" xfId="1" applyNumberFormat="1" applyFont="1" applyFill="1" applyAlignment="1">
      <alignment horizontal="centerContinuous"/>
    </xf>
    <xf numFmtId="173" fontId="18" fillId="0" borderId="0" xfId="0" applyFont="1" applyFill="1" applyBorder="1"/>
    <xf numFmtId="173" fontId="0" fillId="0" borderId="0" xfId="0" applyFill="1" applyBorder="1"/>
    <xf numFmtId="173" fontId="0" fillId="0" borderId="0" xfId="0" applyFill="1" applyBorder="1" applyAlignment="1">
      <alignment horizontal="center"/>
    </xf>
    <xf numFmtId="173" fontId="21" fillId="0" borderId="0" xfId="0" applyFont="1" applyFill="1" applyBorder="1" applyAlignment="1">
      <alignment wrapText="1"/>
    </xf>
    <xf numFmtId="173" fontId="18" fillId="0" borderId="0" xfId="0" applyFont="1" applyFill="1" applyBorder="1" applyAlignment="1">
      <alignment horizontal="center"/>
    </xf>
    <xf numFmtId="173" fontId="19" fillId="3" borderId="0" xfId="0" applyFont="1" applyFill="1" applyBorder="1" applyAlignment="1">
      <alignment horizontal="center"/>
    </xf>
    <xf numFmtId="14" fontId="22" fillId="4" borderId="7" xfId="0" applyNumberFormat="1" applyFont="1" applyFill="1" applyBorder="1" applyAlignment="1">
      <alignment horizontal="center"/>
    </xf>
    <xf numFmtId="168" fontId="18" fillId="0" borderId="0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8" fontId="3" fillId="0" borderId="6" xfId="1" applyNumberFormat="1" applyFont="1" applyFill="1" applyBorder="1" applyAlignment="1">
      <alignment horizontal="center"/>
    </xf>
    <xf numFmtId="173" fontId="2" fillId="0" borderId="7" xfId="0" applyFont="1" applyFill="1" applyBorder="1" applyAlignment="1">
      <alignment horizontal="center"/>
    </xf>
    <xf numFmtId="173" fontId="2" fillId="0" borderId="7" xfId="0" applyFont="1" applyFill="1" applyBorder="1" applyAlignment="1">
      <alignment horizontal="centerContinuous"/>
    </xf>
    <xf numFmtId="173" fontId="25" fillId="0" borderId="0" xfId="0" applyFont="1" applyFill="1"/>
    <xf numFmtId="167" fontId="25" fillId="0" borderId="0" xfId="8" applyNumberFormat="1" applyFont="1" applyFill="1"/>
    <xf numFmtId="43" fontId="25" fillId="0" borderId="0" xfId="2" applyNumberFormat="1" applyFont="1" applyFill="1"/>
    <xf numFmtId="164" fontId="2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5" fillId="0" borderId="0" xfId="0" applyNumberFormat="1" applyFont="1" applyFill="1"/>
    <xf numFmtId="8" fontId="25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3" fontId="2" fillId="0" borderId="0" xfId="0" applyFont="1" applyFill="1" applyBorder="1" applyAlignment="1">
      <alignment horizontal="center"/>
    </xf>
    <xf numFmtId="173" fontId="3" fillId="5" borderId="16" xfId="0" applyFont="1" applyFill="1" applyBorder="1"/>
    <xf numFmtId="173" fontId="26" fillId="0" borderId="17" xfId="0" applyFont="1" applyBorder="1" applyAlignment="1">
      <alignment horizontal="center"/>
    </xf>
    <xf numFmtId="173" fontId="2" fillId="0" borderId="18" xfId="0" applyFont="1" applyFill="1" applyBorder="1" applyAlignment="1">
      <alignment horizontal="centerContinuous"/>
    </xf>
    <xf numFmtId="173" fontId="2" fillId="0" borderId="19" xfId="0" applyFont="1" applyFill="1" applyBorder="1" applyAlignment="1">
      <alignment horizontal="centerContinuous"/>
    </xf>
    <xf numFmtId="173" fontId="2" fillId="0" borderId="20" xfId="0" applyFont="1" applyFill="1" applyBorder="1" applyAlignment="1">
      <alignment horizontal="centerContinuous"/>
    </xf>
    <xf numFmtId="167" fontId="0" fillId="0" borderId="0" xfId="8" applyNumberFormat="1" applyFont="1" applyFill="1"/>
    <xf numFmtId="173" fontId="2" fillId="0" borderId="18" xfId="5" applyFont="1" applyFill="1" applyBorder="1" applyAlignment="1">
      <alignment horizontal="centerContinuous"/>
    </xf>
    <xf numFmtId="173" fontId="2" fillId="0" borderId="3" xfId="5" applyFont="1" applyFill="1" applyBorder="1" applyAlignment="1">
      <alignment horizontal="centerContinuous"/>
    </xf>
    <xf numFmtId="173" fontId="27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3" fontId="18" fillId="0" borderId="0" xfId="0" applyFont="1" applyFill="1" applyAlignment="1">
      <alignment horizontal="centerContinuous"/>
    </xf>
    <xf numFmtId="173" fontId="3" fillId="0" borderId="0" xfId="0" applyFont="1" applyFill="1" applyBorder="1" applyAlignment="1">
      <alignment horizontal="left" indent="1"/>
    </xf>
    <xf numFmtId="173" fontId="3" fillId="0" borderId="0" xfId="0" applyFont="1" applyFill="1" applyAlignment="1">
      <alignment horizontal="left" indent="1"/>
    </xf>
    <xf numFmtId="167" fontId="0" fillId="6" borderId="0" xfId="8" applyNumberFormat="1" applyFont="1" applyFill="1"/>
    <xf numFmtId="173" fontId="0" fillId="0" borderId="0" xfId="0" applyFill="1"/>
    <xf numFmtId="43" fontId="0" fillId="0" borderId="0" xfId="1" applyFont="1" applyFill="1"/>
    <xf numFmtId="174" fontId="3" fillId="0" borderId="0" xfId="0" applyNumberFormat="1" applyFont="1" applyFill="1"/>
    <xf numFmtId="173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4" fillId="0" borderId="0" xfId="11" applyFont="1" applyFill="1" applyAlignment="1">
      <alignment horizontal="centerContinuous"/>
    </xf>
    <xf numFmtId="41" fontId="11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3" fillId="0" borderId="0" xfId="11"/>
    <xf numFmtId="41" fontId="5" fillId="0" borderId="0" xfId="11" applyFont="1" applyFill="1" applyAlignment="1">
      <alignment horizontal="centerContinuous"/>
    </xf>
    <xf numFmtId="41" fontId="3" fillId="0" borderId="0" xfId="11" applyFont="1" applyFill="1"/>
    <xf numFmtId="41" fontId="3" fillId="0" borderId="0" xfId="11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41" fontId="3" fillId="0" borderId="0" xfId="1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8" fontId="3" fillId="0" borderId="9" xfId="11" applyNumberFormat="1" applyFont="1" applyFill="1" applyBorder="1" applyAlignment="1">
      <alignment horizontal="center"/>
    </xf>
    <xf numFmtId="2" fontId="3" fillId="0" borderId="0" xfId="11" applyNumberFormat="1" applyFont="1" applyFill="1" applyBorder="1" applyAlignment="1">
      <alignment horizontal="center"/>
    </xf>
    <xf numFmtId="0" fontId="3" fillId="0" borderId="12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8" fontId="3" fillId="0" borderId="13" xfId="11" applyNumberFormat="1" applyFont="1" applyFill="1" applyBorder="1" applyAlignment="1">
      <alignment horizontal="center"/>
    </xf>
    <xf numFmtId="0" fontId="3" fillId="0" borderId="10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8" fontId="3" fillId="0" borderId="14" xfId="11" applyNumberFormat="1" applyFont="1" applyFill="1" applyBorder="1" applyAlignment="1">
      <alignment horizontal="center"/>
    </xf>
    <xf numFmtId="0" fontId="0" fillId="0" borderId="0" xfId="11" applyNumberFormat="1" applyFont="1" applyFill="1" applyAlignment="1">
      <alignment horizontal="left"/>
    </xf>
    <xf numFmtId="41" fontId="3" fillId="0" borderId="0" xfId="11" applyFont="1" applyFill="1" applyAlignment="1">
      <alignment horizontal="left" indent="1"/>
    </xf>
    <xf numFmtId="39" fontId="3" fillId="0" borderId="0" xfId="12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8" fontId="3" fillId="0" borderId="0" xfId="11" applyNumberFormat="1" applyFont="1" applyFill="1"/>
    <xf numFmtId="0" fontId="0" fillId="0" borderId="0" xfId="7" applyFont="1" applyFill="1" applyBorder="1" applyAlignment="1">
      <alignment horizontal="center"/>
    </xf>
    <xf numFmtId="173" fontId="0" fillId="0" borderId="0" xfId="0" applyFont="1" applyFill="1" applyAlignment="1">
      <alignment horizontal="centerContinuous"/>
    </xf>
    <xf numFmtId="173" fontId="0" fillId="0" borderId="0" xfId="0" applyFont="1" applyFill="1"/>
    <xf numFmtId="173" fontId="0" fillId="0" borderId="0" xfId="0" applyFont="1" applyFill="1" applyBorder="1" applyAlignment="1">
      <alignment horizontal="centerContinuous"/>
    </xf>
    <xf numFmtId="173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/>
    <xf numFmtId="41" fontId="0" fillId="0" borderId="0" xfId="4" applyFont="1" applyFill="1"/>
    <xf numFmtId="173" fontId="0" fillId="0" borderId="0" xfId="0" applyFont="1" applyFill="1" applyAlignment="1">
      <alignment horizontal="center"/>
    </xf>
    <xf numFmtId="41" fontId="0" fillId="0" borderId="0" xfId="0" applyNumberFormat="1" applyFont="1" applyFill="1" applyBorder="1"/>
    <xf numFmtId="169" fontId="0" fillId="0" borderId="0" xfId="0" applyNumberFormat="1" applyFont="1" applyFill="1" applyBorder="1"/>
    <xf numFmtId="173" fontId="0" fillId="0" borderId="21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3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3" fontId="0" fillId="0" borderId="11" xfId="0" applyFont="1" applyFill="1" applyBorder="1" applyAlignment="1">
      <alignment horizontal="centerContinuous"/>
    </xf>
    <xf numFmtId="173" fontId="0" fillId="0" borderId="4" xfId="0" applyFont="1" applyFill="1" applyBorder="1" applyAlignment="1">
      <alignment horizontal="centerContinuous"/>
    </xf>
    <xf numFmtId="171" fontId="0" fillId="0" borderId="0" xfId="2" applyNumberFormat="1" applyFont="1" applyFill="1"/>
    <xf numFmtId="10" fontId="0" fillId="0" borderId="0" xfId="0" applyNumberFormat="1" applyFont="1" applyFill="1" applyBorder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8" fontId="3" fillId="0" borderId="0" xfId="11" applyNumberFormat="1"/>
    <xf numFmtId="0" fontId="3" fillId="0" borderId="8" xfId="11" applyNumberFormat="1" applyFont="1" applyFill="1" applyBorder="1" applyAlignment="1">
      <alignment horizontal="center"/>
    </xf>
    <xf numFmtId="174" fontId="0" fillId="0" borderId="0" xfId="0" applyNumberFormat="1"/>
    <xf numFmtId="175" fontId="3" fillId="0" borderId="0" xfId="8" applyNumberFormat="1" applyFont="1" applyFill="1"/>
    <xf numFmtId="17" fontId="3" fillId="0" borderId="0" xfId="11" applyNumberFormat="1" applyFont="1" applyFill="1" applyBorder="1" applyAlignment="1"/>
    <xf numFmtId="41" fontId="3" fillId="0" borderId="0" xfId="11" applyFont="1" applyFill="1" applyAlignment="1"/>
    <xf numFmtId="168" fontId="28" fillId="0" borderId="0" xfId="11" applyNumberFormat="1" applyFont="1" applyFill="1" applyBorder="1" applyAlignment="1">
      <alignment horizontal="centerContinuous"/>
    </xf>
    <xf numFmtId="173" fontId="1" fillId="3" borderId="0" xfId="0" applyFont="1" applyFill="1" applyBorder="1" applyAlignment="1">
      <alignment horizontal="centerContinuous" wrapText="1"/>
    </xf>
    <xf numFmtId="6" fontId="0" fillId="0" borderId="0" xfId="2" applyNumberFormat="1" applyFont="1" applyFill="1" applyAlignment="1">
      <alignment horizontal="center"/>
    </xf>
    <xf numFmtId="6" fontId="25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25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6" fontId="3" fillId="0" borderId="1" xfId="13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right"/>
    </xf>
    <xf numFmtId="8" fontId="0" fillId="0" borderId="1" xfId="0" applyNumberFormat="1" applyFont="1" applyFill="1" applyBorder="1"/>
    <xf numFmtId="177" fontId="3" fillId="0" borderId="0" xfId="11" applyNumberFormat="1" applyFont="1" applyFill="1" applyBorder="1" applyAlignment="1">
      <alignment horizontal="center"/>
    </xf>
    <xf numFmtId="7" fontId="3" fillId="0" borderId="13" xfId="11" applyNumberFormat="1" applyFont="1" applyFill="1" applyBorder="1" applyAlignment="1">
      <alignment horizontal="center"/>
    </xf>
    <xf numFmtId="7" fontId="3" fillId="0" borderId="0" xfId="11" applyNumberFormat="1" applyFont="1" applyFill="1" applyBorder="1" applyAlignment="1">
      <alignment horizontal="center"/>
    </xf>
  </cellXfs>
  <cellStyles count="14">
    <cellStyle name="Comma" xfId="1" builtinId="3"/>
    <cellStyle name="Currency" xfId="2" builtinId="4"/>
    <cellStyle name="Input" xfId="3" builtinId="20" customBuiltin="1"/>
    <cellStyle name="Normal" xfId="0" builtinId="0" customBuiltin="1"/>
    <cellStyle name="Normal 2" xfId="9"/>
    <cellStyle name="Normal 3" xfId="10"/>
    <cellStyle name="Normal 5" xfId="13"/>
    <cellStyle name="Normal_DRR AC Study - Utah Valley - 53 MW 90 CF (2.28.2005)" xfId="4"/>
    <cellStyle name="Normal_Exhibit GND-1 - 5.24.2005" xfId="12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Percent" xfId="8" builtinId="5"/>
  </cellStyles>
  <dxfs count="3">
    <dxf>
      <font>
        <b/>
        <i/>
        <condense val="0"/>
        <extend val="0"/>
      </font>
      <fill>
        <patternFill>
          <bgColor indexed="42"/>
        </patternFill>
      </fill>
    </dxf>
    <dxf>
      <font>
        <b/>
        <i/>
        <condense val="0"/>
        <extend val="0"/>
      </font>
      <fill>
        <patternFill>
          <bgColor indexed="42"/>
        </patternFill>
      </fill>
    </dxf>
    <dxf>
      <numFmt numFmtId="178" formatCode="&quot;$&quot;#,##0.00_)&quot;x&quot;"/>
    </dxf>
  </dxfs>
  <tableStyles count="0" defaultTableStyle="TableStyleMedium9" defaultPivotStyle="PivotStyleLight16"/>
  <colors>
    <mruColors>
      <color rgb="FFCCECFF"/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3\06%20-%20UT%20Compliance%20Filing%20-%202013.Q1%20Feb\Scenario\Step%20Studies%202013.Q1\ju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nthly NPV"/>
    </sheetNames>
    <sheetDataSet>
      <sheetData sheetId="0"/>
      <sheetData sheetId="1">
        <row r="2">
          <cell r="M2" t="str">
            <v>UT Compliance 2013.Q1</v>
          </cell>
        </row>
        <row r="4">
          <cell r="M4">
            <v>100</v>
          </cell>
        </row>
        <row r="5">
          <cell r="M5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view="pageBreakPreview" zoomScale="60" workbookViewId="0">
      <selection activeCell="E31" sqref="E31"/>
    </sheetView>
  </sheetViews>
  <sheetFormatPr defaultRowHeight="12.75"/>
  <cols>
    <col min="1" max="1" width="2.83203125" style="157" customWidth="1"/>
    <col min="2" max="2" width="19.1640625" style="157" customWidth="1"/>
    <col min="3" max="5" width="21.6640625" style="157" customWidth="1"/>
    <col min="6" max="6" width="3.33203125" style="157" customWidth="1"/>
    <col min="7" max="7" width="9.33203125" style="157" hidden="1" customWidth="1"/>
    <col min="8" max="8" width="9.33203125" style="155" customWidth="1"/>
    <col min="9" max="16384" width="9.33203125" style="155"/>
  </cols>
  <sheetData>
    <row r="1" spans="2:7" ht="15.75">
      <c r="B1" s="150" t="s">
        <v>76</v>
      </c>
      <c r="C1" s="151"/>
      <c r="D1" s="151"/>
      <c r="E1" s="152"/>
      <c r="F1" s="153"/>
      <c r="G1" s="154"/>
    </row>
    <row r="2" spans="2:7" ht="15.75">
      <c r="B2" s="150"/>
      <c r="C2" s="151"/>
      <c r="D2" s="151"/>
      <c r="E2" s="152"/>
      <c r="F2" s="153"/>
      <c r="G2" s="154"/>
    </row>
    <row r="3" spans="2:7" ht="15.75">
      <c r="B3" s="156" t="s">
        <v>87</v>
      </c>
      <c r="C3" s="156"/>
      <c r="D3" s="156"/>
      <c r="E3" s="150"/>
      <c r="F3" s="153"/>
      <c r="G3" s="154"/>
    </row>
    <row r="4" spans="2:7" ht="15.75">
      <c r="B4" s="7" t="str">
        <f>'Table 1'!B5</f>
        <v>UT Compliance 2013.Q1 - 100.0 MW and 85.0% CF</v>
      </c>
      <c r="C4" s="156"/>
      <c r="D4" s="156"/>
      <c r="E4" s="150"/>
      <c r="F4" s="153"/>
      <c r="G4" s="154"/>
    </row>
    <row r="5" spans="2:7" ht="25.5" customHeight="1">
      <c r="C5" s="158"/>
      <c r="F5" s="153"/>
      <c r="G5" s="154"/>
    </row>
    <row r="6" spans="2:7">
      <c r="B6" s="158" t="s">
        <v>0</v>
      </c>
      <c r="C6" s="159" t="s">
        <v>97</v>
      </c>
      <c r="D6" s="159" t="s">
        <v>101</v>
      </c>
      <c r="E6" s="160" t="s">
        <v>88</v>
      </c>
      <c r="F6" s="153"/>
      <c r="G6" s="211"/>
    </row>
    <row r="7" spans="2:7">
      <c r="B7" s="158"/>
      <c r="C7" s="45" t="str">
        <f>TEXT('Table 1'!G9,"0.0%")&amp;" CF (2)"</f>
        <v>85.0% CF (2)</v>
      </c>
      <c r="D7" s="152" t="s">
        <v>96</v>
      </c>
      <c r="E7" s="161"/>
      <c r="F7" s="153"/>
      <c r="G7" s="212"/>
    </row>
    <row r="8" spans="2:7">
      <c r="B8" s="208">
        <f>'Table 1'!B13</f>
        <v>2014</v>
      </c>
      <c r="C8" s="162">
        <f>'Table 1'!G13</f>
        <v>29.31</v>
      </c>
      <c r="D8" s="162">
        <v>28.34</v>
      </c>
      <c r="E8" s="163">
        <f t="shared" ref="E8:E27" si="0">C8-D8</f>
        <v>0.96999999999999886</v>
      </c>
      <c r="F8" s="153"/>
      <c r="G8" s="213"/>
    </row>
    <row r="9" spans="2:7">
      <c r="B9" s="165">
        <f t="shared" ref="B9:B27" si="1">B8+1</f>
        <v>2015</v>
      </c>
      <c r="C9" s="166">
        <f>'Table 1'!G14</f>
        <v>29.36</v>
      </c>
      <c r="D9" s="166">
        <v>30.22</v>
      </c>
      <c r="E9" s="226">
        <f t="shared" si="0"/>
        <v>-0.85999999999999943</v>
      </c>
      <c r="F9" s="153"/>
      <c r="G9" s="213"/>
    </row>
    <row r="10" spans="2:7">
      <c r="B10" s="165">
        <f t="shared" si="1"/>
        <v>2016</v>
      </c>
      <c r="C10" s="166">
        <f>'Table 1'!G15</f>
        <v>30.49</v>
      </c>
      <c r="D10" s="166">
        <v>31.23</v>
      </c>
      <c r="E10" s="226">
        <f t="shared" si="0"/>
        <v>-0.74000000000000199</v>
      </c>
      <c r="F10" s="153"/>
      <c r="G10" s="213"/>
    </row>
    <row r="11" spans="2:7">
      <c r="B11" s="165">
        <f t="shared" si="1"/>
        <v>2017</v>
      </c>
      <c r="C11" s="166">
        <f>'Table 1'!G16</f>
        <v>32.53</v>
      </c>
      <c r="D11" s="166">
        <v>32.35</v>
      </c>
      <c r="E11" s="167">
        <f t="shared" si="0"/>
        <v>0.17999999999999972</v>
      </c>
      <c r="F11" s="153"/>
      <c r="G11" s="213"/>
    </row>
    <row r="12" spans="2:7">
      <c r="B12" s="165">
        <f t="shared" si="1"/>
        <v>2018</v>
      </c>
      <c r="C12" s="166">
        <f>'Table 1'!G17</f>
        <v>35.090000000000003</v>
      </c>
      <c r="D12" s="166">
        <v>34.69</v>
      </c>
      <c r="E12" s="167">
        <f t="shared" si="0"/>
        <v>0.40000000000000568</v>
      </c>
      <c r="F12" s="153"/>
      <c r="G12" s="213"/>
    </row>
    <row r="13" spans="2:7">
      <c r="B13" s="165">
        <f t="shared" si="1"/>
        <v>2019</v>
      </c>
      <c r="C13" s="166">
        <f>'Table 1'!G18</f>
        <v>35.54</v>
      </c>
      <c r="D13" s="166">
        <v>38.979999999999997</v>
      </c>
      <c r="E13" s="226">
        <f t="shared" si="0"/>
        <v>-3.4399999999999977</v>
      </c>
      <c r="F13" s="153"/>
      <c r="G13" s="213"/>
    </row>
    <row r="14" spans="2:7">
      <c r="B14" s="165">
        <f t="shared" si="1"/>
        <v>2020</v>
      </c>
      <c r="C14" s="166">
        <f>'Table 1'!G19</f>
        <v>38.29</v>
      </c>
      <c r="D14" s="166">
        <v>43.02</v>
      </c>
      <c r="E14" s="226">
        <f t="shared" si="0"/>
        <v>-4.730000000000004</v>
      </c>
      <c r="F14" s="153"/>
      <c r="G14" s="213"/>
    </row>
    <row r="15" spans="2:7">
      <c r="B15" s="165">
        <f t="shared" si="1"/>
        <v>2021</v>
      </c>
      <c r="C15" s="166">
        <f>'Table 1'!G20</f>
        <v>42.86</v>
      </c>
      <c r="D15" s="166">
        <v>45.27</v>
      </c>
      <c r="E15" s="226">
        <f t="shared" si="0"/>
        <v>-2.4100000000000037</v>
      </c>
      <c r="F15" s="153"/>
      <c r="G15" s="213"/>
    </row>
    <row r="16" spans="2:7">
      <c r="B16" s="165">
        <f t="shared" si="1"/>
        <v>2022</v>
      </c>
      <c r="C16" s="166">
        <f>'Table 1'!G21</f>
        <v>48.4</v>
      </c>
      <c r="D16" s="166">
        <v>52.23</v>
      </c>
      <c r="E16" s="226">
        <f t="shared" si="0"/>
        <v>-3.8299999999999983</v>
      </c>
      <c r="F16" s="153"/>
      <c r="G16" s="213"/>
    </row>
    <row r="17" spans="2:7">
      <c r="B17" s="165">
        <f t="shared" si="1"/>
        <v>2023</v>
      </c>
      <c r="C17" s="166">
        <f>'Table 1'!G22</f>
        <v>52.57</v>
      </c>
      <c r="D17" s="166">
        <v>55.96</v>
      </c>
      <c r="E17" s="226">
        <f t="shared" si="0"/>
        <v>-3.3900000000000006</v>
      </c>
      <c r="F17" s="153"/>
      <c r="G17" s="213"/>
    </row>
    <row r="18" spans="2:7">
      <c r="B18" s="165">
        <f t="shared" si="1"/>
        <v>2024</v>
      </c>
      <c r="C18" s="166">
        <f>'Table 1'!G23</f>
        <v>55.04</v>
      </c>
      <c r="D18" s="166">
        <v>58.83</v>
      </c>
      <c r="E18" s="226">
        <f t="shared" si="0"/>
        <v>-3.7899999999999991</v>
      </c>
      <c r="F18" s="153"/>
      <c r="G18" s="213"/>
    </row>
    <row r="19" spans="2:7">
      <c r="B19" s="165">
        <f t="shared" si="1"/>
        <v>2025</v>
      </c>
      <c r="C19" s="166">
        <f>'Table 1'!G24</f>
        <v>59.33</v>
      </c>
      <c r="D19" s="166">
        <v>58.4</v>
      </c>
      <c r="E19" s="167">
        <f t="shared" si="0"/>
        <v>0.92999999999999972</v>
      </c>
      <c r="F19" s="153"/>
      <c r="G19" s="213"/>
    </row>
    <row r="20" spans="2:7">
      <c r="B20" s="165">
        <f t="shared" si="1"/>
        <v>2026</v>
      </c>
      <c r="C20" s="166">
        <f>'Table 1'!G25</f>
        <v>61.5</v>
      </c>
      <c r="D20" s="166">
        <v>62.35</v>
      </c>
      <c r="E20" s="226">
        <f t="shared" si="0"/>
        <v>-0.85000000000000142</v>
      </c>
      <c r="F20" s="153"/>
      <c r="G20" s="213"/>
    </row>
    <row r="21" spans="2:7">
      <c r="B21" s="165">
        <f t="shared" si="1"/>
        <v>2027</v>
      </c>
      <c r="C21" s="166">
        <f>'Table 1'!G26</f>
        <v>63.23</v>
      </c>
      <c r="D21" s="166">
        <v>62.97</v>
      </c>
      <c r="E21" s="167">
        <f t="shared" si="0"/>
        <v>0.25999999999999801</v>
      </c>
      <c r="F21" s="153"/>
      <c r="G21" s="213"/>
    </row>
    <row r="22" spans="2:7">
      <c r="B22" s="165">
        <f t="shared" si="1"/>
        <v>2028</v>
      </c>
      <c r="C22" s="166">
        <f>'Table 1'!G27</f>
        <v>69.510000000000005</v>
      </c>
      <c r="D22" s="166">
        <v>64.349999999999994</v>
      </c>
      <c r="E22" s="167">
        <f t="shared" si="0"/>
        <v>5.1600000000000108</v>
      </c>
      <c r="F22" s="153"/>
      <c r="G22" s="213"/>
    </row>
    <row r="23" spans="2:7">
      <c r="B23" s="165">
        <f t="shared" si="1"/>
        <v>2029</v>
      </c>
      <c r="C23" s="166">
        <f>'Table 1'!G28</f>
        <v>71.8</v>
      </c>
      <c r="D23" s="166">
        <v>66.11</v>
      </c>
      <c r="E23" s="167">
        <f t="shared" si="0"/>
        <v>5.6899999999999977</v>
      </c>
      <c r="F23" s="153"/>
      <c r="G23" s="213"/>
    </row>
    <row r="24" spans="2:7">
      <c r="B24" s="165">
        <f t="shared" si="1"/>
        <v>2030</v>
      </c>
      <c r="C24" s="166">
        <f>'Table 1'!G29</f>
        <v>72.52</v>
      </c>
      <c r="D24" s="166">
        <v>66.97</v>
      </c>
      <c r="E24" s="167">
        <f t="shared" si="0"/>
        <v>5.5499999999999972</v>
      </c>
      <c r="F24" s="153"/>
      <c r="G24" s="213"/>
    </row>
    <row r="25" spans="2:7">
      <c r="B25" s="165">
        <f t="shared" si="1"/>
        <v>2031</v>
      </c>
      <c r="C25" s="166">
        <f>'Table 1'!G30</f>
        <v>73.36</v>
      </c>
      <c r="D25" s="166">
        <v>68.81</v>
      </c>
      <c r="E25" s="167">
        <f t="shared" si="0"/>
        <v>4.5499999999999972</v>
      </c>
      <c r="F25" s="153"/>
      <c r="G25" s="213"/>
    </row>
    <row r="26" spans="2:7">
      <c r="B26" s="165">
        <f t="shared" si="1"/>
        <v>2032</v>
      </c>
      <c r="C26" s="166">
        <f>'Table 1'!G31</f>
        <v>74.77</v>
      </c>
      <c r="D26" s="166">
        <v>69.98</v>
      </c>
      <c r="E26" s="167">
        <f t="shared" si="0"/>
        <v>4.789999999999992</v>
      </c>
      <c r="F26" s="164"/>
      <c r="G26" s="213"/>
    </row>
    <row r="27" spans="2:7">
      <c r="B27" s="168">
        <f t="shared" si="1"/>
        <v>2033</v>
      </c>
      <c r="C27" s="169">
        <f>'Table 1'!G32</f>
        <v>76.010000000000005</v>
      </c>
      <c r="D27" s="220">
        <v>71.459999999999994</v>
      </c>
      <c r="E27" s="170">
        <f t="shared" si="0"/>
        <v>4.5500000000000114</v>
      </c>
      <c r="F27" s="164"/>
      <c r="G27" s="213"/>
    </row>
    <row r="28" spans="2:7">
      <c r="D28" s="158"/>
      <c r="F28" s="153"/>
    </row>
    <row r="29" spans="2:7">
      <c r="B29" s="171" t="str">
        <f>"20-Year Levelized Prices (Nominal) @ "&amp;TEXT(Discount_Rate,"0.000%")&amp;" Discount Rate (1) (3)"</f>
        <v>20-Year Levelized Prices (Nominal) @ 7.154% Discount Rate (1) (3)</v>
      </c>
      <c r="D29" s="158"/>
      <c r="G29" s="157" t="s">
        <v>100</v>
      </c>
    </row>
    <row r="30" spans="2:7">
      <c r="B30" s="172" t="s">
        <v>62</v>
      </c>
      <c r="C30" s="225">
        <f>ROUND(PMT($G$30,COUNT(C8:C27),-NPV($G$30,C8:C27)),2)</f>
        <v>46.16</v>
      </c>
      <c r="D30" s="225">
        <f>ROUND(PMT($G$30,COUNT(D8:D27),-NPV($G$30,D8:D27)),2)</f>
        <v>46.42</v>
      </c>
      <c r="E30" s="227">
        <f t="shared" ref="E30" si="2">C30-D30</f>
        <v>-0.26000000000000512</v>
      </c>
      <c r="F30" s="153"/>
      <c r="G30" s="210">
        <v>7.1540000000000006E-2</v>
      </c>
    </row>
    <row r="31" spans="2:7" ht="5.25" customHeight="1">
      <c r="B31" s="172"/>
      <c r="C31" s="166"/>
      <c r="D31" s="166"/>
      <c r="E31" s="166"/>
      <c r="F31" s="153"/>
    </row>
    <row r="32" spans="2:7">
      <c r="B32" s="172"/>
      <c r="C32" s="166"/>
      <c r="D32" s="166"/>
      <c r="E32" s="166"/>
      <c r="F32" s="153"/>
    </row>
    <row r="33" spans="2:6" ht="5.25" customHeight="1">
      <c r="D33" s="207"/>
      <c r="F33" s="153"/>
    </row>
    <row r="34" spans="2:6">
      <c r="B34" s="157" t="s">
        <v>34</v>
      </c>
      <c r="C34" s="173"/>
      <c r="D34" s="174"/>
      <c r="E34" s="174"/>
      <c r="F34" s="153"/>
    </row>
    <row r="35" spans="2:6">
      <c r="B35" s="44" t="s">
        <v>110</v>
      </c>
      <c r="D35" s="153"/>
      <c r="E35" s="153"/>
      <c r="F35" s="153"/>
    </row>
    <row r="36" spans="2:6">
      <c r="B36" s="44" t="s">
        <v>111</v>
      </c>
      <c r="F36" s="153"/>
    </row>
    <row r="37" spans="2:6">
      <c r="B37" s="157" t="str">
        <f>"(3)   20-Year NPC is "&amp;B8&amp;" - "&amp;B27</f>
        <v>(3)   20-Year NPC is 2014 - 2033</v>
      </c>
    </row>
    <row r="38" spans="2:6" hidden="1">
      <c r="B38" s="19" t="s">
        <v>105</v>
      </c>
    </row>
    <row r="40" spans="2:6">
      <c r="C40" s="166"/>
      <c r="D40" s="166"/>
    </row>
    <row r="42" spans="2:6">
      <c r="C42" s="175"/>
      <c r="D42" s="175"/>
      <c r="E42" s="175"/>
    </row>
  </sheetData>
  <conditionalFormatting sqref="D8:D25">
    <cfRule type="expression" dxfId="2" priority="1">
      <formula>ISNA(G8)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6"/>
  <sheetViews>
    <sheetView view="pageBreakPreview" zoomScaleSheetLayoutView="100" workbookViewId="0"/>
  </sheetViews>
  <sheetFormatPr defaultRowHeight="12.75"/>
  <cols>
    <col min="1" max="1" width="2.83203125" style="6" customWidth="1"/>
    <col min="2" max="2" width="10.83203125" style="6" customWidth="1"/>
    <col min="3" max="3" width="18.83203125" style="6" customWidth="1"/>
    <col min="4" max="4" width="3.1640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hidden="1" customWidth="1"/>
    <col min="10" max="10" width="9.33203125" customWidth="1"/>
  </cols>
  <sheetData>
    <row r="1" spans="2:9" ht="15.75">
      <c r="B1" s="1" t="s">
        <v>76</v>
      </c>
      <c r="C1" s="5"/>
      <c r="D1" s="5"/>
      <c r="E1" s="5"/>
      <c r="F1" s="5"/>
      <c r="G1" s="46"/>
      <c r="H1" s="125"/>
      <c r="I1" s="8"/>
    </row>
    <row r="2" spans="2:9" ht="15.75">
      <c r="B2" s="1"/>
      <c r="C2" s="5"/>
      <c r="D2" s="5"/>
      <c r="E2" s="5"/>
      <c r="G2" s="46"/>
      <c r="H2" s="125"/>
      <c r="I2" s="8"/>
    </row>
    <row r="3" spans="2:9" ht="15.75">
      <c r="B3" s="1" t="s">
        <v>39</v>
      </c>
      <c r="C3" s="5"/>
      <c r="D3" s="5"/>
      <c r="E3" s="5"/>
      <c r="F3" s="5"/>
      <c r="G3" s="46"/>
      <c r="H3" s="125"/>
      <c r="I3" s="8"/>
    </row>
    <row r="4" spans="2:9" ht="15.75">
      <c r="B4" s="7" t="s">
        <v>36</v>
      </c>
      <c r="C4" s="7"/>
      <c r="D4" s="7"/>
      <c r="E4" s="7"/>
      <c r="F4" s="7"/>
      <c r="G4" s="1"/>
      <c r="H4" s="125"/>
      <c r="I4" s="8"/>
    </row>
    <row r="5" spans="2:9" ht="15.75">
      <c r="B5" s="7" t="s">
        <v>106</v>
      </c>
      <c r="C5" s="7"/>
      <c r="D5" s="7"/>
      <c r="E5" s="7"/>
      <c r="F5" s="7"/>
      <c r="G5" s="1"/>
      <c r="H5" s="125"/>
      <c r="I5" s="8"/>
    </row>
    <row r="6" spans="2:9" ht="14.25">
      <c r="B6" s="7" t="str">
        <f>"Partial Displacement of a "&amp;'Table 4'!C54</f>
        <v xml:space="preserve">Partial Displacement of a 2028 CCCT (400 MW 1x1) </v>
      </c>
      <c r="C6" s="7"/>
      <c r="D6" s="7"/>
      <c r="E6" s="7"/>
      <c r="F6" s="7"/>
      <c r="G6" s="46"/>
      <c r="H6" s="125"/>
      <c r="I6" s="8"/>
    </row>
    <row r="7" spans="2:9">
      <c r="C7" s="10"/>
      <c r="D7" s="10"/>
      <c r="H7" s="125"/>
      <c r="I7" t="s">
        <v>89</v>
      </c>
    </row>
    <row r="8" spans="2:9">
      <c r="E8" s="47"/>
      <c r="F8" s="128"/>
      <c r="G8" s="9" t="s">
        <v>32</v>
      </c>
      <c r="H8" s="125"/>
      <c r="I8" s="144">
        <v>1</v>
      </c>
    </row>
    <row r="9" spans="2:9">
      <c r="C9" s="9" t="s">
        <v>7</v>
      </c>
      <c r="D9" s="9"/>
      <c r="E9" s="47" t="s">
        <v>37</v>
      </c>
      <c r="F9" s="128"/>
      <c r="G9" s="149">
        <v>0.85</v>
      </c>
      <c r="H9" s="125"/>
      <c r="I9"/>
    </row>
    <row r="10" spans="2:9">
      <c r="B10" s="9" t="s">
        <v>0</v>
      </c>
      <c r="C10" s="9" t="str">
        <f>"Price"&amp;IF(I8&lt;&gt;1," (6)","")</f>
        <v>Price</v>
      </c>
      <c r="D10" s="9"/>
      <c r="E10" s="47" t="s">
        <v>38</v>
      </c>
      <c r="F10" s="128"/>
      <c r="G10" s="47" t="s">
        <v>33</v>
      </c>
      <c r="H10" s="125"/>
      <c r="I10" s="209"/>
    </row>
    <row r="11" spans="2:9" ht="13.5">
      <c r="B11" s="9"/>
      <c r="C11" s="9" t="s">
        <v>35</v>
      </c>
      <c r="D11" s="9"/>
      <c r="E11" s="176" t="s">
        <v>92</v>
      </c>
      <c r="F11" s="128"/>
      <c r="G11" s="47" t="s">
        <v>62</v>
      </c>
      <c r="H11" s="125"/>
      <c r="I11" s="209"/>
    </row>
    <row r="12" spans="2:9">
      <c r="B12" s="9"/>
      <c r="C12" s="16"/>
      <c r="D12" s="47"/>
      <c r="E12" s="47"/>
      <c r="F12" s="47"/>
      <c r="H12" s="125"/>
      <c r="I12" s="209"/>
    </row>
    <row r="13" spans="2:9">
      <c r="B13" s="74">
        <f>'Table 2'!B12</f>
        <v>2014</v>
      </c>
      <c r="C13" s="11">
        <f>IF(VLOOKUP(B13,'Table 4'!$B$11:$K$41,9,FALSE)&lt;&gt;0,VLOOKUP(B13,'Table 4'!$B$11:$K$41,7,FALSE),0)*$I$8</f>
        <v>0</v>
      </c>
      <c r="D13" s="11"/>
      <c r="E13" s="11">
        <f>'Table 2'!C12</f>
        <v>29.30662547792442</v>
      </c>
      <c r="F13" s="138"/>
      <c r="G13" s="48">
        <f>ROUND((C13*1000/(IF(MOD(B13,4)=0,8784,8760)*$G$9)+E13),2)</f>
        <v>29.31</v>
      </c>
      <c r="H13" s="125"/>
      <c r="I13"/>
    </row>
    <row r="14" spans="2:9">
      <c r="B14" s="75">
        <f t="shared" ref="B14:B32" si="0">B13+1</f>
        <v>2015</v>
      </c>
      <c r="C14" s="12">
        <f>IF(VLOOKUP(B14,'Table 4'!$B$11:$K$41,9,FALSE)&lt;&gt;0,VLOOKUP(B14,'Table 4'!$B$11:$K$41,7,FALSE),0)*$I$8</f>
        <v>0</v>
      </c>
      <c r="D14" s="140" t="str">
        <f t="shared" ref="D14:D32" si="1">IF(B14=2028,"(4)","")</f>
        <v/>
      </c>
      <c r="E14" s="12">
        <f>'Table 2'!C13</f>
        <v>29.35568202050149</v>
      </c>
      <c r="F14" s="126"/>
      <c r="G14" s="49">
        <f>ROUND((C14*1000/(IF(MOD(B14,4)=0,8784,8760)*$G$9)+E14),2)</f>
        <v>29.36</v>
      </c>
      <c r="H14" s="125"/>
      <c r="I14"/>
    </row>
    <row r="15" spans="2:9">
      <c r="B15" s="75">
        <f t="shared" si="0"/>
        <v>2016</v>
      </c>
      <c r="C15" s="12">
        <f>IF(VLOOKUP(B15,'Table 4'!$B$11:$K$41,9,FALSE)&lt;&gt;0,VLOOKUP(B15,'Table 4'!$B$11:$K$41,7,FALSE),0)*$I$8</f>
        <v>0</v>
      </c>
      <c r="D15" s="140" t="str">
        <f t="shared" si="1"/>
        <v/>
      </c>
      <c r="E15" s="12">
        <f>'Table 2'!C14</f>
        <v>30.486382097987121</v>
      </c>
      <c r="F15" s="126"/>
      <c r="G15" s="49">
        <f t="shared" ref="G15:G32" si="2">ROUND((C15*1000/(IF(MOD(B15,4)=0,8784,8760)*$G$9)+E15),2)</f>
        <v>30.49</v>
      </c>
      <c r="H15" s="125"/>
      <c r="I15"/>
    </row>
    <row r="16" spans="2:9">
      <c r="B16" s="75">
        <f t="shared" si="0"/>
        <v>2017</v>
      </c>
      <c r="C16" s="12">
        <f>IF(VLOOKUP(B16,'Table 4'!$B$11:$K$41,9,FALSE)&lt;&gt;0,VLOOKUP(B16,'Table 4'!$B$11:$K$41,7,FALSE),0)*$I$8</f>
        <v>0</v>
      </c>
      <c r="D16" s="140" t="str">
        <f t="shared" si="1"/>
        <v/>
      </c>
      <c r="E16" s="12">
        <f>'Table 2'!C15</f>
        <v>32.534588467924948</v>
      </c>
      <c r="F16" s="126"/>
      <c r="G16" s="49">
        <f t="shared" si="2"/>
        <v>32.53</v>
      </c>
      <c r="H16" s="125"/>
      <c r="I16"/>
    </row>
    <row r="17" spans="2:9">
      <c r="B17" s="75">
        <f t="shared" si="0"/>
        <v>2018</v>
      </c>
      <c r="C17" s="12">
        <f>IF(VLOOKUP(B17,'Table 4'!$B$11:$K$41,9,FALSE)&lt;&gt;0,VLOOKUP(B17,'Table 4'!$B$11:$K$41,7,FALSE),0)*$I$8</f>
        <v>0</v>
      </c>
      <c r="D17" s="140" t="str">
        <f t="shared" si="1"/>
        <v/>
      </c>
      <c r="E17" s="12">
        <f>'Table 2'!C16</f>
        <v>35.091886436237367</v>
      </c>
      <c r="F17" s="126"/>
      <c r="G17" s="49">
        <f t="shared" si="2"/>
        <v>35.090000000000003</v>
      </c>
      <c r="H17" s="125"/>
      <c r="I17"/>
    </row>
    <row r="18" spans="2:9">
      <c r="B18" s="75">
        <f t="shared" si="0"/>
        <v>2019</v>
      </c>
      <c r="C18" s="12">
        <f>IF(VLOOKUP(B18,'Table 4'!$B$11:$K$41,9,FALSE)&lt;&gt;0,VLOOKUP(B18,'Table 4'!$B$11:$K$41,7,FALSE),0)*$I$8</f>
        <v>0</v>
      </c>
      <c r="D18" s="140" t="str">
        <f t="shared" si="1"/>
        <v/>
      </c>
      <c r="E18" s="12">
        <f>'Table 2'!C17</f>
        <v>35.541489006299152</v>
      </c>
      <c r="F18" s="126"/>
      <c r="G18" s="49">
        <f t="shared" si="2"/>
        <v>35.54</v>
      </c>
      <c r="H18" s="125"/>
      <c r="I18"/>
    </row>
    <row r="19" spans="2:9">
      <c r="B19" s="75">
        <f t="shared" si="0"/>
        <v>2020</v>
      </c>
      <c r="C19" s="12">
        <f>IF(VLOOKUP(B19,'Table 4'!$B$11:$K$41,9,FALSE)&lt;&gt;0,VLOOKUP(B19,'Table 4'!$B$11:$K$41,7,FALSE),0)*$I$8</f>
        <v>0</v>
      </c>
      <c r="D19" s="140" t="str">
        <f t="shared" si="1"/>
        <v/>
      </c>
      <c r="E19" s="12">
        <f>'Table 2'!C18</f>
        <v>38.292222299528738</v>
      </c>
      <c r="F19" s="126"/>
      <c r="G19" s="49">
        <f t="shared" si="2"/>
        <v>38.29</v>
      </c>
      <c r="H19" s="125"/>
      <c r="I19"/>
    </row>
    <row r="20" spans="2:9">
      <c r="B20" s="75">
        <f t="shared" si="0"/>
        <v>2021</v>
      </c>
      <c r="C20" s="12">
        <f>IF(VLOOKUP(B20,'Table 4'!$B$11:$K$41,9,FALSE)&lt;&gt;0,VLOOKUP(B20,'Table 4'!$B$11:$K$41,7,FALSE),0)*$I$8</f>
        <v>0</v>
      </c>
      <c r="D20" s="140" t="str">
        <f t="shared" si="1"/>
        <v/>
      </c>
      <c r="E20" s="12">
        <f>'Table 2'!C19</f>
        <v>42.864118760059895</v>
      </c>
      <c r="F20" s="126"/>
      <c r="G20" s="49">
        <f>ROUND((C20*1000/(IF(MOD(B20,4)=0,8784,8760)*$G$9)+E20),2)</f>
        <v>42.86</v>
      </c>
      <c r="H20" s="125"/>
      <c r="I20"/>
    </row>
    <row r="21" spans="2:9">
      <c r="B21" s="75">
        <f t="shared" si="0"/>
        <v>2022</v>
      </c>
      <c r="C21" s="12">
        <f>IF(VLOOKUP(B21,'Table 4'!$B$11:$K$41,9,FALSE)&lt;&gt;0,VLOOKUP(B21,'Table 4'!$B$11:$K$41,7,FALSE),0)*$I$8</f>
        <v>0</v>
      </c>
      <c r="D21" s="140" t="str">
        <f t="shared" si="1"/>
        <v/>
      </c>
      <c r="E21" s="12">
        <f>'Table 2'!C20</f>
        <v>48.399171421300522</v>
      </c>
      <c r="F21" s="126"/>
      <c r="G21" s="49">
        <f t="shared" si="2"/>
        <v>48.4</v>
      </c>
      <c r="H21" s="125"/>
      <c r="I21"/>
    </row>
    <row r="22" spans="2:9">
      <c r="B22" s="75">
        <f t="shared" si="0"/>
        <v>2023</v>
      </c>
      <c r="C22" s="12">
        <f>IF(VLOOKUP(B22,'Table 4'!$B$11:$K$41,9,FALSE)&lt;&gt;0,VLOOKUP(B22,'Table 4'!$B$11:$K$41,7,FALSE),0)*$I$8</f>
        <v>0</v>
      </c>
      <c r="D22" s="140" t="str">
        <f t="shared" si="1"/>
        <v/>
      </c>
      <c r="E22" s="12">
        <f>'Table 2'!C21</f>
        <v>52.571582341929002</v>
      </c>
      <c r="F22" s="126"/>
      <c r="G22" s="49">
        <f t="shared" si="2"/>
        <v>52.57</v>
      </c>
      <c r="H22" s="125"/>
      <c r="I22"/>
    </row>
    <row r="23" spans="2:9">
      <c r="B23" s="75">
        <f t="shared" si="0"/>
        <v>2024</v>
      </c>
      <c r="C23" s="12">
        <f>IF(VLOOKUP(B23,'Table 4'!$B$11:$K$41,9,FALSE)&lt;&gt;0,VLOOKUP(B23,'Table 4'!$B$11:$K$41,7,FALSE),0)*$I$8</f>
        <v>0</v>
      </c>
      <c r="D23" s="140" t="str">
        <f t="shared" si="1"/>
        <v/>
      </c>
      <c r="E23" s="12">
        <f>'Table 2'!C22</f>
        <v>55.04082022605283</v>
      </c>
      <c r="F23" s="126"/>
      <c r="G23" s="49">
        <f t="shared" si="2"/>
        <v>55.04</v>
      </c>
      <c r="H23" s="125"/>
      <c r="I23"/>
    </row>
    <row r="24" spans="2:9">
      <c r="B24" s="75">
        <f t="shared" si="0"/>
        <v>2025</v>
      </c>
      <c r="C24" s="12">
        <f>IF(VLOOKUP(B24,'Table 4'!$B$11:$K$41,9,FALSE)&lt;&gt;0,VLOOKUP(B24,'Table 4'!$B$11:$K$41,7,FALSE),0)*$I$8</f>
        <v>0</v>
      </c>
      <c r="D24" s="140" t="str">
        <f t="shared" si="1"/>
        <v/>
      </c>
      <c r="E24" s="12">
        <f>'Table 2'!C23</f>
        <v>59.331816557655081</v>
      </c>
      <c r="F24" s="126"/>
      <c r="G24" s="49">
        <f t="shared" si="2"/>
        <v>59.33</v>
      </c>
      <c r="H24" s="125"/>
      <c r="I24"/>
    </row>
    <row r="25" spans="2:9">
      <c r="B25" s="75">
        <f t="shared" si="0"/>
        <v>2026</v>
      </c>
      <c r="C25" s="12">
        <f>IF(VLOOKUP(B25,'Table 4'!$B$11:$K$41,9,FALSE)&lt;&gt;0,VLOOKUP(B25,'Table 4'!$B$11:$K$41,7,FALSE),0)*$I$8</f>
        <v>0</v>
      </c>
      <c r="D25" s="140" t="str">
        <f t="shared" si="1"/>
        <v/>
      </c>
      <c r="E25" s="12">
        <f>'Table 2'!C24</f>
        <v>61.495345345809518</v>
      </c>
      <c r="F25" s="126"/>
      <c r="G25" s="49">
        <f t="shared" si="2"/>
        <v>61.5</v>
      </c>
      <c r="H25" s="125"/>
      <c r="I25"/>
    </row>
    <row r="26" spans="2:9">
      <c r="B26" s="75">
        <f t="shared" si="0"/>
        <v>2027</v>
      </c>
      <c r="C26" s="12">
        <f>IF(VLOOKUP(B26,'Table 4'!$B$11:$K$41,9,FALSE)&lt;&gt;0,VLOOKUP(B26,'Table 4'!$B$11:$K$41,7,FALSE),0)*$I$8</f>
        <v>0</v>
      </c>
      <c r="D26" s="12" t="str">
        <f t="shared" si="1"/>
        <v/>
      </c>
      <c r="E26" s="12">
        <f>'Table 2'!C25</f>
        <v>63.227155782890165</v>
      </c>
      <c r="F26" s="126"/>
      <c r="G26" s="49">
        <f>ROUND((C26*1000/(IF(MOD(B26,4)=0,8784,8760)*$G$9)+E26),2)</f>
        <v>63.23</v>
      </c>
      <c r="H26" s="125"/>
      <c r="I26"/>
    </row>
    <row r="27" spans="2:9">
      <c r="B27" s="75">
        <f t="shared" si="0"/>
        <v>2028</v>
      </c>
      <c r="C27" s="12">
        <f>IF(VLOOKUP(B27,'Table 4'!$B$11:$K$41,9,FALSE)&lt;&gt;0,VLOOKUP(B27,'Table 4'!$B$11:$K$41,7,FALSE),0)*$I$8</f>
        <v>193.14</v>
      </c>
      <c r="D27" s="12" t="str">
        <f t="shared" si="1"/>
        <v>(4)</v>
      </c>
      <c r="E27" s="12">
        <f>'Table 2'!C26</f>
        <v>43.639162805099446</v>
      </c>
      <c r="F27" s="126"/>
      <c r="G27" s="49">
        <f t="shared" si="2"/>
        <v>69.510000000000005</v>
      </c>
      <c r="H27" s="125"/>
      <c r="I27"/>
    </row>
    <row r="28" spans="2:9">
      <c r="B28" s="75">
        <f t="shared" si="0"/>
        <v>2029</v>
      </c>
      <c r="C28" s="12">
        <f>IF(VLOOKUP(B28,'Table 4'!$B$11:$K$41,9,FALSE)&lt;&gt;0,VLOOKUP(B28,'Table 4'!$B$11:$K$41,7,FALSE),0)*$I$8</f>
        <v>196.79</v>
      </c>
      <c r="D28" s="12" t="str">
        <f t="shared" si="1"/>
        <v/>
      </c>
      <c r="E28" s="12">
        <f>'Table 2'!C27</f>
        <v>45.372023995098104</v>
      </c>
      <c r="F28" s="126"/>
      <c r="G28" s="49">
        <f t="shared" si="2"/>
        <v>71.8</v>
      </c>
      <c r="H28" s="125"/>
      <c r="I28"/>
    </row>
    <row r="29" spans="2:9">
      <c r="B29" s="75">
        <f t="shared" si="0"/>
        <v>2030</v>
      </c>
      <c r="C29" s="12">
        <f>IF(VLOOKUP(B29,'Table 4'!$B$11:$K$41,9,FALSE)&lt;&gt;0,VLOOKUP(B29,'Table 4'!$B$11:$K$41,7,FALSE),0)*$I$8</f>
        <v>200.54</v>
      </c>
      <c r="D29" s="12" t="str">
        <f t="shared" si="1"/>
        <v/>
      </c>
      <c r="E29" s="12">
        <f>'Table 2'!C28</f>
        <v>45.584420656149916</v>
      </c>
      <c r="F29" s="126"/>
      <c r="G29" s="49">
        <f t="shared" si="2"/>
        <v>72.52</v>
      </c>
      <c r="H29" s="125"/>
      <c r="I29"/>
    </row>
    <row r="30" spans="2:9">
      <c r="B30" s="75">
        <f t="shared" si="0"/>
        <v>2031</v>
      </c>
      <c r="C30" s="12">
        <f>IF(VLOOKUP(B30,'Table 4'!$B$11:$K$41,9,FALSE)&lt;&gt;0,VLOOKUP(B30,'Table 4'!$B$11:$K$41,7,FALSE),0)*$I$8</f>
        <v>204.36</v>
      </c>
      <c r="D30" s="12" t="str">
        <f t="shared" si="1"/>
        <v/>
      </c>
      <c r="E30" s="12">
        <f>'Table 2'!C29</f>
        <v>45.912975853613361</v>
      </c>
      <c r="F30" s="126"/>
      <c r="G30" s="49">
        <f t="shared" si="2"/>
        <v>73.36</v>
      </c>
      <c r="H30" s="125"/>
      <c r="I30"/>
    </row>
    <row r="31" spans="2:9">
      <c r="B31" s="75">
        <f t="shared" si="0"/>
        <v>2032</v>
      </c>
      <c r="C31" s="12">
        <f>IF(VLOOKUP(B31,'Table 4'!$B$11:$K$41,9,FALSE)&lt;&gt;0,VLOOKUP(B31,'Table 4'!$B$11:$K$41,7,FALSE),0)*$I$8</f>
        <v>208.25</v>
      </c>
      <c r="D31" s="12" t="str">
        <f t="shared" si="1"/>
        <v/>
      </c>
      <c r="E31" s="12">
        <f>'Table 2'!C30</f>
        <v>46.876484112275016</v>
      </c>
      <c r="F31" s="126"/>
      <c r="G31" s="49">
        <f t="shared" si="2"/>
        <v>74.77</v>
      </c>
      <c r="H31" s="125"/>
      <c r="I31"/>
    </row>
    <row r="32" spans="2:9">
      <c r="B32" s="76">
        <f t="shared" si="0"/>
        <v>2033</v>
      </c>
      <c r="C32" s="21">
        <f>IF(VLOOKUP(B32,'Table 4'!$B$11:$K$41,9,FALSE)&lt;&gt;0,VLOOKUP(B32,'Table 4'!$B$11:$K$41,7,FALSE),0)*$I$8</f>
        <v>212.2</v>
      </c>
      <c r="D32" s="21" t="str">
        <f t="shared" si="1"/>
        <v/>
      </c>
      <c r="E32" s="21">
        <f>'Table 2'!C31</f>
        <v>47.511782478686783</v>
      </c>
      <c r="F32" s="139"/>
      <c r="G32" s="50">
        <f t="shared" si="2"/>
        <v>76.010000000000005</v>
      </c>
      <c r="H32" s="125"/>
      <c r="I32"/>
    </row>
    <row r="33" spans="2:9">
      <c r="D33" s="12"/>
      <c r="F33" s="126"/>
      <c r="H33" s="125"/>
      <c r="I33" s="145" t="s">
        <v>99</v>
      </c>
    </row>
    <row r="34" spans="2:9">
      <c r="B34" s="171" t="str">
        <f>"20-Year Levelized Prices (Nominal) @ "&amp;TEXT(I34,"0.000%")&amp;" Discount Rate (1) (3) "</f>
        <v xml:space="preserve">20-Year Levelized Prices (Nominal) @ 7.154% Discount Rate (1) (3) </v>
      </c>
      <c r="E34" s="8"/>
      <c r="I34" s="210">
        <v>7.1540000000000006E-2</v>
      </c>
    </row>
    <row r="35" spans="2:9">
      <c r="B35" s="142" t="s">
        <v>9</v>
      </c>
      <c r="C35" s="12">
        <f>-PMT(Discount_Rate,COUNT(C13:C32),NPV(Discount_Rate,C13:C32))</f>
        <v>34.755526800838574</v>
      </c>
      <c r="D35" s="12"/>
      <c r="H35" s="125"/>
    </row>
    <row r="36" spans="2:9">
      <c r="B36" s="143" t="s">
        <v>62</v>
      </c>
      <c r="E36" s="12">
        <f>PMT(Discount_Rate,COUNT(E13:E32),-NPV(Discount_Rate,E13:E32))</f>
        <v>41.492889941146139</v>
      </c>
      <c r="G36" s="12">
        <f>ROUND(PMT(Discount_Rate,COUNT(G13:G32),-NPV(Discount_Rate,G13:G32)),2)</f>
        <v>46.16</v>
      </c>
      <c r="H36" s="125"/>
    </row>
    <row r="37" spans="2:9">
      <c r="F37" s="127"/>
      <c r="H37" s="125"/>
    </row>
    <row r="38" spans="2:9">
      <c r="B38" s="6" t="s">
        <v>34</v>
      </c>
      <c r="E38" s="127"/>
      <c r="G38" s="127"/>
      <c r="H38" s="125"/>
    </row>
    <row r="39" spans="2:9">
      <c r="B39" s="44" t="s">
        <v>110</v>
      </c>
      <c r="E39" s="125"/>
      <c r="F39" s="127"/>
      <c r="G39" s="125"/>
      <c r="H39" s="125"/>
    </row>
    <row r="40" spans="2:9">
      <c r="B40" s="6" t="s">
        <v>112</v>
      </c>
      <c r="F40" s="127"/>
      <c r="H40" s="125"/>
    </row>
    <row r="41" spans="2:9">
      <c r="B41" s="6" t="str">
        <f>"(3)   20 Year NPC is "&amp;TEXT(B13,"???0")&amp;" - "&amp;TEXT(B32,"???0")</f>
        <v>(3)   20 Year NPC is 2014 - 2033</v>
      </c>
    </row>
    <row r="42" spans="2:9">
      <c r="B42" s="19" t="str">
        <f>"(4)   Capacity payments are from a "&amp;'Table 4'!C54</f>
        <v xml:space="preserve">(4)   Capacity payments are from a 2028 CCCT (400 MW 1x1) </v>
      </c>
      <c r="F42" s="125"/>
    </row>
    <row r="43" spans="2:9" hidden="1">
      <c r="B43" s="19" t="s">
        <v>107</v>
      </c>
      <c r="C43" s="10"/>
      <c r="D43" s="10"/>
      <c r="E43" s="10"/>
      <c r="G43" s="10"/>
    </row>
    <row r="44" spans="2:9" hidden="1">
      <c r="B44" s="19" t="s">
        <v>108</v>
      </c>
    </row>
    <row r="45" spans="2:9">
      <c r="B45" s="148" t="str">
        <f>IF(I8&lt;&gt;1,"(6) Capacity Payment is adjusted by "&amp;TEXT(I8,"0.0%")&amp;" Capacity Contribution.","")</f>
        <v/>
      </c>
    </row>
    <row r="46" spans="2:9">
      <c r="F46" s="1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B1:Q52"/>
  <sheetViews>
    <sheetView view="pageBreakPreview" zoomScale="85" zoomScaleSheetLayoutView="85" workbookViewId="0"/>
  </sheetViews>
  <sheetFormatPr defaultRowHeight="12.75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4.83203125" style="6" customWidth="1"/>
    <col min="18" max="16384" width="9.33203125" style="6"/>
  </cols>
  <sheetData>
    <row r="1" spans="2:17" s="14" customFormat="1" ht="15.75">
      <c r="B1" s="1" t="s">
        <v>76</v>
      </c>
      <c r="C1" s="1"/>
      <c r="D1" s="1"/>
      <c r="E1" s="1"/>
      <c r="F1" s="1"/>
      <c r="G1" s="17"/>
      <c r="H1" s="1"/>
      <c r="I1" s="1"/>
      <c r="J1" s="1"/>
      <c r="K1" s="1"/>
      <c r="L1" s="22"/>
      <c r="M1" s="23"/>
      <c r="N1" s="23"/>
      <c r="O1" s="23"/>
      <c r="P1" s="23"/>
      <c r="Q1" s="23"/>
    </row>
    <row r="2" spans="2:17" s="14" customFormat="1" ht="15.75">
      <c r="B2" s="1"/>
      <c r="C2" s="1"/>
      <c r="D2" s="1"/>
      <c r="E2" s="1"/>
      <c r="F2" s="1"/>
      <c r="G2" s="17"/>
      <c r="H2" s="1"/>
      <c r="I2" s="1"/>
      <c r="J2" s="1"/>
      <c r="K2" s="1"/>
      <c r="L2" s="22"/>
      <c r="M2" s="23"/>
      <c r="N2" s="23"/>
      <c r="O2" s="23"/>
      <c r="P2" s="23"/>
      <c r="Q2" s="23"/>
    </row>
    <row r="3" spans="2:17" s="14" customFormat="1" ht="15.75">
      <c r="B3" s="1" t="str">
        <f>"Table "&amp;RIGHT('Table 1'!B3,1)+1</f>
        <v>Table 2</v>
      </c>
      <c r="C3" s="1"/>
      <c r="D3" s="1"/>
      <c r="E3" s="1"/>
      <c r="F3" s="1"/>
      <c r="G3" s="17"/>
      <c r="H3" s="1"/>
      <c r="I3" s="1"/>
      <c r="J3" s="1"/>
      <c r="K3" s="1"/>
      <c r="L3" s="22"/>
      <c r="M3" s="23"/>
      <c r="N3" s="23"/>
      <c r="O3" s="23"/>
      <c r="P3" s="23"/>
      <c r="Q3" s="23"/>
    </row>
    <row r="4" spans="2:17" s="18" customFormat="1" ht="15">
      <c r="B4" s="7" t="s">
        <v>63</v>
      </c>
      <c r="C4" s="7"/>
      <c r="D4" s="7"/>
      <c r="E4" s="7"/>
      <c r="F4" s="7"/>
      <c r="G4" s="7"/>
      <c r="H4" s="7"/>
      <c r="I4" s="7"/>
      <c r="J4" s="7"/>
      <c r="K4" s="7"/>
      <c r="L4" s="7"/>
      <c r="M4" s="24"/>
      <c r="N4" s="24"/>
      <c r="O4" s="24"/>
      <c r="P4" s="24"/>
      <c r="Q4" s="24"/>
    </row>
    <row r="5" spans="2:17" s="18" customFormat="1" ht="15">
      <c r="B5" s="7" t="str">
        <f>'Table 1'!$B$5</f>
        <v>UT Compliance 2013.Q1 - 100.0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8" customFormat="1" ht="15">
      <c r="B6" s="7" t="str">
        <f>'Table 1'!$B$6</f>
        <v xml:space="preserve">Partial Displacement of a 2028 CCCT (400 MW 1x1) </v>
      </c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24"/>
      <c r="O6" s="24"/>
      <c r="P6" s="24"/>
      <c r="Q6" s="24"/>
    </row>
    <row r="7" spans="2:17" s="3" customFormat="1">
      <c r="D7" s="32"/>
      <c r="E7" s="32"/>
      <c r="F7" s="32"/>
      <c r="G7" s="13"/>
      <c r="H7" s="13"/>
      <c r="I7" s="13"/>
      <c r="J7" s="13"/>
      <c r="K7" s="13"/>
      <c r="L7" s="13"/>
      <c r="M7" s="25"/>
    </row>
    <row r="8" spans="2:17" s="3" customFormat="1">
      <c r="B8" s="37" t="s">
        <v>0</v>
      </c>
      <c r="C8" s="37"/>
      <c r="D8" s="34" t="s">
        <v>29</v>
      </c>
      <c r="E8" s="39"/>
      <c r="F8" s="39"/>
      <c r="G8" s="34"/>
      <c r="H8" s="34"/>
      <c r="I8" s="29" t="s">
        <v>30</v>
      </c>
      <c r="J8" s="33"/>
      <c r="K8" s="33"/>
      <c r="L8" s="28"/>
      <c r="M8" s="35" t="s">
        <v>29</v>
      </c>
      <c r="N8" s="43"/>
      <c r="O8" s="36"/>
      <c r="Q8" s="30" t="s">
        <v>46</v>
      </c>
    </row>
    <row r="9" spans="2:17" s="3" customFormat="1">
      <c r="B9" s="38"/>
      <c r="C9" s="38" t="s">
        <v>40</v>
      </c>
      <c r="D9" s="40" t="s">
        <v>17</v>
      </c>
      <c r="E9" s="41" t="s">
        <v>18</v>
      </c>
      <c r="F9" s="41" t="s">
        <v>19</v>
      </c>
      <c r="G9" s="41" t="s">
        <v>20</v>
      </c>
      <c r="H9" s="42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0" t="s">
        <v>26</v>
      </c>
      <c r="N9" s="41" t="s">
        <v>27</v>
      </c>
      <c r="O9" s="42" t="s">
        <v>28</v>
      </c>
      <c r="Q9" s="31" t="s">
        <v>1</v>
      </c>
    </row>
    <row r="10" spans="2:17" ht="12.75" customHeight="1">
      <c r="B10" s="9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</row>
    <row r="11" spans="2:17" ht="12.75" customHeight="1">
      <c r="B11" s="20" t="s">
        <v>45</v>
      </c>
      <c r="C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/>
      <c r="Q11" s="9"/>
    </row>
    <row r="12" spans="2:17" ht="12.75" customHeight="1">
      <c r="B12" s="74">
        <v>2014</v>
      </c>
      <c r="C12" s="73">
        <v>29.30662547792442</v>
      </c>
      <c r="D12" s="11">
        <v>31.528615890159156</v>
      </c>
      <c r="E12" s="11">
        <v>30.744765972196848</v>
      </c>
      <c r="F12" s="11">
        <v>29.81978034654928</v>
      </c>
      <c r="G12" s="11">
        <v>27.442176527093146</v>
      </c>
      <c r="H12" s="48">
        <v>25.833825016603967</v>
      </c>
      <c r="I12" s="59">
        <v>22.871601985958375</v>
      </c>
      <c r="J12" s="11">
        <v>34.632788901965995</v>
      </c>
      <c r="K12" s="11">
        <v>33.759337247181911</v>
      </c>
      <c r="L12" s="48">
        <v>32.524083601785641</v>
      </c>
      <c r="M12" s="59">
        <v>27.715150114082878</v>
      </c>
      <c r="N12" s="11">
        <v>26.532996380030621</v>
      </c>
      <c r="O12" s="48">
        <v>28.160150785867895</v>
      </c>
      <c r="Q12" s="60">
        <f>VLOOKUP(B12,'Table 4'!$B$11:$K$41,9,FALSE)</f>
        <v>0</v>
      </c>
    </row>
    <row r="13" spans="2:17" ht="12.75" customHeight="1">
      <c r="B13" s="75">
        <f>B12+1</f>
        <v>2015</v>
      </c>
      <c r="C13" s="77">
        <v>29.35568202050149</v>
      </c>
      <c r="D13" s="12">
        <v>28.985440248749079</v>
      </c>
      <c r="E13" s="12">
        <v>28.296245738264194</v>
      </c>
      <c r="F13" s="12">
        <v>26.453945165099711</v>
      </c>
      <c r="G13" s="12">
        <v>26.494992791084343</v>
      </c>
      <c r="H13" s="49">
        <v>25.193411083095327</v>
      </c>
      <c r="I13" s="58">
        <v>25.067139613927871</v>
      </c>
      <c r="J13" s="12">
        <v>37.476458073232578</v>
      </c>
      <c r="K13" s="12">
        <v>37.79802811400544</v>
      </c>
      <c r="L13" s="49">
        <v>36.670844932955028</v>
      </c>
      <c r="M13" s="58">
        <v>27.434455260788759</v>
      </c>
      <c r="N13" s="12">
        <v>24.94239531178636</v>
      </c>
      <c r="O13" s="49">
        <v>27.215290355642551</v>
      </c>
      <c r="Q13" s="57">
        <f>VLOOKUP(B13,'Table 4'!$B$11:$K$41,9,FALSE)</f>
        <v>0</v>
      </c>
    </row>
    <row r="14" spans="2:17" ht="12.75" customHeight="1">
      <c r="B14" s="75">
        <f t="shared" ref="B14:B31" si="0">B13+1</f>
        <v>2016</v>
      </c>
      <c r="C14" s="77">
        <v>30.486382097987121</v>
      </c>
      <c r="D14" s="12">
        <v>27.710725090193229</v>
      </c>
      <c r="E14" s="12">
        <v>29.06760982237882</v>
      </c>
      <c r="F14" s="12">
        <v>30.673989385541276</v>
      </c>
      <c r="G14" s="12">
        <v>26.669798221679198</v>
      </c>
      <c r="H14" s="49">
        <v>27.448188259883075</v>
      </c>
      <c r="I14" s="58">
        <v>26.422333133180253</v>
      </c>
      <c r="J14" s="12">
        <v>39.593514151776951</v>
      </c>
      <c r="K14" s="12">
        <v>40.009148993236138</v>
      </c>
      <c r="L14" s="49">
        <v>39.303103476667324</v>
      </c>
      <c r="M14" s="58">
        <v>28.226685668341464</v>
      </c>
      <c r="N14" s="12">
        <v>24.941726507140334</v>
      </c>
      <c r="O14" s="49">
        <v>25.52956531729825</v>
      </c>
      <c r="Q14" s="57">
        <f>VLOOKUP(B14,'Table 4'!$B$11:$K$41,9,FALSE)</f>
        <v>0</v>
      </c>
    </row>
    <row r="15" spans="2:17" ht="12.75" customHeight="1">
      <c r="B15" s="75">
        <f t="shared" si="0"/>
        <v>2017</v>
      </c>
      <c r="C15" s="77">
        <v>32.534588467924948</v>
      </c>
      <c r="D15" s="12">
        <v>27.60097298090977</v>
      </c>
      <c r="E15" s="12">
        <v>28.393667938545118</v>
      </c>
      <c r="F15" s="12">
        <v>30.297469666903009</v>
      </c>
      <c r="G15" s="12">
        <v>28.284974298494216</v>
      </c>
      <c r="H15" s="49">
        <v>28.87741792637037</v>
      </c>
      <c r="I15" s="58">
        <v>28.581679137501304</v>
      </c>
      <c r="J15" s="12">
        <v>43.54828955242192</v>
      </c>
      <c r="K15" s="12">
        <v>45.282096483874156</v>
      </c>
      <c r="L15" s="49">
        <v>43.815613971165583</v>
      </c>
      <c r="M15" s="58">
        <v>30.841949315335199</v>
      </c>
      <c r="N15" s="12">
        <v>25.61583748878266</v>
      </c>
      <c r="O15" s="49">
        <v>28.750479610796823</v>
      </c>
      <c r="Q15" s="57">
        <f>VLOOKUP(B15,'Table 4'!$B$11:$K$41,9,FALSE)</f>
        <v>0</v>
      </c>
    </row>
    <row r="16" spans="2:17" ht="12.75" customHeight="1">
      <c r="B16" s="75">
        <f t="shared" si="0"/>
        <v>2018</v>
      </c>
      <c r="C16" s="77">
        <v>35.091886436237367</v>
      </c>
      <c r="D16" s="12">
        <v>30.895055956930243</v>
      </c>
      <c r="E16" s="12">
        <v>39.625127362793819</v>
      </c>
      <c r="F16" s="12">
        <v>30.849490676682201</v>
      </c>
      <c r="G16" s="12">
        <v>31.464314894934301</v>
      </c>
      <c r="H16" s="49">
        <v>31.384445700822262</v>
      </c>
      <c r="I16" s="58">
        <v>31.246318518627508</v>
      </c>
      <c r="J16" s="12">
        <v>45.964516438962747</v>
      </c>
      <c r="K16" s="12">
        <v>47.609214313409325</v>
      </c>
      <c r="L16" s="49">
        <v>45.500636156536395</v>
      </c>
      <c r="M16" s="58">
        <v>32.526377693864596</v>
      </c>
      <c r="N16" s="12">
        <v>26.429055835130363</v>
      </c>
      <c r="O16" s="49">
        <v>27.862035377767082</v>
      </c>
      <c r="Q16" s="57">
        <f>VLOOKUP(B16,'Table 4'!$B$11:$K$41,9,FALSE)</f>
        <v>0</v>
      </c>
    </row>
    <row r="17" spans="2:17" ht="12.75" customHeight="1">
      <c r="B17" s="75">
        <f t="shared" si="0"/>
        <v>2019</v>
      </c>
      <c r="C17" s="77">
        <v>35.541489006299152</v>
      </c>
      <c r="D17" s="12">
        <v>26.184205386780583</v>
      </c>
      <c r="E17" s="12">
        <v>28.961041775910335</v>
      </c>
      <c r="F17" s="12">
        <v>34.519256797438317</v>
      </c>
      <c r="G17" s="12">
        <v>32.325449754738926</v>
      </c>
      <c r="H17" s="49">
        <v>35.186311323213367</v>
      </c>
      <c r="I17" s="58">
        <v>34.094630000163967</v>
      </c>
      <c r="J17" s="12">
        <v>48.916171171726361</v>
      </c>
      <c r="K17" s="12">
        <v>50.326971882511025</v>
      </c>
      <c r="L17" s="49">
        <v>46.848942737908537</v>
      </c>
      <c r="M17" s="58">
        <v>33.372292918722266</v>
      </c>
      <c r="N17" s="12">
        <v>27.168766715522686</v>
      </c>
      <c r="O17" s="49">
        <v>27.901262820366437</v>
      </c>
      <c r="Q17" s="57">
        <f>VLOOKUP(B17,'Table 4'!$B$11:$K$41,9,FALSE)</f>
        <v>0</v>
      </c>
    </row>
    <row r="18" spans="2:17" ht="12.75" customHeight="1">
      <c r="B18" s="75">
        <f t="shared" si="0"/>
        <v>2020</v>
      </c>
      <c r="C18" s="77">
        <v>38.292222299528738</v>
      </c>
      <c r="D18" s="12">
        <v>26.808140783839441</v>
      </c>
      <c r="E18" s="12">
        <v>37.804513476335366</v>
      </c>
      <c r="F18" s="12">
        <v>39.639706581436066</v>
      </c>
      <c r="G18" s="12">
        <v>32.238455093463799</v>
      </c>
      <c r="H18" s="49">
        <v>38.042061595825842</v>
      </c>
      <c r="I18" s="58">
        <v>36.575213814052006</v>
      </c>
      <c r="J18" s="12">
        <v>51.888597909550569</v>
      </c>
      <c r="K18" s="12">
        <v>51.984979886306213</v>
      </c>
      <c r="L18" s="49">
        <v>49.111271824836244</v>
      </c>
      <c r="M18" s="58">
        <v>34.761053592662911</v>
      </c>
      <c r="N18" s="12">
        <v>32.104068157352948</v>
      </c>
      <c r="O18" s="49">
        <v>28.415853331751702</v>
      </c>
      <c r="Q18" s="57">
        <f>VLOOKUP(B18,'Table 4'!$B$11:$K$41,9,FALSE)</f>
        <v>0</v>
      </c>
    </row>
    <row r="19" spans="2:17" ht="12.75" customHeight="1">
      <c r="B19" s="75">
        <f t="shared" si="0"/>
        <v>2021</v>
      </c>
      <c r="C19" s="77">
        <v>42.864118760059895</v>
      </c>
      <c r="D19" s="12">
        <v>36.489959098355804</v>
      </c>
      <c r="E19" s="12">
        <v>40.667760032037904</v>
      </c>
      <c r="F19" s="12">
        <v>41.11136090860176</v>
      </c>
      <c r="G19" s="12">
        <v>35.25240064918313</v>
      </c>
      <c r="H19" s="49">
        <v>41.433635522612263</v>
      </c>
      <c r="I19" s="58">
        <v>37.677594499346476</v>
      </c>
      <c r="J19" s="12">
        <v>54.976307065781633</v>
      </c>
      <c r="K19" s="12">
        <v>54.801573956515085</v>
      </c>
      <c r="L19" s="49">
        <v>51.911133888399384</v>
      </c>
      <c r="M19" s="58">
        <v>42.671203815623187</v>
      </c>
      <c r="N19" s="12">
        <v>41.574637013235026</v>
      </c>
      <c r="O19" s="49">
        <v>35.426704310564055</v>
      </c>
      <c r="Q19" s="57">
        <f>VLOOKUP(B19,'Table 4'!$B$11:$K$41,9,FALSE)</f>
        <v>0</v>
      </c>
    </row>
    <row r="20" spans="2:17" ht="12.75" customHeight="1">
      <c r="B20" s="75">
        <f t="shared" si="0"/>
        <v>2022</v>
      </c>
      <c r="C20" s="77">
        <v>48.399171421300522</v>
      </c>
      <c r="D20" s="12">
        <v>42.619985039532182</v>
      </c>
      <c r="E20" s="12">
        <v>43.051812434874748</v>
      </c>
      <c r="F20" s="12">
        <v>44.182876551866173</v>
      </c>
      <c r="G20" s="12">
        <v>49.011864499183361</v>
      </c>
      <c r="H20" s="49">
        <v>45.447266554395604</v>
      </c>
      <c r="I20" s="58">
        <v>43.762368848530294</v>
      </c>
      <c r="J20" s="12">
        <v>59.746144618595387</v>
      </c>
      <c r="K20" s="12">
        <v>60.66820856862708</v>
      </c>
      <c r="L20" s="49">
        <v>57.754093893627619</v>
      </c>
      <c r="M20" s="58">
        <v>49.560155885673204</v>
      </c>
      <c r="N20" s="12">
        <v>43.635978441339695</v>
      </c>
      <c r="O20" s="49">
        <v>40.850125688329989</v>
      </c>
      <c r="Q20" s="57">
        <f>VLOOKUP(B20,'Table 4'!$B$11:$K$41,9,FALSE)</f>
        <v>0</v>
      </c>
    </row>
    <row r="21" spans="2:17" ht="12.75" customHeight="1">
      <c r="B21" s="75">
        <f t="shared" si="0"/>
        <v>2023</v>
      </c>
      <c r="C21" s="78">
        <v>52.571582341929002</v>
      </c>
      <c r="D21" s="12">
        <v>45.055635684378004</v>
      </c>
      <c r="E21" s="12">
        <v>46.678333640755973</v>
      </c>
      <c r="F21" s="12">
        <v>48.620264714263065</v>
      </c>
      <c r="G21" s="12">
        <v>53.402282484477155</v>
      </c>
      <c r="H21" s="49">
        <v>51.693865443390521</v>
      </c>
      <c r="I21" s="58">
        <v>47.974214694117698</v>
      </c>
      <c r="J21" s="12">
        <v>64.085879393264051</v>
      </c>
      <c r="K21" s="12">
        <v>66.030116893580583</v>
      </c>
      <c r="L21" s="49">
        <v>62.247536283823983</v>
      </c>
      <c r="M21" s="58">
        <v>52.90562380660964</v>
      </c>
      <c r="N21" s="12">
        <v>46.7295709591505</v>
      </c>
      <c r="O21" s="49">
        <v>44.867519877925467</v>
      </c>
      <c r="Q21" s="57">
        <f>VLOOKUP(B21,'Table 4'!$B$11:$K$41,9,FALSE)</f>
        <v>0</v>
      </c>
    </row>
    <row r="22" spans="2:17" ht="12.75" customHeight="1">
      <c r="B22" s="113">
        <f t="shared" si="0"/>
        <v>2024</v>
      </c>
      <c r="C22" s="77">
        <v>55.04082022605283</v>
      </c>
      <c r="D22" s="11">
        <v>53.977159361480481</v>
      </c>
      <c r="E22" s="11">
        <v>53.890462831473776</v>
      </c>
      <c r="F22" s="11">
        <v>53.045427445446215</v>
      </c>
      <c r="G22" s="11">
        <v>52.286192113071486</v>
      </c>
      <c r="H22" s="48">
        <v>51.041511336021749</v>
      </c>
      <c r="I22" s="59">
        <v>47.947103952287748</v>
      </c>
      <c r="J22" s="11">
        <v>64.532214641524391</v>
      </c>
      <c r="K22" s="11">
        <v>67.026702058980689</v>
      </c>
      <c r="L22" s="48">
        <v>62.219624395751779</v>
      </c>
      <c r="M22" s="59">
        <v>55.148807379506309</v>
      </c>
      <c r="N22" s="11">
        <v>50.993781729738402</v>
      </c>
      <c r="O22" s="48">
        <v>48.089975031783389</v>
      </c>
      <c r="Q22" s="60">
        <f>VLOOKUP(B22,'Table 4'!$B$11:$K$41,9,FALSE)</f>
        <v>0</v>
      </c>
    </row>
    <row r="23" spans="2:17" ht="12.75" customHeight="1">
      <c r="B23" s="75">
        <f t="shared" si="0"/>
        <v>2025</v>
      </c>
      <c r="C23" s="77">
        <v>59.331816557655081</v>
      </c>
      <c r="D23" s="12">
        <v>55.8553417349775</v>
      </c>
      <c r="E23" s="12">
        <v>55.611884051470049</v>
      </c>
      <c r="F23" s="12">
        <v>55.528634100411601</v>
      </c>
      <c r="G23" s="12">
        <v>55.057180885457818</v>
      </c>
      <c r="H23" s="49">
        <v>54.67184476533847</v>
      </c>
      <c r="I23" s="58">
        <v>52.233172368627358</v>
      </c>
      <c r="J23" s="12">
        <v>74.849982004110799</v>
      </c>
      <c r="K23" s="12">
        <v>76.108223643737787</v>
      </c>
      <c r="L23" s="49">
        <v>74.812350921895771</v>
      </c>
      <c r="M23" s="58">
        <v>56.055105965370096</v>
      </c>
      <c r="N23" s="12">
        <v>51.816240614215339</v>
      </c>
      <c r="O23" s="49">
        <v>48.911898314990083</v>
      </c>
      <c r="Q23" s="57">
        <f>VLOOKUP(B23,'Table 4'!$B$11:$K$41,9,FALSE)</f>
        <v>0</v>
      </c>
    </row>
    <row r="24" spans="2:17" ht="12.75" customHeight="1">
      <c r="B24" s="75">
        <f t="shared" si="0"/>
        <v>2026</v>
      </c>
      <c r="C24" s="77">
        <v>61.495345345809518</v>
      </c>
      <c r="D24" s="12">
        <v>58.645541017393214</v>
      </c>
      <c r="E24" s="12">
        <v>59.127915816876715</v>
      </c>
      <c r="F24" s="12">
        <v>57.950413000790533</v>
      </c>
      <c r="G24" s="12">
        <v>58.012185950980466</v>
      </c>
      <c r="H24" s="49">
        <v>55.69754463994262</v>
      </c>
      <c r="I24" s="58">
        <v>52.75335379820244</v>
      </c>
      <c r="J24" s="12">
        <v>78.13300806198653</v>
      </c>
      <c r="K24" s="12">
        <v>78.333734108317714</v>
      </c>
      <c r="L24" s="49">
        <v>77.651126860620252</v>
      </c>
      <c r="M24" s="58">
        <v>58.334173191176191</v>
      </c>
      <c r="N24" s="12">
        <v>52.995141854411344</v>
      </c>
      <c r="O24" s="49">
        <v>49.933494187539928</v>
      </c>
      <c r="Q24" s="57">
        <f>VLOOKUP(B24,'Table 4'!$B$11:$K$41,9,FALSE)</f>
        <v>0</v>
      </c>
    </row>
    <row r="25" spans="2:17" ht="12.75" customHeight="1">
      <c r="B25" s="75">
        <f t="shared" si="0"/>
        <v>2027</v>
      </c>
      <c r="C25" s="77">
        <v>63.227155782890165</v>
      </c>
      <c r="D25" s="12">
        <v>60.781861099779398</v>
      </c>
      <c r="E25" s="12">
        <v>60.627593084033421</v>
      </c>
      <c r="F25" s="12">
        <v>59.250852191334168</v>
      </c>
      <c r="G25" s="12">
        <v>59.869447110457941</v>
      </c>
      <c r="H25" s="49">
        <v>57.28788059535168</v>
      </c>
      <c r="I25" s="58">
        <v>54.677440483659701</v>
      </c>
      <c r="J25" s="12">
        <v>80.380473216950591</v>
      </c>
      <c r="K25" s="12">
        <v>81.330390392158094</v>
      </c>
      <c r="L25" s="49">
        <v>78.677533563561497</v>
      </c>
      <c r="M25" s="58">
        <v>60.375343196237296</v>
      </c>
      <c r="N25" s="12">
        <v>53.905958653431803</v>
      </c>
      <c r="O25" s="49">
        <v>51.123130278146057</v>
      </c>
      <c r="Q25" s="57">
        <f>VLOOKUP(B25,'Table 4'!$B$11:$K$41,9,FALSE)</f>
        <v>0</v>
      </c>
    </row>
    <row r="26" spans="2:17" ht="12.75" customHeight="1">
      <c r="B26" s="75">
        <f t="shared" si="0"/>
        <v>2028</v>
      </c>
      <c r="C26" s="77">
        <v>43.639162805099446</v>
      </c>
      <c r="D26" s="12">
        <v>43.319665474541708</v>
      </c>
      <c r="E26" s="12">
        <v>44.265154469743663</v>
      </c>
      <c r="F26" s="12">
        <v>41.717620538424875</v>
      </c>
      <c r="G26" s="12">
        <v>42.653549080065943</v>
      </c>
      <c r="H26" s="49">
        <v>48.695282148955783</v>
      </c>
      <c r="I26" s="58">
        <v>42.198015136927658</v>
      </c>
      <c r="J26" s="12">
        <v>41.75591052055811</v>
      </c>
      <c r="K26" s="12">
        <v>42.675097125553769</v>
      </c>
      <c r="L26" s="49">
        <v>43.32684644215734</v>
      </c>
      <c r="M26" s="58">
        <v>43.215408791745865</v>
      </c>
      <c r="N26" s="12">
        <v>44.505367591503791</v>
      </c>
      <c r="O26" s="49">
        <v>45.32200764294744</v>
      </c>
      <c r="Q26" s="57">
        <f>VLOOKUP(B26,'Table 4'!$B$11:$K$41,9,FALSE)</f>
        <v>45.75</v>
      </c>
    </row>
    <row r="27" spans="2:17" ht="12.75" customHeight="1">
      <c r="B27" s="75">
        <f t="shared" si="0"/>
        <v>2029</v>
      </c>
      <c r="C27" s="77">
        <v>45.372023995098104</v>
      </c>
      <c r="D27" s="12">
        <v>46.235312960467937</v>
      </c>
      <c r="E27" s="12">
        <v>46.537878621148899</v>
      </c>
      <c r="F27" s="12">
        <v>43.862177329537786</v>
      </c>
      <c r="G27" s="12">
        <v>43.588645684640682</v>
      </c>
      <c r="H27" s="49">
        <v>48.782269735294079</v>
      </c>
      <c r="I27" s="58">
        <v>43.86808137696066</v>
      </c>
      <c r="J27" s="12">
        <v>44.14906233254252</v>
      </c>
      <c r="K27" s="12">
        <v>44.091026093927198</v>
      </c>
      <c r="L27" s="49">
        <v>44.891001492974418</v>
      </c>
      <c r="M27" s="58">
        <v>44.870015889627226</v>
      </c>
      <c r="N27" s="12">
        <v>46.143573781372673</v>
      </c>
      <c r="O27" s="49">
        <v>47.461396521189442</v>
      </c>
      <c r="Q27" s="57">
        <f>VLOOKUP(B27,'Table 4'!$B$11:$K$41,9,FALSE)</f>
        <v>47.13</v>
      </c>
    </row>
    <row r="28" spans="2:17" ht="12.75" customHeight="1">
      <c r="B28" s="75">
        <f t="shared" si="0"/>
        <v>2030</v>
      </c>
      <c r="C28" s="77">
        <v>45.584420656149916</v>
      </c>
      <c r="D28" s="12">
        <v>46.532114662555657</v>
      </c>
      <c r="E28" s="12">
        <v>47.70982742139428</v>
      </c>
      <c r="F28" s="12">
        <v>43.478270497786177</v>
      </c>
      <c r="G28" s="12">
        <v>42.765891993300976</v>
      </c>
      <c r="H28" s="49">
        <v>48.222533601360333</v>
      </c>
      <c r="I28" s="58">
        <v>44.352089489215338</v>
      </c>
      <c r="J28" s="12">
        <v>44.660805357527515</v>
      </c>
      <c r="K28" s="12">
        <v>44.165866603098628</v>
      </c>
      <c r="L28" s="49">
        <v>45.356570079738603</v>
      </c>
      <c r="M28" s="58">
        <v>44.518385963788482</v>
      </c>
      <c r="N28" s="12">
        <v>47.225452642810403</v>
      </c>
      <c r="O28" s="49">
        <v>48.14583768627449</v>
      </c>
      <c r="Q28" s="57">
        <f>VLOOKUP(B28,'Table 4'!$B$11:$K$41,9,FALSE)</f>
        <v>47.47</v>
      </c>
    </row>
    <row r="29" spans="2:17" ht="12.75" customHeight="1">
      <c r="B29" s="75">
        <f t="shared" si="0"/>
        <v>2031</v>
      </c>
      <c r="C29" s="77">
        <v>45.912975853613361</v>
      </c>
      <c r="D29" s="12">
        <v>46.622440330171457</v>
      </c>
      <c r="E29" s="12">
        <v>47.137977625699897</v>
      </c>
      <c r="F29" s="12">
        <v>43.760838141524189</v>
      </c>
      <c r="G29" s="12">
        <v>44.751453297385595</v>
      </c>
      <c r="H29" s="49">
        <v>49.285020205249879</v>
      </c>
      <c r="I29" s="58">
        <v>44.941959226143126</v>
      </c>
      <c r="J29" s="12">
        <v>44.449098314041393</v>
      </c>
      <c r="K29" s="12">
        <v>44.399788665875164</v>
      </c>
      <c r="L29" s="49">
        <v>46.017624075653309</v>
      </c>
      <c r="M29" s="58">
        <v>44.781661037476773</v>
      </c>
      <c r="N29" s="12">
        <v>46.390092781535742</v>
      </c>
      <c r="O29" s="49">
        <v>48.48628013235323</v>
      </c>
      <c r="Q29" s="57">
        <f>VLOOKUP(B29,'Table 4'!$B$11:$K$41,9,FALSE)</f>
        <v>47.88</v>
      </c>
    </row>
    <row r="30" spans="2:17" ht="12.75" customHeight="1">
      <c r="B30" s="75">
        <f t="shared" si="0"/>
        <v>2032</v>
      </c>
      <c r="C30" s="77">
        <v>46.876484112275016</v>
      </c>
      <c r="D30" s="12">
        <v>46.815170048229078</v>
      </c>
      <c r="E30" s="12">
        <v>47.750104382690587</v>
      </c>
      <c r="F30" s="12">
        <v>44.335400705250152</v>
      </c>
      <c r="G30" s="12">
        <v>43.78454237745089</v>
      </c>
      <c r="H30" s="49">
        <v>53.343856948450593</v>
      </c>
      <c r="I30" s="58">
        <v>45.776924375653557</v>
      </c>
      <c r="J30" s="12">
        <v>45.392816569575075</v>
      </c>
      <c r="K30" s="12">
        <v>46.032281457938623</v>
      </c>
      <c r="L30" s="49">
        <v>47.123993771568038</v>
      </c>
      <c r="M30" s="58">
        <v>45.414806234187182</v>
      </c>
      <c r="N30" s="12">
        <v>46.673709426960038</v>
      </c>
      <c r="O30" s="49">
        <v>49.996798986242702</v>
      </c>
      <c r="Q30" s="57">
        <f>VLOOKUP(B30,'Table 4'!$B$11:$K$41,9,FALSE)</f>
        <v>48.78</v>
      </c>
    </row>
    <row r="31" spans="2:17" ht="12.75" customHeight="1">
      <c r="B31" s="76">
        <f t="shared" si="0"/>
        <v>2033</v>
      </c>
      <c r="C31" s="78">
        <v>47.511782478686783</v>
      </c>
      <c r="D31" s="21">
        <v>47.168918541429129</v>
      </c>
      <c r="E31" s="21">
        <v>48.262513095938736</v>
      </c>
      <c r="F31" s="21">
        <v>45.038636106419496</v>
      </c>
      <c r="G31" s="21">
        <v>45.27244360931364</v>
      </c>
      <c r="H31" s="50">
        <v>54.499519445920086</v>
      </c>
      <c r="I31" s="114">
        <v>46.478731718954016</v>
      </c>
      <c r="J31" s="21">
        <v>46.144635045540667</v>
      </c>
      <c r="K31" s="21">
        <v>46.320719764074859</v>
      </c>
      <c r="L31" s="50">
        <v>47.865535949673138</v>
      </c>
      <c r="M31" s="114">
        <v>46.03565001154459</v>
      </c>
      <c r="N31" s="21">
        <v>46.565307910947823</v>
      </c>
      <c r="O31" s="50">
        <v>50.436748903383751</v>
      </c>
      <c r="Q31" s="115">
        <f>VLOOKUP(B31,'Table 4'!$B$11:$K$41,9,FALSE)</f>
        <v>49.74</v>
      </c>
    </row>
    <row r="32" spans="2:17" ht="12.75" customHeight="1">
      <c r="D32" s="19"/>
      <c r="E32" s="19"/>
      <c r="F32" s="19"/>
      <c r="M32" s="27"/>
    </row>
    <row r="33" spans="2:6">
      <c r="B33" s="15"/>
      <c r="C33" s="6" t="s">
        <v>52</v>
      </c>
    </row>
    <row r="34" spans="2:6">
      <c r="C34" s="15"/>
    </row>
    <row r="36" spans="2:6" hidden="1">
      <c r="D36" s="9" t="s">
        <v>48</v>
      </c>
    </row>
    <row r="37" spans="2:6" hidden="1">
      <c r="C37" s="51"/>
      <c r="D37" s="61" t="s">
        <v>47</v>
      </c>
    </row>
    <row r="38" spans="2:6" hidden="1"/>
    <row r="39" spans="2:6" hidden="1"/>
    <row r="40" spans="2:6" hidden="1"/>
    <row r="41" spans="2:6" hidden="1"/>
    <row r="42" spans="2:6" hidden="1"/>
    <row r="43" spans="2:6" hidden="1">
      <c r="F43" s="81" t="s">
        <v>50</v>
      </c>
    </row>
    <row r="44" spans="2:6" hidden="1">
      <c r="F44" s="80">
        <v>1.9E-2</v>
      </c>
    </row>
    <row r="46" spans="2:6">
      <c r="C46" s="147"/>
    </row>
    <row r="47" spans="2:6">
      <c r="C47" s="147"/>
    </row>
    <row r="48" spans="2:6">
      <c r="C48" s="147"/>
    </row>
    <row r="49" spans="3:3">
      <c r="C49" s="147"/>
    </row>
    <row r="50" spans="3:3">
      <c r="C50" s="147"/>
    </row>
    <row r="51" spans="3:3">
      <c r="C51" s="147"/>
    </row>
    <row r="52" spans="3:3">
      <c r="C52" s="147"/>
    </row>
  </sheetData>
  <phoneticPr fontId="6" type="noConversion"/>
  <conditionalFormatting sqref="C17:O31">
    <cfRule type="cellIs" dxfId="1" priority="1" stopIfTrue="1" operator="equal">
      <formula>$Q17</formula>
    </cfRule>
  </conditionalFormatting>
  <printOptions horizontalCentered="1"/>
  <pageMargins left="0.25" right="0.25" top="0.75" bottom="0.75" header="0.3" footer="0.3"/>
  <pageSetup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B1:Q34"/>
  <sheetViews>
    <sheetView view="pageBreakPreview" zoomScale="85" zoomScaleSheetLayoutView="85" workbookViewId="0"/>
  </sheetViews>
  <sheetFormatPr defaultRowHeight="12.75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4.83203125" style="6" customWidth="1"/>
    <col min="18" max="16384" width="9.33203125" style="6"/>
  </cols>
  <sheetData>
    <row r="1" spans="2:17" s="14" customFormat="1" ht="15.75">
      <c r="B1" s="1" t="s">
        <v>76</v>
      </c>
      <c r="C1" s="1"/>
      <c r="D1" s="1"/>
      <c r="E1" s="1"/>
      <c r="F1" s="1"/>
      <c r="G1" s="17"/>
      <c r="H1" s="1"/>
      <c r="I1" s="1"/>
      <c r="J1" s="1"/>
      <c r="K1" s="1"/>
      <c r="L1" s="22"/>
      <c r="M1" s="23"/>
      <c r="N1" s="23"/>
      <c r="O1" s="23"/>
      <c r="P1" s="23"/>
      <c r="Q1" s="23"/>
    </row>
    <row r="2" spans="2:17" s="14" customFormat="1" ht="15.75">
      <c r="B2" s="1"/>
      <c r="C2" s="1"/>
      <c r="D2" s="1"/>
      <c r="E2" s="1"/>
      <c r="F2" s="1"/>
      <c r="G2" s="17"/>
      <c r="H2" s="1"/>
      <c r="I2" s="1"/>
      <c r="J2" s="1"/>
      <c r="K2" s="1"/>
      <c r="L2" s="22"/>
      <c r="M2" s="23"/>
      <c r="N2" s="23"/>
      <c r="O2" s="23"/>
      <c r="P2" s="23"/>
      <c r="Q2" s="23"/>
    </row>
    <row r="3" spans="2:17" s="14" customFormat="1" ht="15.75">
      <c r="B3" s="1" t="str">
        <f>"Table "&amp;RIGHT('Table 2'!B3,1)+1</f>
        <v>Table 3</v>
      </c>
      <c r="C3" s="1"/>
      <c r="D3" s="1"/>
      <c r="E3" s="1"/>
      <c r="F3" s="1"/>
      <c r="G3" s="17"/>
      <c r="H3" s="1"/>
      <c r="I3" s="1"/>
      <c r="J3" s="1"/>
      <c r="K3" s="1"/>
      <c r="L3" s="22"/>
      <c r="M3" s="23"/>
      <c r="N3" s="23"/>
      <c r="O3" s="23"/>
      <c r="P3" s="23"/>
      <c r="Q3" s="23"/>
    </row>
    <row r="4" spans="2:17" s="18" customFormat="1" ht="15">
      <c r="B4" s="7" t="s">
        <v>85</v>
      </c>
      <c r="C4" s="7"/>
      <c r="D4" s="7"/>
      <c r="E4" s="7"/>
      <c r="F4" s="7"/>
      <c r="G4" s="7"/>
      <c r="H4" s="7"/>
      <c r="I4" s="7"/>
      <c r="J4" s="7"/>
      <c r="K4" s="7"/>
      <c r="L4" s="7"/>
      <c r="M4" s="24"/>
      <c r="N4" s="24"/>
      <c r="O4" s="24"/>
      <c r="P4" s="24"/>
      <c r="Q4" s="24"/>
    </row>
    <row r="5" spans="2:17" s="18" customFormat="1" ht="15">
      <c r="B5" s="7" t="str">
        <f>'Table 1'!$B$5</f>
        <v>UT Compliance 2013.Q1 - 100.0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24"/>
      <c r="N5" s="24"/>
      <c r="O5" s="24"/>
      <c r="P5" s="24"/>
      <c r="Q5" s="24"/>
    </row>
    <row r="6" spans="2:17" s="18" customFormat="1" ht="15">
      <c r="B6" s="7" t="str">
        <f>'Table 1'!$B$6</f>
        <v xml:space="preserve">Partial Displacement of a 2028 CCCT (400 MW 1x1) </v>
      </c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24"/>
      <c r="O6" s="24"/>
      <c r="P6" s="24"/>
      <c r="Q6" s="24"/>
    </row>
    <row r="7" spans="2:17">
      <c r="D7" s="16"/>
      <c r="E7" s="16"/>
      <c r="F7" s="16"/>
      <c r="G7" s="13"/>
      <c r="H7" s="13"/>
      <c r="I7" s="13"/>
      <c r="J7" s="13"/>
      <c r="K7" s="13"/>
      <c r="L7" s="13"/>
      <c r="M7" s="25"/>
    </row>
    <row r="8" spans="2:17">
      <c r="B8" s="62" t="s">
        <v>0</v>
      </c>
      <c r="C8" s="62"/>
      <c r="D8" s="63" t="s">
        <v>29</v>
      </c>
      <c r="E8" s="64"/>
      <c r="F8" s="64"/>
      <c r="G8" s="63"/>
      <c r="H8" s="63"/>
      <c r="I8" s="53" t="s">
        <v>30</v>
      </c>
      <c r="J8" s="52"/>
      <c r="K8" s="52"/>
      <c r="L8" s="65"/>
      <c r="M8" s="54" t="s">
        <v>29</v>
      </c>
      <c r="N8" s="55"/>
      <c r="O8" s="56"/>
      <c r="Q8" s="66" t="s">
        <v>46</v>
      </c>
    </row>
    <row r="9" spans="2:17">
      <c r="B9" s="67"/>
      <c r="C9" s="67" t="s">
        <v>40</v>
      </c>
      <c r="D9" s="68" t="s">
        <v>17</v>
      </c>
      <c r="E9" s="69" t="s">
        <v>18</v>
      </c>
      <c r="F9" s="69" t="s">
        <v>19</v>
      </c>
      <c r="G9" s="69" t="s">
        <v>20</v>
      </c>
      <c r="H9" s="70" t="s">
        <v>21</v>
      </c>
      <c r="I9" s="71" t="s">
        <v>22</v>
      </c>
      <c r="J9" s="71" t="s">
        <v>23</v>
      </c>
      <c r="K9" s="71" t="s">
        <v>24</v>
      </c>
      <c r="L9" s="71" t="s">
        <v>25</v>
      </c>
      <c r="M9" s="68" t="s">
        <v>26</v>
      </c>
      <c r="N9" s="69" t="s">
        <v>27</v>
      </c>
      <c r="O9" s="70" t="s">
        <v>28</v>
      </c>
      <c r="Q9" s="72" t="s">
        <v>1</v>
      </c>
    </row>
    <row r="10" spans="2:17" ht="12.75" customHeight="1">
      <c r="B10" s="9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</row>
    <row r="11" spans="2:17" ht="12.75" customHeight="1">
      <c r="B11" s="20" t="s">
        <v>45</v>
      </c>
      <c r="C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/>
      <c r="Q11" s="9"/>
    </row>
    <row r="12" spans="2:17" ht="12.75" customHeight="1">
      <c r="B12" s="74">
        <f>'Table 2'!B12</f>
        <v>2014</v>
      </c>
      <c r="C12" s="73">
        <v>29.30662547792442</v>
      </c>
      <c r="D12" s="11">
        <f>IF($Q12&lt;&gt;0,MIN('Table 2'!D12,'Table 3'!$Q12),'Table 2'!D12)</f>
        <v>31.528615890159156</v>
      </c>
      <c r="E12" s="11">
        <f>IF($Q12&lt;&gt;0,MIN('Table 2'!E12,'Table 3'!$Q12),'Table 2'!E12)</f>
        <v>30.744765972196848</v>
      </c>
      <c r="F12" s="11">
        <f>IF($Q12&lt;&gt;0,MIN('Table 2'!F12,'Table 3'!$Q12),'Table 2'!F12)</f>
        <v>29.81978034654928</v>
      </c>
      <c r="G12" s="11">
        <f>IF($Q12&lt;&gt;0,MIN('Table 2'!G12,'Table 3'!$Q12),'Table 2'!G12)</f>
        <v>27.442176527093146</v>
      </c>
      <c r="H12" s="48">
        <f>IF($Q12&lt;&gt;0,MIN('Table 2'!H12,'Table 3'!$Q12),'Table 2'!H12)</f>
        <v>25.833825016603967</v>
      </c>
      <c r="I12" s="11">
        <f>IF($Q12&lt;&gt;0,MIN('Table 2'!I12,'Table 3'!$Q12),'Table 2'!I12)</f>
        <v>22.871601985958375</v>
      </c>
      <c r="J12" s="11">
        <f>IF($Q12&lt;&gt;0,MIN('Table 2'!J12,'Table 3'!$Q12),'Table 2'!J12)</f>
        <v>34.632788901965995</v>
      </c>
      <c r="K12" s="11">
        <f>IF($Q12&lt;&gt;0,MIN('Table 2'!K12,'Table 3'!$Q12),'Table 2'!K12)</f>
        <v>33.759337247181911</v>
      </c>
      <c r="L12" s="48">
        <f>IF($Q12&lt;&gt;0,MIN('Table 2'!L12,'Table 3'!$Q12),'Table 2'!L12)</f>
        <v>32.524083601785641</v>
      </c>
      <c r="M12" s="59">
        <f>IF($Q12&lt;&gt;0,MIN('Table 2'!M12,'Table 3'!$Q12),'Table 2'!M12)</f>
        <v>27.715150114082878</v>
      </c>
      <c r="N12" s="11">
        <f>IF($Q12&lt;&gt;0,MIN('Table 2'!N12,'Table 3'!$Q12),'Table 2'!N12)</f>
        <v>26.532996380030621</v>
      </c>
      <c r="O12" s="48">
        <f>IF($Q12&lt;&gt;0,MIN('Table 2'!O12,'Table 3'!$Q12),'Table 2'!O12)</f>
        <v>28.160150785867895</v>
      </c>
      <c r="Q12" s="60">
        <f>VLOOKUP(B12,'Table 4'!$B$11:$K$41,9,FALSE)</f>
        <v>0</v>
      </c>
    </row>
    <row r="13" spans="2:17" ht="12.75" customHeight="1">
      <c r="B13" s="75">
        <f t="shared" ref="B13:B31" si="0">B12+1</f>
        <v>2015</v>
      </c>
      <c r="C13" s="77">
        <v>29.35568202050149</v>
      </c>
      <c r="D13" s="12">
        <f>IF($Q13&lt;&gt;0,MIN('Table 2'!D13,'Table 3'!$Q13),'Table 2'!D13)</f>
        <v>28.985440248749079</v>
      </c>
      <c r="E13" s="12">
        <f>IF($Q13&lt;&gt;0,MIN('Table 2'!E13,'Table 3'!$Q13),'Table 2'!E13)</f>
        <v>28.296245738264194</v>
      </c>
      <c r="F13" s="12">
        <f>IF($Q13&lt;&gt;0,MIN('Table 2'!F13,'Table 3'!$Q13),'Table 2'!F13)</f>
        <v>26.453945165099711</v>
      </c>
      <c r="G13" s="12">
        <f>IF($Q13&lt;&gt;0,MIN('Table 2'!G13,'Table 3'!$Q13),'Table 2'!G13)</f>
        <v>26.494992791084343</v>
      </c>
      <c r="H13" s="49">
        <f>IF($Q13&lt;&gt;0,MIN('Table 2'!H13,'Table 3'!$Q13),'Table 2'!H13)</f>
        <v>25.193411083095327</v>
      </c>
      <c r="I13" s="12">
        <f>IF($Q13&lt;&gt;0,MIN('Table 2'!I13,'Table 3'!$Q13),'Table 2'!I13)</f>
        <v>25.067139613927871</v>
      </c>
      <c r="J13" s="12">
        <f>IF($Q13&lt;&gt;0,MIN('Table 2'!J13,'Table 3'!$Q13),'Table 2'!J13)</f>
        <v>37.476458073232578</v>
      </c>
      <c r="K13" s="12">
        <f>IF($Q13&lt;&gt;0,MIN('Table 2'!K13,'Table 3'!$Q13),'Table 2'!K13)</f>
        <v>37.79802811400544</v>
      </c>
      <c r="L13" s="49">
        <f>IF($Q13&lt;&gt;0,MIN('Table 2'!L13,'Table 3'!$Q13),'Table 2'!L13)</f>
        <v>36.670844932955028</v>
      </c>
      <c r="M13" s="58">
        <f>IF($Q13&lt;&gt;0,MIN('Table 2'!M13,'Table 3'!$Q13),'Table 2'!M13)</f>
        <v>27.434455260788759</v>
      </c>
      <c r="N13" s="12">
        <f>IF($Q13&lt;&gt;0,MIN('Table 2'!N13,'Table 3'!$Q13),'Table 2'!N13)</f>
        <v>24.94239531178636</v>
      </c>
      <c r="O13" s="49">
        <f>IF($Q13&lt;&gt;0,MIN('Table 2'!O13,'Table 3'!$Q13),'Table 2'!O13)</f>
        <v>27.215290355642551</v>
      </c>
      <c r="Q13" s="57">
        <f>VLOOKUP(B13,'Table 4'!$B$11:$K$41,9,FALSE)</f>
        <v>0</v>
      </c>
    </row>
    <row r="14" spans="2:17" ht="12.75" customHeight="1">
      <c r="B14" s="75">
        <f t="shared" si="0"/>
        <v>2016</v>
      </c>
      <c r="C14" s="77">
        <v>30.486382097987121</v>
      </c>
      <c r="D14" s="12">
        <f>IF($Q14&lt;&gt;0,MIN('Table 2'!D14,'Table 3'!$Q14),'Table 2'!D14)</f>
        <v>27.710725090193229</v>
      </c>
      <c r="E14" s="12">
        <f>IF($Q14&lt;&gt;0,MIN('Table 2'!E14,'Table 3'!$Q14),'Table 2'!E14)</f>
        <v>29.06760982237882</v>
      </c>
      <c r="F14" s="12">
        <f>IF($Q14&lt;&gt;0,MIN('Table 2'!F14,'Table 3'!$Q14),'Table 2'!F14)</f>
        <v>30.673989385541276</v>
      </c>
      <c r="G14" s="12">
        <f>IF($Q14&lt;&gt;0,MIN('Table 2'!G14,'Table 3'!$Q14),'Table 2'!G14)</f>
        <v>26.669798221679198</v>
      </c>
      <c r="H14" s="49">
        <f>IF($Q14&lt;&gt;0,MIN('Table 2'!H14,'Table 3'!$Q14),'Table 2'!H14)</f>
        <v>27.448188259883075</v>
      </c>
      <c r="I14" s="12">
        <f>IF($Q14&lt;&gt;0,MIN('Table 2'!I14,'Table 3'!$Q14),'Table 2'!I14)</f>
        <v>26.422333133180253</v>
      </c>
      <c r="J14" s="12">
        <f>IF($Q14&lt;&gt;0,MIN('Table 2'!J14,'Table 3'!$Q14),'Table 2'!J14)</f>
        <v>39.593514151776951</v>
      </c>
      <c r="K14" s="12">
        <f>IF($Q14&lt;&gt;0,MIN('Table 2'!K14,'Table 3'!$Q14),'Table 2'!K14)</f>
        <v>40.009148993236138</v>
      </c>
      <c r="L14" s="49">
        <f>IF($Q14&lt;&gt;0,MIN('Table 2'!L14,'Table 3'!$Q14),'Table 2'!L14)</f>
        <v>39.303103476667324</v>
      </c>
      <c r="M14" s="58">
        <f>IF($Q14&lt;&gt;0,MIN('Table 2'!M14,'Table 3'!$Q14),'Table 2'!M14)</f>
        <v>28.226685668341464</v>
      </c>
      <c r="N14" s="12">
        <f>IF($Q14&lt;&gt;0,MIN('Table 2'!N14,'Table 3'!$Q14),'Table 2'!N14)</f>
        <v>24.941726507140334</v>
      </c>
      <c r="O14" s="49">
        <f>IF($Q14&lt;&gt;0,MIN('Table 2'!O14,'Table 3'!$Q14),'Table 2'!O14)</f>
        <v>25.52956531729825</v>
      </c>
      <c r="Q14" s="57">
        <f>VLOOKUP(B14,'Table 4'!$B$11:$K$41,9,FALSE)</f>
        <v>0</v>
      </c>
    </row>
    <row r="15" spans="2:17" ht="12.75" customHeight="1">
      <c r="B15" s="75">
        <f t="shared" si="0"/>
        <v>2017</v>
      </c>
      <c r="C15" s="77">
        <v>32.534588467924948</v>
      </c>
      <c r="D15" s="12">
        <f>IF($Q15&lt;&gt;0,MIN('Table 2'!D15,'Table 3'!$Q15),'Table 2'!D15)</f>
        <v>27.60097298090977</v>
      </c>
      <c r="E15" s="12">
        <f>IF($Q15&lt;&gt;0,MIN('Table 2'!E15,'Table 3'!$Q15),'Table 2'!E15)</f>
        <v>28.393667938545118</v>
      </c>
      <c r="F15" s="12">
        <f>IF($Q15&lt;&gt;0,MIN('Table 2'!F15,'Table 3'!$Q15),'Table 2'!F15)</f>
        <v>30.297469666903009</v>
      </c>
      <c r="G15" s="12">
        <f>IF($Q15&lt;&gt;0,MIN('Table 2'!G15,'Table 3'!$Q15),'Table 2'!G15)</f>
        <v>28.284974298494216</v>
      </c>
      <c r="H15" s="49">
        <f>IF($Q15&lt;&gt;0,MIN('Table 2'!H15,'Table 3'!$Q15),'Table 2'!H15)</f>
        <v>28.87741792637037</v>
      </c>
      <c r="I15" s="12">
        <f>IF($Q15&lt;&gt;0,MIN('Table 2'!I15,'Table 3'!$Q15),'Table 2'!I15)</f>
        <v>28.581679137501304</v>
      </c>
      <c r="J15" s="12">
        <f>IF($Q15&lt;&gt;0,MIN('Table 2'!J15,'Table 3'!$Q15),'Table 2'!J15)</f>
        <v>43.54828955242192</v>
      </c>
      <c r="K15" s="12">
        <f>IF($Q15&lt;&gt;0,MIN('Table 2'!K15,'Table 3'!$Q15),'Table 2'!K15)</f>
        <v>45.282096483874156</v>
      </c>
      <c r="L15" s="49">
        <f>IF($Q15&lt;&gt;0,MIN('Table 2'!L15,'Table 3'!$Q15),'Table 2'!L15)</f>
        <v>43.815613971165583</v>
      </c>
      <c r="M15" s="58">
        <f>IF($Q15&lt;&gt;0,MIN('Table 2'!M15,'Table 3'!$Q15),'Table 2'!M15)</f>
        <v>30.841949315335199</v>
      </c>
      <c r="N15" s="12">
        <f>IF($Q15&lt;&gt;0,MIN('Table 2'!N15,'Table 3'!$Q15),'Table 2'!N15)</f>
        <v>25.61583748878266</v>
      </c>
      <c r="O15" s="49">
        <f>IF($Q15&lt;&gt;0,MIN('Table 2'!O15,'Table 3'!$Q15),'Table 2'!O15)</f>
        <v>28.750479610796823</v>
      </c>
      <c r="Q15" s="57">
        <f>VLOOKUP(B15,'Table 4'!$B$11:$K$41,9,FALSE)</f>
        <v>0</v>
      </c>
    </row>
    <row r="16" spans="2:17" ht="12.75" customHeight="1">
      <c r="B16" s="75">
        <f t="shared" si="0"/>
        <v>2018</v>
      </c>
      <c r="C16" s="77">
        <v>35.091886436237367</v>
      </c>
      <c r="D16" s="12">
        <f>IF($Q16&lt;&gt;0,MIN('Table 2'!D16,'Table 3'!$Q16),'Table 2'!D16)</f>
        <v>30.895055956930243</v>
      </c>
      <c r="E16" s="12">
        <f>IF($Q16&lt;&gt;0,MIN('Table 2'!E16,'Table 3'!$Q16),'Table 2'!E16)</f>
        <v>39.625127362793819</v>
      </c>
      <c r="F16" s="12">
        <f>IF($Q16&lt;&gt;0,MIN('Table 2'!F16,'Table 3'!$Q16),'Table 2'!F16)</f>
        <v>30.849490676682201</v>
      </c>
      <c r="G16" s="12">
        <f>IF($Q16&lt;&gt;0,MIN('Table 2'!G16,'Table 3'!$Q16),'Table 2'!G16)</f>
        <v>31.464314894934301</v>
      </c>
      <c r="H16" s="49">
        <f>IF($Q16&lt;&gt;0,MIN('Table 2'!H16,'Table 3'!$Q16),'Table 2'!H16)</f>
        <v>31.384445700822262</v>
      </c>
      <c r="I16" s="12">
        <f>IF($Q16&lt;&gt;0,MIN('Table 2'!I16,'Table 3'!$Q16),'Table 2'!I16)</f>
        <v>31.246318518627508</v>
      </c>
      <c r="J16" s="12">
        <f>IF($Q16&lt;&gt;0,MIN('Table 2'!J16,'Table 3'!$Q16),'Table 2'!J16)</f>
        <v>45.964516438962747</v>
      </c>
      <c r="K16" s="12">
        <f>IF($Q16&lt;&gt;0,MIN('Table 2'!K16,'Table 3'!$Q16),'Table 2'!K16)</f>
        <v>47.609214313409325</v>
      </c>
      <c r="L16" s="49">
        <f>IF($Q16&lt;&gt;0,MIN('Table 2'!L16,'Table 3'!$Q16),'Table 2'!L16)</f>
        <v>45.500636156536395</v>
      </c>
      <c r="M16" s="58">
        <f>IF($Q16&lt;&gt;0,MIN('Table 2'!M16,'Table 3'!$Q16),'Table 2'!M16)</f>
        <v>32.526377693864596</v>
      </c>
      <c r="N16" s="12">
        <f>IF($Q16&lt;&gt;0,MIN('Table 2'!N16,'Table 3'!$Q16),'Table 2'!N16)</f>
        <v>26.429055835130363</v>
      </c>
      <c r="O16" s="49">
        <f>IF($Q16&lt;&gt;0,MIN('Table 2'!O16,'Table 3'!$Q16),'Table 2'!O16)</f>
        <v>27.862035377767082</v>
      </c>
      <c r="Q16" s="57">
        <f>VLOOKUP(B16,'Table 4'!$B$11:$K$41,9,FALSE)</f>
        <v>0</v>
      </c>
    </row>
    <row r="17" spans="2:17" ht="12.75" customHeight="1">
      <c r="B17" s="75">
        <f t="shared" si="0"/>
        <v>2019</v>
      </c>
      <c r="C17" s="77">
        <v>35.541489006299152</v>
      </c>
      <c r="D17" s="12">
        <f>'Table 2'!D17</f>
        <v>26.184205386780583</v>
      </c>
      <c r="E17" s="12">
        <f>'Table 2'!E17</f>
        <v>28.961041775910335</v>
      </c>
      <c r="F17" s="12">
        <f>'Table 2'!F17</f>
        <v>34.519256797438317</v>
      </c>
      <c r="G17" s="12">
        <f>'Table 2'!G17</f>
        <v>32.325449754738926</v>
      </c>
      <c r="H17" s="49">
        <f>'Table 2'!H17</f>
        <v>35.186311323213367</v>
      </c>
      <c r="I17" s="12">
        <f>IF($Q17&lt;&gt;0,MIN('Table 2'!I17,'Table 3'!$Q17),'Table 2'!I17)</f>
        <v>34.094630000163967</v>
      </c>
      <c r="J17" s="12">
        <f>IF($Q17&lt;&gt;0,MIN('Table 2'!J17,'Table 3'!$Q17),'Table 2'!J17)</f>
        <v>48.916171171726361</v>
      </c>
      <c r="K17" s="12">
        <f>IF($Q17&lt;&gt;0,MIN('Table 2'!K17,'Table 3'!$Q17),'Table 2'!K17)</f>
        <v>50.326971882511025</v>
      </c>
      <c r="L17" s="49">
        <f>IF($Q17&lt;&gt;0,MIN('Table 2'!L17,'Table 3'!$Q17),'Table 2'!L17)</f>
        <v>46.848942737908537</v>
      </c>
      <c r="M17" s="58">
        <f>IF($Q17&lt;&gt;0,MIN('Table 2'!M17,'Table 3'!$Q17),'Table 2'!M17)</f>
        <v>33.372292918722266</v>
      </c>
      <c r="N17" s="12">
        <f>IF($Q17&lt;&gt;0,MIN('Table 2'!N17,'Table 3'!$Q17),'Table 2'!N17)</f>
        <v>27.168766715522686</v>
      </c>
      <c r="O17" s="49">
        <f>IF($Q17&lt;&gt;0,MIN('Table 2'!O17,'Table 3'!$Q17),'Table 2'!O17)</f>
        <v>27.901262820366437</v>
      </c>
      <c r="Q17" s="57">
        <f>VLOOKUP(B17,'Table 4'!$B$11:$K$41,9,FALSE)</f>
        <v>0</v>
      </c>
    </row>
    <row r="18" spans="2:17" ht="12.75" customHeight="1">
      <c r="B18" s="75">
        <f t="shared" si="0"/>
        <v>2020</v>
      </c>
      <c r="C18" s="77">
        <v>38.292222299528738</v>
      </c>
      <c r="D18" s="12">
        <f>IF($Q18&lt;&gt;0,MIN('Table 2'!D18,'Table 3'!$Q18),'Table 2'!D18)</f>
        <v>26.808140783839441</v>
      </c>
      <c r="E18" s="12">
        <f>IF($Q18&lt;&gt;0,MIN('Table 2'!E18,'Table 3'!$Q18),'Table 2'!E18)</f>
        <v>37.804513476335366</v>
      </c>
      <c r="F18" s="12">
        <f>IF($Q18&lt;&gt;0,MIN('Table 2'!F18,'Table 3'!$Q18),'Table 2'!F18)</f>
        <v>39.639706581436066</v>
      </c>
      <c r="G18" s="12">
        <f>IF($Q18&lt;&gt;0,MIN('Table 2'!G18,'Table 3'!$Q18),'Table 2'!G18)</f>
        <v>32.238455093463799</v>
      </c>
      <c r="H18" s="49">
        <f>IF($Q18&lt;&gt;0,MIN('Table 2'!H18,'Table 3'!$Q18),'Table 2'!H18)</f>
        <v>38.042061595825842</v>
      </c>
      <c r="I18" s="12">
        <f>IF($Q18&lt;&gt;0,MIN('Table 2'!I18,'Table 3'!$Q18),'Table 2'!I18)</f>
        <v>36.575213814052006</v>
      </c>
      <c r="J18" s="12">
        <f>IF($Q18&lt;&gt;0,MIN('Table 2'!J18,'Table 3'!$Q18),'Table 2'!J18)</f>
        <v>51.888597909550569</v>
      </c>
      <c r="K18" s="12">
        <f>IF($Q18&lt;&gt;0,MIN('Table 2'!K18,'Table 3'!$Q18),'Table 2'!K18)</f>
        <v>51.984979886306213</v>
      </c>
      <c r="L18" s="49">
        <f>IF($Q18&lt;&gt;0,MIN('Table 2'!L18,'Table 3'!$Q18),'Table 2'!L18)</f>
        <v>49.111271824836244</v>
      </c>
      <c r="M18" s="58">
        <f>IF($Q18&lt;&gt;0,MIN('Table 2'!M18,'Table 3'!$Q18),'Table 2'!M18)</f>
        <v>34.761053592662911</v>
      </c>
      <c r="N18" s="12">
        <f>IF($Q18&lt;&gt;0,MIN('Table 2'!N18,'Table 3'!$Q18),'Table 2'!N18)</f>
        <v>32.104068157352948</v>
      </c>
      <c r="O18" s="49">
        <f>IF($Q18&lt;&gt;0,MIN('Table 2'!O18,'Table 3'!$Q18),'Table 2'!O18)</f>
        <v>28.415853331751702</v>
      </c>
      <c r="Q18" s="57">
        <f>VLOOKUP(B18,'Table 4'!$B$11:$K$41,9,FALSE)</f>
        <v>0</v>
      </c>
    </row>
    <row r="19" spans="2:17" ht="12.75" customHeight="1">
      <c r="B19" s="75">
        <f t="shared" si="0"/>
        <v>2021</v>
      </c>
      <c r="C19" s="77">
        <v>42.864118760059895</v>
      </c>
      <c r="D19" s="12">
        <f>IF($Q19&lt;&gt;0,MIN('Table 2'!D19,'Table 3'!$Q19),'Table 2'!D19)</f>
        <v>36.489959098355804</v>
      </c>
      <c r="E19" s="12">
        <f>IF($Q19&lt;&gt;0,MIN('Table 2'!E19,'Table 3'!$Q19),'Table 2'!E19)</f>
        <v>40.667760032037904</v>
      </c>
      <c r="F19" s="12">
        <f>IF($Q19&lt;&gt;0,MIN('Table 2'!F19,'Table 3'!$Q19),'Table 2'!F19)</f>
        <v>41.11136090860176</v>
      </c>
      <c r="G19" s="12">
        <f>IF($Q19&lt;&gt;0,MIN('Table 2'!G19,'Table 3'!$Q19),'Table 2'!G19)</f>
        <v>35.25240064918313</v>
      </c>
      <c r="H19" s="49">
        <f>IF($Q19&lt;&gt;0,MIN('Table 2'!H19,'Table 3'!$Q19),'Table 2'!H19)</f>
        <v>41.433635522612263</v>
      </c>
      <c r="I19" s="12">
        <f>IF($Q19&lt;&gt;0,MIN('Table 2'!I19,'Table 3'!$Q19),'Table 2'!I19)</f>
        <v>37.677594499346476</v>
      </c>
      <c r="J19" s="12">
        <f>IF($Q19&lt;&gt;0,MIN('Table 2'!J19,'Table 3'!$Q19),'Table 2'!J19)</f>
        <v>54.976307065781633</v>
      </c>
      <c r="K19" s="12">
        <f>IF($Q19&lt;&gt;0,MIN('Table 2'!K19,'Table 3'!$Q19),'Table 2'!K19)</f>
        <v>54.801573956515085</v>
      </c>
      <c r="L19" s="49">
        <f>IF($Q19&lt;&gt;0,MIN('Table 2'!L19,'Table 3'!$Q19),'Table 2'!L19)</f>
        <v>51.911133888399384</v>
      </c>
      <c r="M19" s="58">
        <f>IF($Q19&lt;&gt;0,MIN('Table 2'!M19,'Table 3'!$Q19),'Table 2'!M19)</f>
        <v>42.671203815623187</v>
      </c>
      <c r="N19" s="12">
        <f>IF($Q19&lt;&gt;0,MIN('Table 2'!N19,'Table 3'!$Q19),'Table 2'!N19)</f>
        <v>41.574637013235026</v>
      </c>
      <c r="O19" s="49">
        <f>IF($Q19&lt;&gt;0,MIN('Table 2'!O19,'Table 3'!$Q19),'Table 2'!O19)</f>
        <v>35.426704310564055</v>
      </c>
      <c r="Q19" s="57">
        <f>VLOOKUP(B19,'Table 4'!$B$11:$K$41,9,FALSE)</f>
        <v>0</v>
      </c>
    </row>
    <row r="20" spans="2:17" ht="12.75" customHeight="1">
      <c r="B20" s="75">
        <f t="shared" si="0"/>
        <v>2022</v>
      </c>
      <c r="C20" s="77">
        <v>48.399171421300522</v>
      </c>
      <c r="D20" s="12">
        <f>IF($Q20&lt;&gt;0,MIN('Table 2'!D20,'Table 3'!$Q20),'Table 2'!D20)</f>
        <v>42.619985039532182</v>
      </c>
      <c r="E20" s="12">
        <f>IF($Q20&lt;&gt;0,MIN('Table 2'!E20,'Table 3'!$Q20),'Table 2'!E20)</f>
        <v>43.051812434874748</v>
      </c>
      <c r="F20" s="12">
        <f>IF($Q20&lt;&gt;0,MIN('Table 2'!F20,'Table 3'!$Q20),'Table 2'!F20)</f>
        <v>44.182876551866173</v>
      </c>
      <c r="G20" s="12">
        <f>IF($Q20&lt;&gt;0,MIN('Table 2'!G20,'Table 3'!$Q20),'Table 2'!G20)</f>
        <v>49.011864499183361</v>
      </c>
      <c r="H20" s="49">
        <f>IF($Q20&lt;&gt;0,MIN('Table 2'!H20,'Table 3'!$Q20),'Table 2'!H20)</f>
        <v>45.447266554395604</v>
      </c>
      <c r="I20" s="12">
        <f>IF($Q20&lt;&gt;0,MIN('Table 2'!I20,'Table 3'!$Q20),'Table 2'!I20)</f>
        <v>43.762368848530294</v>
      </c>
      <c r="J20" s="12">
        <f>IF($Q20&lt;&gt;0,MIN('Table 2'!J20,'Table 3'!$Q20),'Table 2'!J20)</f>
        <v>59.746144618595387</v>
      </c>
      <c r="K20" s="12">
        <f>IF($Q20&lt;&gt;0,MIN('Table 2'!K20,'Table 3'!$Q20),'Table 2'!K20)</f>
        <v>60.66820856862708</v>
      </c>
      <c r="L20" s="49">
        <f>IF($Q20&lt;&gt;0,MIN('Table 2'!L20,'Table 3'!$Q20),'Table 2'!L20)</f>
        <v>57.754093893627619</v>
      </c>
      <c r="M20" s="58">
        <f>IF($Q20&lt;&gt;0,MIN('Table 2'!M20,'Table 3'!$Q20),'Table 2'!M20)</f>
        <v>49.560155885673204</v>
      </c>
      <c r="N20" s="12">
        <f>IF($Q20&lt;&gt;0,MIN('Table 2'!N20,'Table 3'!$Q20),'Table 2'!N20)</f>
        <v>43.635978441339695</v>
      </c>
      <c r="O20" s="49">
        <f>IF($Q20&lt;&gt;0,MIN('Table 2'!O20,'Table 3'!$Q20),'Table 2'!O20)</f>
        <v>40.850125688329989</v>
      </c>
      <c r="Q20" s="57">
        <f>VLOOKUP(B20,'Table 4'!$B$11:$K$41,9,FALSE)</f>
        <v>0</v>
      </c>
    </row>
    <row r="21" spans="2:17" ht="12.75" customHeight="1">
      <c r="B21" s="76">
        <f t="shared" si="0"/>
        <v>2023</v>
      </c>
      <c r="C21" s="78">
        <v>52.571582341929002</v>
      </c>
      <c r="D21" s="21">
        <f>IF($Q21&lt;&gt;0,MIN('Table 2'!D21,'Table 3'!$Q21),'Table 2'!D21)</f>
        <v>45.055635684378004</v>
      </c>
      <c r="E21" s="21">
        <f>IF($Q21&lt;&gt;0,MIN('Table 2'!E21,'Table 3'!$Q21),'Table 2'!E21)</f>
        <v>46.678333640755973</v>
      </c>
      <c r="F21" s="21">
        <f>IF($Q21&lt;&gt;0,MIN('Table 2'!F21,'Table 3'!$Q21),'Table 2'!F21)</f>
        <v>48.620264714263065</v>
      </c>
      <c r="G21" s="21">
        <f>IF($Q21&lt;&gt;0,MIN('Table 2'!G21,'Table 3'!$Q21),'Table 2'!G21)</f>
        <v>53.402282484477155</v>
      </c>
      <c r="H21" s="50">
        <f>IF($Q21&lt;&gt;0,MIN('Table 2'!H21,'Table 3'!$Q21),'Table 2'!H21)</f>
        <v>51.693865443390521</v>
      </c>
      <c r="I21" s="12">
        <f>IF($Q21&lt;&gt;0,MIN('Table 2'!I21,'Table 3'!$Q21),'Table 2'!I21)</f>
        <v>47.974214694117698</v>
      </c>
      <c r="J21" s="12">
        <f>IF($Q21&lt;&gt;0,MIN('Table 2'!J21,'Table 3'!$Q21),'Table 2'!J21)</f>
        <v>64.085879393264051</v>
      </c>
      <c r="K21" s="12">
        <f>IF($Q21&lt;&gt;0,MIN('Table 2'!K21,'Table 3'!$Q21),'Table 2'!K21)</f>
        <v>66.030116893580583</v>
      </c>
      <c r="L21" s="49">
        <f>IF($Q21&lt;&gt;0,MIN('Table 2'!L21,'Table 3'!$Q21),'Table 2'!L21)</f>
        <v>62.247536283823983</v>
      </c>
      <c r="M21" s="58">
        <f>IF($Q21&lt;&gt;0,MIN('Table 2'!M21,'Table 3'!$Q21),'Table 2'!M21)</f>
        <v>52.90562380660964</v>
      </c>
      <c r="N21" s="12">
        <f>IF($Q21&lt;&gt;0,MIN('Table 2'!N21,'Table 3'!$Q21),'Table 2'!N21)</f>
        <v>46.7295709591505</v>
      </c>
      <c r="O21" s="49">
        <f>IF($Q21&lt;&gt;0,MIN('Table 2'!O21,'Table 3'!$Q21),'Table 2'!O21)</f>
        <v>44.867519877925467</v>
      </c>
      <c r="Q21" s="57">
        <f>VLOOKUP(B21,'Table 4'!$B$11:$K$41,9,FALSE)</f>
        <v>0</v>
      </c>
    </row>
    <row r="22" spans="2:17" ht="12.75" customHeight="1">
      <c r="B22" s="113">
        <f t="shared" si="0"/>
        <v>2024</v>
      </c>
      <c r="C22" s="77">
        <v>55.04082022605283</v>
      </c>
      <c r="D22" s="11">
        <f>IF($Q22&lt;&gt;0,MIN('Table 2'!D22,'Table 3'!$Q22),'Table 2'!D22)</f>
        <v>53.977159361480481</v>
      </c>
      <c r="E22" s="11">
        <f>IF($Q22&lt;&gt;0,MIN('Table 2'!E22,'Table 3'!$Q22),'Table 2'!E22)</f>
        <v>53.890462831473776</v>
      </c>
      <c r="F22" s="11">
        <f>IF($Q22&lt;&gt;0,MIN('Table 2'!F22,'Table 3'!$Q22),'Table 2'!F22)</f>
        <v>53.045427445446215</v>
      </c>
      <c r="G22" s="11">
        <f>IF($Q22&lt;&gt;0,MIN('Table 2'!G22,'Table 3'!$Q22),'Table 2'!G22)</f>
        <v>52.286192113071486</v>
      </c>
      <c r="H22" s="48">
        <f>IF($Q22&lt;&gt;0,MIN('Table 2'!H22,'Table 3'!$Q22),'Table 2'!H22)</f>
        <v>51.041511336021749</v>
      </c>
      <c r="I22" s="59">
        <f>IF($Q22&lt;&gt;0,MIN('Table 2'!I22,'Table 3'!$Q22),'Table 2'!I22)</f>
        <v>47.947103952287748</v>
      </c>
      <c r="J22" s="11">
        <f>IF($Q22&lt;&gt;0,MIN('Table 2'!J22,'Table 3'!$Q22),'Table 2'!J22)</f>
        <v>64.532214641524391</v>
      </c>
      <c r="K22" s="11">
        <f>IF($Q22&lt;&gt;0,MIN('Table 2'!K22,'Table 3'!$Q22),'Table 2'!K22)</f>
        <v>67.026702058980689</v>
      </c>
      <c r="L22" s="48">
        <f>IF($Q22&lt;&gt;0,MIN('Table 2'!L22,'Table 3'!$Q22),'Table 2'!L22)</f>
        <v>62.219624395751779</v>
      </c>
      <c r="M22" s="59">
        <f>IF($Q22&lt;&gt;0,MIN('Table 2'!M22,'Table 3'!$Q22),'Table 2'!M22)</f>
        <v>55.148807379506309</v>
      </c>
      <c r="N22" s="11">
        <f>IF($Q22&lt;&gt;0,MIN('Table 2'!N22,'Table 3'!$Q22),'Table 2'!N22)</f>
        <v>50.993781729738402</v>
      </c>
      <c r="O22" s="48">
        <f>IF($Q22&lt;&gt;0,MIN('Table 2'!O22,'Table 3'!$Q22),'Table 2'!O22)</f>
        <v>48.089975031783389</v>
      </c>
      <c r="Q22" s="60">
        <f>VLOOKUP(B22,'Table 4'!$B$11:$K$41,9,FALSE)</f>
        <v>0</v>
      </c>
    </row>
    <row r="23" spans="2:17" ht="12.75" customHeight="1">
      <c r="B23" s="75">
        <f t="shared" si="0"/>
        <v>2025</v>
      </c>
      <c r="C23" s="77">
        <v>59.331816557655081</v>
      </c>
      <c r="D23" s="12">
        <f>IF($Q23&lt;&gt;0,MIN('Table 2'!D23,'Table 3'!$Q23),'Table 2'!D23)</f>
        <v>55.8553417349775</v>
      </c>
      <c r="E23" s="12">
        <f>IF($Q23&lt;&gt;0,MIN('Table 2'!E23,'Table 3'!$Q23),'Table 2'!E23)</f>
        <v>55.611884051470049</v>
      </c>
      <c r="F23" s="12">
        <f>IF($Q23&lt;&gt;0,MIN('Table 2'!F23,'Table 3'!$Q23),'Table 2'!F23)</f>
        <v>55.528634100411601</v>
      </c>
      <c r="G23" s="12">
        <f>IF($Q23&lt;&gt;0,MIN('Table 2'!G23,'Table 3'!$Q23),'Table 2'!G23)</f>
        <v>55.057180885457818</v>
      </c>
      <c r="H23" s="49">
        <f>IF($Q23&lt;&gt;0,MIN('Table 2'!H23,'Table 3'!$Q23),'Table 2'!H23)</f>
        <v>54.67184476533847</v>
      </c>
      <c r="I23" s="58">
        <f>IF($Q23&lt;&gt;0,MIN('Table 2'!I23,'Table 3'!$Q23),'Table 2'!I23)</f>
        <v>52.233172368627358</v>
      </c>
      <c r="J23" s="12">
        <f>IF($Q23&lt;&gt;0,MIN('Table 2'!J23,'Table 3'!$Q23),'Table 2'!J23)</f>
        <v>74.849982004110799</v>
      </c>
      <c r="K23" s="12">
        <f>IF($Q23&lt;&gt;0,MIN('Table 2'!K23,'Table 3'!$Q23),'Table 2'!K23)</f>
        <v>76.108223643737787</v>
      </c>
      <c r="L23" s="49">
        <f>IF($Q23&lt;&gt;0,MIN('Table 2'!L23,'Table 3'!$Q23),'Table 2'!L23)</f>
        <v>74.812350921895771</v>
      </c>
      <c r="M23" s="58">
        <f>IF($Q23&lt;&gt;0,MIN('Table 2'!M23,'Table 3'!$Q23),'Table 2'!M23)</f>
        <v>56.055105965370096</v>
      </c>
      <c r="N23" s="12">
        <f>IF($Q23&lt;&gt;0,MIN('Table 2'!N23,'Table 3'!$Q23),'Table 2'!N23)</f>
        <v>51.816240614215339</v>
      </c>
      <c r="O23" s="49">
        <f>IF($Q23&lt;&gt;0,MIN('Table 2'!O23,'Table 3'!$Q23),'Table 2'!O23)</f>
        <v>48.911898314990083</v>
      </c>
      <c r="Q23" s="57">
        <f>VLOOKUP(B23,'Table 4'!$B$11:$K$41,9,FALSE)</f>
        <v>0</v>
      </c>
    </row>
    <row r="24" spans="2:17" ht="12.75" customHeight="1">
      <c r="B24" s="75">
        <f t="shared" si="0"/>
        <v>2026</v>
      </c>
      <c r="C24" s="77">
        <v>61.495345345809518</v>
      </c>
      <c r="D24" s="12">
        <f>IF($Q24&lt;&gt;0,MIN('Table 2'!D24,'Table 3'!$Q24),'Table 2'!D24)</f>
        <v>58.645541017393214</v>
      </c>
      <c r="E24" s="12">
        <f>IF($Q24&lt;&gt;0,MIN('Table 2'!E24,'Table 3'!$Q24),'Table 2'!E24)</f>
        <v>59.127915816876715</v>
      </c>
      <c r="F24" s="12">
        <f>IF($Q24&lt;&gt;0,MIN('Table 2'!F24,'Table 3'!$Q24),'Table 2'!F24)</f>
        <v>57.950413000790533</v>
      </c>
      <c r="G24" s="12">
        <f>IF($Q24&lt;&gt;0,MIN('Table 2'!G24,'Table 3'!$Q24),'Table 2'!G24)</f>
        <v>58.012185950980466</v>
      </c>
      <c r="H24" s="49">
        <f>IF($Q24&lt;&gt;0,MIN('Table 2'!H24,'Table 3'!$Q24),'Table 2'!H24)</f>
        <v>55.69754463994262</v>
      </c>
      <c r="I24" s="58">
        <f>IF($Q24&lt;&gt;0,MIN('Table 2'!I24,'Table 3'!$Q24),'Table 2'!I24)</f>
        <v>52.75335379820244</v>
      </c>
      <c r="J24" s="12">
        <f>IF($Q24&lt;&gt;0,MIN('Table 2'!J24,'Table 3'!$Q24),'Table 2'!J24)</f>
        <v>78.13300806198653</v>
      </c>
      <c r="K24" s="12">
        <f>IF($Q24&lt;&gt;0,MIN('Table 2'!K24,'Table 3'!$Q24),'Table 2'!K24)</f>
        <v>78.333734108317714</v>
      </c>
      <c r="L24" s="49">
        <f>IF($Q24&lt;&gt;0,MIN('Table 2'!L24,'Table 3'!$Q24),'Table 2'!L24)</f>
        <v>77.651126860620252</v>
      </c>
      <c r="M24" s="58">
        <f>IF($Q24&lt;&gt;0,MIN('Table 2'!M24,'Table 3'!$Q24),'Table 2'!M24)</f>
        <v>58.334173191176191</v>
      </c>
      <c r="N24" s="12">
        <f>IF($Q24&lt;&gt;0,MIN('Table 2'!N24,'Table 3'!$Q24),'Table 2'!N24)</f>
        <v>52.995141854411344</v>
      </c>
      <c r="O24" s="49">
        <f>IF($Q24&lt;&gt;0,MIN('Table 2'!O24,'Table 3'!$Q24),'Table 2'!O24)</f>
        <v>49.933494187539928</v>
      </c>
      <c r="Q24" s="57">
        <f>VLOOKUP(B24,'Table 4'!$B$11:$K$41,9,FALSE)</f>
        <v>0</v>
      </c>
    </row>
    <row r="25" spans="2:17" ht="12.75" customHeight="1">
      <c r="B25" s="75">
        <f t="shared" si="0"/>
        <v>2027</v>
      </c>
      <c r="C25" s="77">
        <v>63.227155782890165</v>
      </c>
      <c r="D25" s="12">
        <f>IF($Q25&lt;&gt;0,MIN('Table 2'!D25,'Table 3'!$Q25),'Table 2'!D25)</f>
        <v>60.781861099779398</v>
      </c>
      <c r="E25" s="12">
        <f>IF($Q25&lt;&gt;0,MIN('Table 2'!E25,'Table 3'!$Q25),'Table 2'!E25)</f>
        <v>60.627593084033421</v>
      </c>
      <c r="F25" s="12">
        <f>IF($Q25&lt;&gt;0,MIN('Table 2'!F25,'Table 3'!$Q25),'Table 2'!F25)</f>
        <v>59.250852191334168</v>
      </c>
      <c r="G25" s="12">
        <f>IF($Q25&lt;&gt;0,MIN('Table 2'!G25,'Table 3'!$Q25),'Table 2'!G25)</f>
        <v>59.869447110457941</v>
      </c>
      <c r="H25" s="49">
        <f>IF($Q25&lt;&gt;0,MIN('Table 2'!H25,'Table 3'!$Q25),'Table 2'!H25)</f>
        <v>57.28788059535168</v>
      </c>
      <c r="I25" s="58">
        <f>IF($Q25&lt;&gt;0,MIN('Table 2'!I25,'Table 3'!$Q25),'Table 2'!I25)</f>
        <v>54.677440483659701</v>
      </c>
      <c r="J25" s="12">
        <f>IF($Q25&lt;&gt;0,MIN('Table 2'!J25,'Table 3'!$Q25),'Table 2'!J25)</f>
        <v>80.380473216950591</v>
      </c>
      <c r="K25" s="12">
        <f>IF($Q25&lt;&gt;0,MIN('Table 2'!K25,'Table 3'!$Q25),'Table 2'!K25)</f>
        <v>81.330390392158094</v>
      </c>
      <c r="L25" s="49">
        <f>IF($Q25&lt;&gt;0,MIN('Table 2'!L25,'Table 3'!$Q25),'Table 2'!L25)</f>
        <v>78.677533563561497</v>
      </c>
      <c r="M25" s="58">
        <f>IF($Q25&lt;&gt;0,MIN('Table 2'!M25,'Table 3'!$Q25),'Table 2'!M25)</f>
        <v>60.375343196237296</v>
      </c>
      <c r="N25" s="12">
        <f>IF($Q25&lt;&gt;0,MIN('Table 2'!N25,'Table 3'!$Q25),'Table 2'!N25)</f>
        <v>53.905958653431803</v>
      </c>
      <c r="O25" s="49">
        <f>IF($Q25&lt;&gt;0,MIN('Table 2'!O25,'Table 3'!$Q25),'Table 2'!O25)</f>
        <v>51.123130278146057</v>
      </c>
      <c r="Q25" s="57">
        <f>VLOOKUP(B25,'Table 4'!$B$11:$K$41,9,FALSE)</f>
        <v>0</v>
      </c>
    </row>
    <row r="26" spans="2:17" ht="12.75" customHeight="1">
      <c r="B26" s="75">
        <f t="shared" si="0"/>
        <v>2028</v>
      </c>
      <c r="C26" s="77">
        <v>43.392053567847512</v>
      </c>
      <c r="D26" s="12">
        <f>IF($Q26&lt;&gt;0,MIN('Table 2'!D26,'Table 3'!$Q26),'Table 2'!D26)</f>
        <v>43.319665474541708</v>
      </c>
      <c r="E26" s="12">
        <f>IF($Q26&lt;&gt;0,MIN('Table 2'!E26,'Table 3'!$Q26),'Table 2'!E26)</f>
        <v>44.265154469743663</v>
      </c>
      <c r="F26" s="12">
        <f>IF($Q26&lt;&gt;0,MIN('Table 2'!F26,'Table 3'!$Q26),'Table 2'!F26)</f>
        <v>41.717620538424875</v>
      </c>
      <c r="G26" s="12">
        <f>IF($Q26&lt;&gt;0,MIN('Table 2'!G26,'Table 3'!$Q26),'Table 2'!G26)</f>
        <v>42.653549080065943</v>
      </c>
      <c r="H26" s="49">
        <f>IF($Q26&lt;&gt;0,MIN('Table 2'!H26,'Table 3'!$Q26),'Table 2'!H26)</f>
        <v>45.75</v>
      </c>
      <c r="I26" s="58">
        <f>IF($Q26&lt;&gt;0,MIN('Table 2'!I26,'Table 3'!$Q26),'Table 2'!I26)</f>
        <v>42.198015136927658</v>
      </c>
      <c r="J26" s="12">
        <f>IF($Q26&lt;&gt;0,MIN('Table 2'!J26,'Table 3'!$Q26),'Table 2'!J26)</f>
        <v>41.75591052055811</v>
      </c>
      <c r="K26" s="12">
        <f>IF($Q26&lt;&gt;0,MIN('Table 2'!K26,'Table 3'!$Q26),'Table 2'!K26)</f>
        <v>42.675097125553769</v>
      </c>
      <c r="L26" s="49">
        <f>IF($Q26&lt;&gt;0,MIN('Table 2'!L26,'Table 3'!$Q26),'Table 2'!L26)</f>
        <v>43.32684644215734</v>
      </c>
      <c r="M26" s="58">
        <f>IF($Q26&lt;&gt;0,MIN('Table 2'!M26,'Table 3'!$Q26),'Table 2'!M26)</f>
        <v>43.215408791745865</v>
      </c>
      <c r="N26" s="12">
        <f>IF($Q26&lt;&gt;0,MIN('Table 2'!N26,'Table 3'!$Q26),'Table 2'!N26)</f>
        <v>44.505367591503791</v>
      </c>
      <c r="O26" s="49">
        <f>IF($Q26&lt;&gt;0,MIN('Table 2'!O26,'Table 3'!$Q26),'Table 2'!O26)</f>
        <v>45.32200764294744</v>
      </c>
      <c r="Q26" s="57">
        <f>VLOOKUP(B26,'Table 4'!$B$11:$K$41,9,FALSE)</f>
        <v>45.75</v>
      </c>
    </row>
    <row r="27" spans="2:17" ht="12.75" customHeight="1">
      <c r="B27" s="75">
        <f t="shared" si="0"/>
        <v>2029</v>
      </c>
      <c r="C27" s="77">
        <v>45.208064630266669</v>
      </c>
      <c r="D27" s="12">
        <f>IF($Q27&lt;&gt;0,MIN('Table 2'!D27,'Table 3'!$Q27),'Table 2'!D27)</f>
        <v>46.235312960467937</v>
      </c>
      <c r="E27" s="12">
        <f>IF($Q27&lt;&gt;0,MIN('Table 2'!E27,'Table 3'!$Q27),'Table 2'!E27)</f>
        <v>46.537878621148899</v>
      </c>
      <c r="F27" s="12">
        <f>IF($Q27&lt;&gt;0,MIN('Table 2'!F27,'Table 3'!$Q27),'Table 2'!F27)</f>
        <v>43.862177329537786</v>
      </c>
      <c r="G27" s="12">
        <f>IF($Q27&lt;&gt;0,MIN('Table 2'!G27,'Table 3'!$Q27),'Table 2'!G27)</f>
        <v>43.588645684640682</v>
      </c>
      <c r="H27" s="49">
        <f>IF($Q27&lt;&gt;0,MIN('Table 2'!H27,'Table 3'!$Q27),'Table 2'!H27)</f>
        <v>47.13</v>
      </c>
      <c r="I27" s="58">
        <f>IF($Q27&lt;&gt;0,MIN('Table 2'!I27,'Table 3'!$Q27),'Table 2'!I27)</f>
        <v>43.86808137696066</v>
      </c>
      <c r="J27" s="12">
        <f>IF($Q27&lt;&gt;0,MIN('Table 2'!J27,'Table 3'!$Q27),'Table 2'!J27)</f>
        <v>44.14906233254252</v>
      </c>
      <c r="K27" s="12">
        <f>IF($Q27&lt;&gt;0,MIN('Table 2'!K27,'Table 3'!$Q27),'Table 2'!K27)</f>
        <v>44.091026093927198</v>
      </c>
      <c r="L27" s="49">
        <f>IF($Q27&lt;&gt;0,MIN('Table 2'!L27,'Table 3'!$Q27),'Table 2'!L27)</f>
        <v>44.891001492974418</v>
      </c>
      <c r="M27" s="58">
        <f>IF($Q27&lt;&gt;0,MIN('Table 2'!M27,'Table 3'!$Q27),'Table 2'!M27)</f>
        <v>44.870015889627226</v>
      </c>
      <c r="N27" s="12">
        <f>IF($Q27&lt;&gt;0,MIN('Table 2'!N27,'Table 3'!$Q27),'Table 2'!N27)</f>
        <v>46.143573781372673</v>
      </c>
      <c r="O27" s="49">
        <f>IF($Q27&lt;&gt;0,MIN('Table 2'!O27,'Table 3'!$Q27),'Table 2'!O27)</f>
        <v>47.13</v>
      </c>
      <c r="Q27" s="57">
        <f>VLOOKUP(B27,'Table 4'!$B$11:$K$41,9,FALSE)</f>
        <v>47.13</v>
      </c>
    </row>
    <row r="28" spans="2:17" ht="12.75" customHeight="1">
      <c r="B28" s="75">
        <f t="shared" si="0"/>
        <v>2030</v>
      </c>
      <c r="C28" s="77">
        <v>45.455453940818479</v>
      </c>
      <c r="D28" s="12">
        <f>IF($Q28&lt;&gt;0,MIN('Table 2'!D28,'Table 3'!$Q28),'Table 2'!D28)</f>
        <v>46.532114662555657</v>
      </c>
      <c r="E28" s="12">
        <f>IF($Q28&lt;&gt;0,MIN('Table 2'!E28,'Table 3'!$Q28),'Table 2'!E28)</f>
        <v>47.47</v>
      </c>
      <c r="F28" s="12">
        <f>IF($Q28&lt;&gt;0,MIN('Table 2'!F28,'Table 3'!$Q28),'Table 2'!F28)</f>
        <v>43.478270497786177</v>
      </c>
      <c r="G28" s="12">
        <f>IF($Q28&lt;&gt;0,MIN('Table 2'!G28,'Table 3'!$Q28),'Table 2'!G28)</f>
        <v>42.765891993300976</v>
      </c>
      <c r="H28" s="49">
        <f>IF($Q28&lt;&gt;0,MIN('Table 2'!H28,'Table 3'!$Q28),'Table 2'!H28)</f>
        <v>47.47</v>
      </c>
      <c r="I28" s="58">
        <f>IF($Q28&lt;&gt;0,MIN('Table 2'!I28,'Table 3'!$Q28),'Table 2'!I28)</f>
        <v>44.352089489215338</v>
      </c>
      <c r="J28" s="12">
        <f>IF($Q28&lt;&gt;0,MIN('Table 2'!J28,'Table 3'!$Q28),'Table 2'!J28)</f>
        <v>44.660805357527515</v>
      </c>
      <c r="K28" s="12">
        <f>IF($Q28&lt;&gt;0,MIN('Table 2'!K28,'Table 3'!$Q28),'Table 2'!K28)</f>
        <v>44.165866603098628</v>
      </c>
      <c r="L28" s="49">
        <f>IF($Q28&lt;&gt;0,MIN('Table 2'!L28,'Table 3'!$Q28),'Table 2'!L28)</f>
        <v>45.356570079738603</v>
      </c>
      <c r="M28" s="58">
        <f>IF($Q28&lt;&gt;0,MIN('Table 2'!M28,'Table 3'!$Q28),'Table 2'!M28)</f>
        <v>44.518385963788482</v>
      </c>
      <c r="N28" s="12">
        <f>IF($Q28&lt;&gt;0,MIN('Table 2'!N28,'Table 3'!$Q28),'Table 2'!N28)</f>
        <v>47.225452642810403</v>
      </c>
      <c r="O28" s="49">
        <f>IF($Q28&lt;&gt;0,MIN('Table 2'!O28,'Table 3'!$Q28),'Table 2'!O28)</f>
        <v>47.47</v>
      </c>
      <c r="Q28" s="57">
        <f>VLOOKUP(B28,'Table 4'!$B$11:$K$41,9,FALSE)</f>
        <v>47.47</v>
      </c>
    </row>
    <row r="29" spans="2:17" ht="12.75" customHeight="1">
      <c r="B29" s="75">
        <f t="shared" si="0"/>
        <v>2031</v>
      </c>
      <c r="C29" s="77">
        <v>45.751077791292225</v>
      </c>
      <c r="D29" s="12">
        <f>IF($Q29&lt;&gt;0,MIN('Table 2'!D29,'Table 3'!$Q29),'Table 2'!D29)</f>
        <v>46.622440330171457</v>
      </c>
      <c r="E29" s="12">
        <f>IF($Q29&lt;&gt;0,MIN('Table 2'!E29,'Table 3'!$Q29),'Table 2'!E29)</f>
        <v>47.137977625699897</v>
      </c>
      <c r="F29" s="12">
        <f>IF($Q29&lt;&gt;0,MIN('Table 2'!F29,'Table 3'!$Q29),'Table 2'!F29)</f>
        <v>43.760838141524189</v>
      </c>
      <c r="G29" s="12">
        <f>IF($Q29&lt;&gt;0,MIN('Table 2'!G29,'Table 3'!$Q29),'Table 2'!G29)</f>
        <v>44.751453297385595</v>
      </c>
      <c r="H29" s="49">
        <f>IF($Q29&lt;&gt;0,MIN('Table 2'!H29,'Table 3'!$Q29),'Table 2'!H29)</f>
        <v>47.88</v>
      </c>
      <c r="I29" s="58">
        <f>IF($Q29&lt;&gt;0,MIN('Table 2'!I29,'Table 3'!$Q29),'Table 2'!I29)</f>
        <v>44.941959226143126</v>
      </c>
      <c r="J29" s="12">
        <f>IF($Q29&lt;&gt;0,MIN('Table 2'!J29,'Table 3'!$Q29),'Table 2'!J29)</f>
        <v>44.449098314041393</v>
      </c>
      <c r="K29" s="12">
        <f>IF($Q29&lt;&gt;0,MIN('Table 2'!K29,'Table 3'!$Q29),'Table 2'!K29)</f>
        <v>44.399788665875164</v>
      </c>
      <c r="L29" s="49">
        <f>IF($Q29&lt;&gt;0,MIN('Table 2'!L29,'Table 3'!$Q29),'Table 2'!L29)</f>
        <v>46.017624075653309</v>
      </c>
      <c r="M29" s="58">
        <f>IF($Q29&lt;&gt;0,MIN('Table 2'!M29,'Table 3'!$Q29),'Table 2'!M29)</f>
        <v>44.781661037476773</v>
      </c>
      <c r="N29" s="12">
        <f>IF($Q29&lt;&gt;0,MIN('Table 2'!N29,'Table 3'!$Q29),'Table 2'!N29)</f>
        <v>46.390092781535742</v>
      </c>
      <c r="O29" s="49">
        <f>IF($Q29&lt;&gt;0,MIN('Table 2'!O29,'Table 3'!$Q29),'Table 2'!O29)</f>
        <v>47.88</v>
      </c>
      <c r="Q29" s="57">
        <f>VLOOKUP(B29,'Table 4'!$B$11:$K$41,9,FALSE)</f>
        <v>47.88</v>
      </c>
    </row>
    <row r="30" spans="2:17" ht="12.75" customHeight="1">
      <c r="B30" s="75">
        <f t="shared" si="0"/>
        <v>2032</v>
      </c>
      <c r="C30" s="77">
        <v>46.388312445791932</v>
      </c>
      <c r="D30" s="12">
        <f>IF($Q30&lt;&gt;0,MIN('Table 2'!D30,'Table 3'!$Q30),'Table 2'!D30)</f>
        <v>46.815170048229078</v>
      </c>
      <c r="E30" s="12">
        <f>IF($Q30&lt;&gt;0,MIN('Table 2'!E30,'Table 3'!$Q30),'Table 2'!E30)</f>
        <v>47.750104382690587</v>
      </c>
      <c r="F30" s="12">
        <f>IF($Q30&lt;&gt;0,MIN('Table 2'!F30,'Table 3'!$Q30),'Table 2'!F30)</f>
        <v>44.335400705250152</v>
      </c>
      <c r="G30" s="12">
        <f>IF($Q30&lt;&gt;0,MIN('Table 2'!G30,'Table 3'!$Q30),'Table 2'!G30)</f>
        <v>43.78454237745089</v>
      </c>
      <c r="H30" s="49">
        <f>IF($Q30&lt;&gt;0,MIN('Table 2'!H30,'Table 3'!$Q30),'Table 2'!H30)</f>
        <v>48.78</v>
      </c>
      <c r="I30" s="58">
        <f>IF($Q30&lt;&gt;0,MIN('Table 2'!I30,'Table 3'!$Q30),'Table 2'!I30)</f>
        <v>45.776924375653557</v>
      </c>
      <c r="J30" s="12">
        <f>IF($Q30&lt;&gt;0,MIN('Table 2'!J30,'Table 3'!$Q30),'Table 2'!J30)</f>
        <v>45.392816569575075</v>
      </c>
      <c r="K30" s="12">
        <f>IF($Q30&lt;&gt;0,MIN('Table 2'!K30,'Table 3'!$Q30),'Table 2'!K30)</f>
        <v>46.032281457938623</v>
      </c>
      <c r="L30" s="49">
        <f>IF($Q30&lt;&gt;0,MIN('Table 2'!L30,'Table 3'!$Q30),'Table 2'!L30)</f>
        <v>47.123993771568038</v>
      </c>
      <c r="M30" s="58">
        <f>IF($Q30&lt;&gt;0,MIN('Table 2'!M30,'Table 3'!$Q30),'Table 2'!M30)</f>
        <v>45.414806234187182</v>
      </c>
      <c r="N30" s="12">
        <f>IF($Q30&lt;&gt;0,MIN('Table 2'!N30,'Table 3'!$Q30),'Table 2'!N30)</f>
        <v>46.673709426960038</v>
      </c>
      <c r="O30" s="49">
        <f>IF($Q30&lt;&gt;0,MIN('Table 2'!O30,'Table 3'!$Q30),'Table 2'!O30)</f>
        <v>48.78</v>
      </c>
      <c r="Q30" s="57">
        <f>VLOOKUP(B30,'Table 4'!$B$11:$K$41,9,FALSE)</f>
        <v>48.78</v>
      </c>
    </row>
    <row r="31" spans="2:17" ht="12.75" customHeight="1">
      <c r="B31" s="76">
        <f t="shared" si="0"/>
        <v>2033</v>
      </c>
      <c r="C31" s="78">
        <v>47.052757646153005</v>
      </c>
      <c r="D31" s="21">
        <f>IF($Q31&lt;&gt;0,MIN('Table 2'!D31,'Table 3'!$Q31),'Table 2'!D31)</f>
        <v>47.168918541429129</v>
      </c>
      <c r="E31" s="21">
        <f>IF($Q31&lt;&gt;0,MIN('Table 2'!E31,'Table 3'!$Q31),'Table 2'!E31)</f>
        <v>48.262513095938736</v>
      </c>
      <c r="F31" s="21">
        <f>IF($Q31&lt;&gt;0,MIN('Table 2'!F31,'Table 3'!$Q31),'Table 2'!F31)</f>
        <v>45.038636106419496</v>
      </c>
      <c r="G31" s="21">
        <f>IF($Q31&lt;&gt;0,MIN('Table 2'!G31,'Table 3'!$Q31),'Table 2'!G31)</f>
        <v>45.27244360931364</v>
      </c>
      <c r="H31" s="50">
        <f>IF($Q31&lt;&gt;0,MIN('Table 2'!H31,'Table 3'!$Q31),'Table 2'!H31)</f>
        <v>49.74</v>
      </c>
      <c r="I31" s="114">
        <f>IF($Q31&lt;&gt;0,MIN('Table 2'!I31,'Table 3'!$Q31),'Table 2'!I31)</f>
        <v>46.478731718954016</v>
      </c>
      <c r="J31" s="21">
        <f>IF($Q31&lt;&gt;0,MIN('Table 2'!J31,'Table 3'!$Q31),'Table 2'!J31)</f>
        <v>46.144635045540667</v>
      </c>
      <c r="K31" s="21">
        <f>IF($Q31&lt;&gt;0,MIN('Table 2'!K31,'Table 3'!$Q31),'Table 2'!K31)</f>
        <v>46.320719764074859</v>
      </c>
      <c r="L31" s="50">
        <f>IF($Q31&lt;&gt;0,MIN('Table 2'!L31,'Table 3'!$Q31),'Table 2'!L31)</f>
        <v>47.865535949673138</v>
      </c>
      <c r="M31" s="114">
        <f>IF($Q31&lt;&gt;0,MIN('Table 2'!M31,'Table 3'!$Q31),'Table 2'!M31)</f>
        <v>46.03565001154459</v>
      </c>
      <c r="N31" s="21">
        <f>IF($Q31&lt;&gt;0,MIN('Table 2'!N31,'Table 3'!$Q31),'Table 2'!N31)</f>
        <v>46.565307910947823</v>
      </c>
      <c r="O31" s="50">
        <f>IF($Q31&lt;&gt;0,MIN('Table 2'!O31,'Table 3'!$Q31),'Table 2'!O31)</f>
        <v>49.74</v>
      </c>
      <c r="Q31" s="115">
        <f>VLOOKUP(B31,'Table 4'!$B$11:$K$41,9,FALSE)</f>
        <v>49.74</v>
      </c>
    </row>
    <row r="32" spans="2:17" ht="12.75" customHeight="1">
      <c r="D32" s="19"/>
      <c r="E32" s="19"/>
      <c r="F32" s="19"/>
      <c r="M32" s="27"/>
    </row>
    <row r="33" spans="3:14">
      <c r="C33" s="6" t="s">
        <v>51</v>
      </c>
    </row>
    <row r="34" spans="3:14">
      <c r="C34" s="79" t="s">
        <v>49</v>
      </c>
      <c r="D34" s="79"/>
      <c r="E34" s="79"/>
      <c r="F34" s="79"/>
      <c r="G34" s="79"/>
      <c r="M34" s="6"/>
      <c r="N34" s="8"/>
    </row>
  </sheetData>
  <phoneticPr fontId="6" type="noConversion"/>
  <conditionalFormatting sqref="D13:O31">
    <cfRule type="cellIs" dxfId="0" priority="1" stopIfTrue="1" operator="equal">
      <formula>$Q13</formula>
    </cfRule>
  </conditionalFormatting>
  <printOptions horizontalCentered="1"/>
  <pageMargins left="0.25" right="0.25" top="0.75" bottom="0.75" header="0.3" footer="0.3"/>
  <pageSetup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O95"/>
  <sheetViews>
    <sheetView view="pageBreakPreview" topLeftCell="A13" zoomScale="85" zoomScaleSheetLayoutView="85" workbookViewId="0"/>
  </sheetViews>
  <sheetFormatPr defaultColWidth="9.33203125" defaultRowHeight="12.75"/>
  <cols>
    <col min="1" max="1" width="2.83203125" style="178" customWidth="1"/>
    <col min="2" max="2" width="10.83203125" style="178" customWidth="1"/>
    <col min="3" max="3" width="14.1640625" style="178" customWidth="1"/>
    <col min="4" max="4" width="12.33203125" style="178" customWidth="1"/>
    <col min="5" max="5" width="9.1640625" style="178" customWidth="1"/>
    <col min="6" max="6" width="10.5" style="178" customWidth="1"/>
    <col min="7" max="7" width="10.5" style="178" bestFit="1" customWidth="1"/>
    <col min="8" max="8" width="11.6640625" style="178" bestFit="1" customWidth="1"/>
    <col min="9" max="9" width="11.1640625" style="178" customWidth="1"/>
    <col min="10" max="10" width="12" style="178" bestFit="1" customWidth="1"/>
    <col min="11" max="11" width="12" style="178" customWidth="1"/>
    <col min="12" max="13" width="9.33203125" style="178"/>
    <col min="14" max="15" width="9.33203125" style="178" customWidth="1"/>
    <col min="16" max="16384" width="9.33203125" style="178"/>
  </cols>
  <sheetData>
    <row r="1" spans="2:14" ht="15.75">
      <c r="B1" s="1" t="s">
        <v>76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2:14" ht="3.75" customHeight="1">
      <c r="B2" s="1"/>
      <c r="C2" s="177"/>
      <c r="D2" s="177"/>
      <c r="E2" s="177"/>
      <c r="F2" s="177"/>
      <c r="G2" s="177"/>
      <c r="H2" s="177"/>
      <c r="I2" s="177"/>
      <c r="J2" s="177"/>
      <c r="K2" s="177"/>
    </row>
    <row r="3" spans="2:14" ht="15.75">
      <c r="B3" s="1" t="str">
        <f>"Table "&amp;RIGHT('Table 3'!B3,1)+1</f>
        <v>Table 4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2:14" ht="15.75">
      <c r="B4" s="1" t="s">
        <v>98</v>
      </c>
      <c r="C4" s="177"/>
      <c r="D4" s="177"/>
      <c r="E4" s="177"/>
      <c r="F4" s="177"/>
      <c r="G4" s="177"/>
      <c r="H4" s="177"/>
      <c r="I4" s="177"/>
      <c r="J4" s="177"/>
      <c r="K4" s="177"/>
    </row>
    <row r="5" spans="2:14" ht="15.75">
      <c r="B5" s="1" t="str">
        <f>C54</f>
        <v xml:space="preserve">2028 CCCT (400 MW 1x1) </v>
      </c>
      <c r="C5" s="177"/>
      <c r="D5" s="177"/>
      <c r="E5" s="177"/>
      <c r="F5" s="177"/>
      <c r="G5" s="177"/>
      <c r="H5" s="177"/>
      <c r="I5" s="177"/>
      <c r="J5" s="177"/>
      <c r="K5" s="177"/>
    </row>
    <row r="6" spans="2:14" ht="15.75">
      <c r="B6" s="1"/>
      <c r="C6" s="177"/>
      <c r="D6" s="177"/>
      <c r="E6" s="177"/>
      <c r="F6" s="177"/>
      <c r="G6" s="177"/>
      <c r="H6" s="177"/>
      <c r="I6" s="177"/>
      <c r="K6" s="82"/>
    </row>
    <row r="7" spans="2:14">
      <c r="B7" s="179"/>
      <c r="C7" s="179"/>
      <c r="D7" s="179"/>
      <c r="E7" s="179"/>
      <c r="F7" s="179"/>
      <c r="G7" s="179"/>
      <c r="H7" s="179"/>
      <c r="I7" s="177"/>
      <c r="J7" s="180"/>
      <c r="K7" s="180"/>
      <c r="L7" s="180"/>
      <c r="M7" s="180"/>
      <c r="N7" s="180"/>
    </row>
    <row r="8" spans="2:14" ht="51.75" customHeight="1">
      <c r="B8" s="83" t="s">
        <v>0</v>
      </c>
      <c r="C8" s="84" t="s">
        <v>11</v>
      </c>
      <c r="D8" s="84" t="s">
        <v>12</v>
      </c>
      <c r="E8" s="84" t="s">
        <v>13</v>
      </c>
      <c r="F8" s="84" t="s">
        <v>14</v>
      </c>
      <c r="G8" s="84" t="s">
        <v>15</v>
      </c>
      <c r="H8" s="84" t="s">
        <v>16</v>
      </c>
      <c r="I8" s="85" t="s">
        <v>41</v>
      </c>
      <c r="J8" s="85" t="s">
        <v>90</v>
      </c>
      <c r="K8" s="84" t="s">
        <v>91</v>
      </c>
      <c r="L8" s="180"/>
    </row>
    <row r="9" spans="2:14" ht="18.75" customHeight="1">
      <c r="B9" s="86"/>
      <c r="C9" s="87" t="s">
        <v>9</v>
      </c>
      <c r="D9" s="88" t="s">
        <v>10</v>
      </c>
      <c r="E9" s="88" t="s">
        <v>10</v>
      </c>
      <c r="F9" s="87" t="s">
        <v>102</v>
      </c>
      <c r="G9" s="88" t="s">
        <v>10</v>
      </c>
      <c r="H9" s="88" t="s">
        <v>10</v>
      </c>
      <c r="I9" s="88" t="s">
        <v>42</v>
      </c>
      <c r="J9" s="87" t="s">
        <v>102</v>
      </c>
      <c r="K9" s="87" t="s">
        <v>102</v>
      </c>
      <c r="L9" s="180"/>
    </row>
    <row r="10" spans="2:14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8</v>
      </c>
      <c r="I10" s="2" t="s">
        <v>43</v>
      </c>
      <c r="J10" s="2" t="s">
        <v>44</v>
      </c>
      <c r="K10" s="2" t="s">
        <v>53</v>
      </c>
    </row>
    <row r="11" spans="2:14" ht="6" customHeight="1"/>
    <row r="12" spans="2:14" ht="15.75">
      <c r="B12" s="137" t="str">
        <f>C54</f>
        <v xml:space="preserve">2028 CCCT (400 MW 1x1) </v>
      </c>
      <c r="C12" s="180"/>
      <c r="E12" s="180"/>
      <c r="F12" s="180"/>
      <c r="G12" s="180"/>
      <c r="H12" s="180"/>
      <c r="I12" s="179"/>
      <c r="J12" s="179"/>
      <c r="K12" s="179"/>
      <c r="L12" s="180"/>
    </row>
    <row r="13" spans="2:14" ht="4.5" customHeight="1">
      <c r="B13" s="181"/>
      <c r="C13" s="182"/>
      <c r="D13" s="183"/>
      <c r="E13" s="184"/>
      <c r="F13" s="184"/>
      <c r="G13" s="185"/>
      <c r="H13" s="185"/>
      <c r="I13" s="185"/>
      <c r="J13" s="185"/>
      <c r="K13" s="185"/>
    </row>
    <row r="14" spans="2:14">
      <c r="B14" s="181">
        <v>2010</v>
      </c>
      <c r="C14" s="182">
        <f>$H$60</f>
        <v>1214</v>
      </c>
      <c r="D14" s="183">
        <f>ROUND(C14*$C$76,2)</f>
        <v>99.55</v>
      </c>
      <c r="E14" s="184">
        <f>$I$60</f>
        <v>24.4</v>
      </c>
      <c r="F14" s="184">
        <f>$J$65</f>
        <v>3.57</v>
      </c>
      <c r="G14" s="185">
        <f t="shared" ref="G14:G42" si="0">ROUND(F14*(8.76*$G$65)+E14,2)</f>
        <v>39.85</v>
      </c>
      <c r="H14" s="185">
        <f t="shared" ref="H14:H42" si="1">ROUND(D14+G14,2)</f>
        <v>139.4</v>
      </c>
      <c r="I14" s="185"/>
      <c r="J14" s="185"/>
      <c r="K14" s="185"/>
    </row>
    <row r="15" spans="2:14">
      <c r="B15" s="181">
        <f t="shared" ref="B15:B42" si="2">B14+1</f>
        <v>2011</v>
      </c>
      <c r="C15" s="186"/>
      <c r="D15" s="183">
        <f t="shared" ref="D15:F22" si="3">ROUND(D14*(1+$D84),2)</f>
        <v>102.14</v>
      </c>
      <c r="E15" s="183">
        <f t="shared" si="3"/>
        <v>25.03</v>
      </c>
      <c r="F15" s="183">
        <f t="shared" si="3"/>
        <v>3.66</v>
      </c>
      <c r="G15" s="187">
        <f t="shared" si="0"/>
        <v>40.869999999999997</v>
      </c>
      <c r="H15" s="187">
        <f t="shared" si="1"/>
        <v>143.01</v>
      </c>
      <c r="I15" s="185"/>
      <c r="J15" s="185"/>
      <c r="K15" s="185"/>
    </row>
    <row r="16" spans="2:14">
      <c r="B16" s="181">
        <f t="shared" si="2"/>
        <v>2012</v>
      </c>
      <c r="C16" s="186"/>
      <c r="D16" s="183">
        <f t="shared" si="3"/>
        <v>104.08</v>
      </c>
      <c r="E16" s="183">
        <f t="shared" si="3"/>
        <v>25.51</v>
      </c>
      <c r="F16" s="183">
        <f t="shared" si="3"/>
        <v>3.73</v>
      </c>
      <c r="G16" s="185">
        <f t="shared" si="0"/>
        <v>41.65</v>
      </c>
      <c r="H16" s="185">
        <f t="shared" si="1"/>
        <v>145.72999999999999</v>
      </c>
      <c r="I16" s="185"/>
      <c r="J16" s="185"/>
      <c r="K16" s="185"/>
    </row>
    <row r="17" spans="2:11">
      <c r="B17" s="181">
        <f t="shared" si="2"/>
        <v>2013</v>
      </c>
      <c r="C17" s="186"/>
      <c r="D17" s="187">
        <f t="shared" si="3"/>
        <v>105.64</v>
      </c>
      <c r="E17" s="187">
        <f t="shared" si="3"/>
        <v>25.89</v>
      </c>
      <c r="F17" s="187">
        <f t="shared" si="3"/>
        <v>3.79</v>
      </c>
      <c r="G17" s="185">
        <f t="shared" si="0"/>
        <v>42.29</v>
      </c>
      <c r="H17" s="185">
        <f t="shared" si="1"/>
        <v>147.93</v>
      </c>
      <c r="I17" s="185"/>
      <c r="J17" s="185"/>
      <c r="K17" s="185"/>
    </row>
    <row r="18" spans="2:11">
      <c r="B18" s="181">
        <f t="shared" si="2"/>
        <v>2014</v>
      </c>
      <c r="C18" s="186"/>
      <c r="D18" s="187">
        <f t="shared" si="3"/>
        <v>107.44</v>
      </c>
      <c r="E18" s="187">
        <f t="shared" si="3"/>
        <v>26.33</v>
      </c>
      <c r="F18" s="187">
        <f t="shared" si="3"/>
        <v>3.85</v>
      </c>
      <c r="G18" s="185">
        <f t="shared" si="0"/>
        <v>42.99</v>
      </c>
      <c r="H18" s="185">
        <f t="shared" si="1"/>
        <v>150.43</v>
      </c>
      <c r="I18" s="185"/>
      <c r="J18" s="185"/>
      <c r="K18" s="185"/>
    </row>
    <row r="19" spans="2:11">
      <c r="B19" s="181">
        <f t="shared" si="2"/>
        <v>2015</v>
      </c>
      <c r="C19" s="186"/>
      <c r="D19" s="187">
        <f t="shared" si="3"/>
        <v>109.16</v>
      </c>
      <c r="E19" s="187">
        <f t="shared" si="3"/>
        <v>26.75</v>
      </c>
      <c r="F19" s="187">
        <f t="shared" si="3"/>
        <v>3.91</v>
      </c>
      <c r="G19" s="185">
        <f t="shared" si="0"/>
        <v>43.67</v>
      </c>
      <c r="H19" s="185">
        <f t="shared" si="1"/>
        <v>152.83000000000001</v>
      </c>
      <c r="I19" s="185"/>
      <c r="J19" s="185"/>
      <c r="K19" s="185"/>
    </row>
    <row r="20" spans="2:11">
      <c r="B20" s="181">
        <f t="shared" si="2"/>
        <v>2016</v>
      </c>
      <c r="C20" s="186"/>
      <c r="D20" s="187">
        <f t="shared" si="3"/>
        <v>111.02</v>
      </c>
      <c r="E20" s="187">
        <f t="shared" si="3"/>
        <v>27.2</v>
      </c>
      <c r="F20" s="187">
        <f t="shared" si="3"/>
        <v>3.98</v>
      </c>
      <c r="G20" s="185">
        <f t="shared" si="0"/>
        <v>44.42</v>
      </c>
      <c r="H20" s="185">
        <f t="shared" si="1"/>
        <v>155.44</v>
      </c>
      <c r="I20" s="185"/>
      <c r="J20" s="185"/>
      <c r="K20" s="185"/>
    </row>
    <row r="21" spans="2:11">
      <c r="B21" s="181">
        <f t="shared" si="2"/>
        <v>2017</v>
      </c>
      <c r="C21" s="186"/>
      <c r="D21" s="187">
        <f t="shared" si="3"/>
        <v>113.02</v>
      </c>
      <c r="E21" s="187">
        <f t="shared" si="3"/>
        <v>27.69</v>
      </c>
      <c r="F21" s="187">
        <f t="shared" si="3"/>
        <v>4.05</v>
      </c>
      <c r="G21" s="185">
        <f t="shared" si="0"/>
        <v>45.22</v>
      </c>
      <c r="H21" s="185">
        <f t="shared" si="1"/>
        <v>158.24</v>
      </c>
      <c r="I21" s="185"/>
      <c r="J21" s="185"/>
      <c r="K21" s="185"/>
    </row>
    <row r="22" spans="2:11">
      <c r="B22" s="181">
        <f t="shared" si="2"/>
        <v>2018</v>
      </c>
      <c r="C22" s="186"/>
      <c r="D22" s="187">
        <f t="shared" si="3"/>
        <v>115.17</v>
      </c>
      <c r="E22" s="187">
        <f t="shared" si="3"/>
        <v>28.22</v>
      </c>
      <c r="F22" s="187">
        <f t="shared" si="3"/>
        <v>4.13</v>
      </c>
      <c r="G22" s="185">
        <f t="shared" si="0"/>
        <v>46.09</v>
      </c>
      <c r="H22" s="185">
        <f t="shared" si="1"/>
        <v>161.26</v>
      </c>
      <c r="I22" s="185"/>
      <c r="J22" s="185"/>
      <c r="K22" s="185"/>
    </row>
    <row r="23" spans="2:11">
      <c r="B23" s="181">
        <f t="shared" si="2"/>
        <v>2019</v>
      </c>
      <c r="C23" s="186"/>
      <c r="D23" s="187">
        <f t="shared" ref="D23:F31" si="4">ROUND(D22*(1+$G83),2)</f>
        <v>117.24</v>
      </c>
      <c r="E23" s="187">
        <f t="shared" si="4"/>
        <v>28.73</v>
      </c>
      <c r="F23" s="187">
        <f t="shared" si="4"/>
        <v>4.2</v>
      </c>
      <c r="G23" s="185">
        <f t="shared" si="0"/>
        <v>46.91</v>
      </c>
      <c r="H23" s="185">
        <f t="shared" si="1"/>
        <v>164.15</v>
      </c>
      <c r="I23" s="185"/>
      <c r="J23" s="185"/>
      <c r="K23" s="185"/>
    </row>
    <row r="24" spans="2:11">
      <c r="B24" s="181">
        <f t="shared" si="2"/>
        <v>2020</v>
      </c>
      <c r="C24" s="186"/>
      <c r="D24" s="187">
        <f t="shared" si="4"/>
        <v>119.35</v>
      </c>
      <c r="E24" s="187">
        <f t="shared" si="4"/>
        <v>29.25</v>
      </c>
      <c r="F24" s="187">
        <f t="shared" si="4"/>
        <v>4.28</v>
      </c>
      <c r="G24" s="185">
        <f t="shared" si="0"/>
        <v>47.77</v>
      </c>
      <c r="H24" s="185">
        <f t="shared" si="1"/>
        <v>167.12</v>
      </c>
      <c r="I24" s="185"/>
      <c r="J24" s="185"/>
      <c r="K24" s="185"/>
    </row>
    <row r="25" spans="2:11">
      <c r="B25" s="181">
        <f t="shared" si="2"/>
        <v>2021</v>
      </c>
      <c r="C25" s="186"/>
      <c r="D25" s="187">
        <f t="shared" si="4"/>
        <v>121.5</v>
      </c>
      <c r="E25" s="187">
        <f t="shared" si="4"/>
        <v>29.78</v>
      </c>
      <c r="F25" s="187">
        <f t="shared" si="4"/>
        <v>4.3600000000000003</v>
      </c>
      <c r="G25" s="185">
        <f t="shared" si="0"/>
        <v>48.65</v>
      </c>
      <c r="H25" s="185">
        <f t="shared" si="1"/>
        <v>170.15</v>
      </c>
      <c r="I25" s="185"/>
      <c r="J25" s="185"/>
      <c r="K25" s="185"/>
    </row>
    <row r="26" spans="2:11">
      <c r="B26" s="181">
        <f t="shared" si="2"/>
        <v>2022</v>
      </c>
      <c r="C26" s="186"/>
      <c r="D26" s="187">
        <f t="shared" si="4"/>
        <v>123.81</v>
      </c>
      <c r="E26" s="187">
        <f t="shared" si="4"/>
        <v>30.35</v>
      </c>
      <c r="F26" s="187">
        <f t="shared" si="4"/>
        <v>4.4400000000000004</v>
      </c>
      <c r="G26" s="185">
        <f t="shared" si="0"/>
        <v>49.56</v>
      </c>
      <c r="H26" s="185">
        <f t="shared" si="1"/>
        <v>173.37</v>
      </c>
      <c r="I26" s="185"/>
      <c r="J26" s="185"/>
      <c r="K26" s="185"/>
    </row>
    <row r="27" spans="2:11">
      <c r="B27" s="181">
        <f t="shared" si="2"/>
        <v>2023</v>
      </c>
      <c r="C27" s="186"/>
      <c r="D27" s="187">
        <f t="shared" si="4"/>
        <v>126.16</v>
      </c>
      <c r="E27" s="187">
        <f t="shared" si="4"/>
        <v>30.93</v>
      </c>
      <c r="F27" s="187">
        <f t="shared" si="4"/>
        <v>4.5199999999999996</v>
      </c>
      <c r="G27" s="185">
        <f t="shared" si="0"/>
        <v>50.49</v>
      </c>
      <c r="H27" s="185">
        <f t="shared" si="1"/>
        <v>176.65</v>
      </c>
      <c r="I27" s="185"/>
      <c r="J27" s="185"/>
      <c r="K27" s="185"/>
    </row>
    <row r="28" spans="2:11">
      <c r="B28" s="181">
        <f t="shared" si="2"/>
        <v>2024</v>
      </c>
      <c r="C28" s="186"/>
      <c r="D28" s="187">
        <f t="shared" si="4"/>
        <v>128.43</v>
      </c>
      <c r="E28" s="187">
        <f t="shared" si="4"/>
        <v>31.49</v>
      </c>
      <c r="F28" s="187">
        <f t="shared" si="4"/>
        <v>4.5999999999999996</v>
      </c>
      <c r="G28" s="185">
        <f t="shared" si="0"/>
        <v>51.4</v>
      </c>
      <c r="H28" s="185">
        <f t="shared" si="1"/>
        <v>179.83</v>
      </c>
      <c r="I28" s="185"/>
      <c r="J28" s="185"/>
      <c r="K28" s="185"/>
    </row>
    <row r="29" spans="2:11">
      <c r="B29" s="181">
        <f t="shared" si="2"/>
        <v>2025</v>
      </c>
      <c r="C29" s="186"/>
      <c r="D29" s="187">
        <f t="shared" si="4"/>
        <v>130.74</v>
      </c>
      <c r="E29" s="187">
        <f t="shared" si="4"/>
        <v>32.06</v>
      </c>
      <c r="F29" s="187">
        <f t="shared" si="4"/>
        <v>4.68</v>
      </c>
      <c r="G29" s="185">
        <f t="shared" si="0"/>
        <v>52.31</v>
      </c>
      <c r="H29" s="185">
        <f t="shared" si="1"/>
        <v>183.05</v>
      </c>
      <c r="I29" s="185"/>
      <c r="J29" s="185"/>
      <c r="K29" s="185"/>
    </row>
    <row r="30" spans="2:11">
      <c r="B30" s="181">
        <f t="shared" si="2"/>
        <v>2026</v>
      </c>
      <c r="C30" s="186"/>
      <c r="D30" s="187">
        <f t="shared" si="4"/>
        <v>133.09</v>
      </c>
      <c r="E30" s="187">
        <f t="shared" si="4"/>
        <v>32.64</v>
      </c>
      <c r="F30" s="187">
        <f t="shared" si="4"/>
        <v>4.76</v>
      </c>
      <c r="G30" s="185">
        <f t="shared" si="0"/>
        <v>53.24</v>
      </c>
      <c r="H30" s="185">
        <f t="shared" si="1"/>
        <v>186.33</v>
      </c>
      <c r="I30" s="185"/>
      <c r="J30" s="185"/>
      <c r="K30" s="185"/>
    </row>
    <row r="31" spans="2:11">
      <c r="B31" s="221">
        <f t="shared" si="2"/>
        <v>2027</v>
      </c>
      <c r="C31" s="222"/>
      <c r="D31" s="223">
        <f t="shared" si="4"/>
        <v>135.49</v>
      </c>
      <c r="E31" s="223">
        <f t="shared" si="4"/>
        <v>33.229999999999997</v>
      </c>
      <c r="F31" s="223">
        <f t="shared" si="4"/>
        <v>4.8499999999999996</v>
      </c>
      <c r="G31" s="224">
        <f t="shared" si="0"/>
        <v>54.22</v>
      </c>
      <c r="H31" s="224">
        <f t="shared" si="1"/>
        <v>189.71</v>
      </c>
      <c r="I31" s="224"/>
      <c r="J31" s="224"/>
      <c r="K31" s="224"/>
    </row>
    <row r="32" spans="2:11">
      <c r="B32" s="181">
        <f t="shared" si="2"/>
        <v>2028</v>
      </c>
      <c r="C32" s="186"/>
      <c r="D32" s="185">
        <f t="shared" ref="D32:F42" si="5">ROUND(D31*(1+$J83),2)</f>
        <v>137.93</v>
      </c>
      <c r="E32" s="183">
        <f t="shared" si="5"/>
        <v>33.83</v>
      </c>
      <c r="F32" s="183">
        <f t="shared" si="5"/>
        <v>4.9400000000000004</v>
      </c>
      <c r="G32" s="185">
        <f t="shared" si="0"/>
        <v>55.21</v>
      </c>
      <c r="H32" s="185">
        <f t="shared" si="1"/>
        <v>193.14</v>
      </c>
      <c r="I32" s="185">
        <f>VLOOKUP(B32,'Table 5'!$B$9:$C$26,2,FALSE)</f>
        <v>6.66</v>
      </c>
      <c r="J32" s="185">
        <f t="shared" ref="J32:J42" si="6">ROUND($K$65*I32/1000,2)</f>
        <v>45.75</v>
      </c>
      <c r="K32" s="185">
        <f t="shared" ref="K32:K42" si="7">ROUND(H32*1000/8760/$G$65+J32,2)</f>
        <v>90.38</v>
      </c>
    </row>
    <row r="33" spans="2:15">
      <c r="B33" s="181">
        <f t="shared" si="2"/>
        <v>2029</v>
      </c>
      <c r="C33" s="186"/>
      <c r="D33" s="185">
        <f t="shared" si="5"/>
        <v>140.55000000000001</v>
      </c>
      <c r="E33" s="183">
        <f t="shared" si="5"/>
        <v>34.47</v>
      </c>
      <c r="F33" s="183">
        <f t="shared" si="5"/>
        <v>5.03</v>
      </c>
      <c r="G33" s="185">
        <f t="shared" si="0"/>
        <v>56.24</v>
      </c>
      <c r="H33" s="185">
        <f t="shared" si="1"/>
        <v>196.79</v>
      </c>
      <c r="I33" s="185">
        <f>VLOOKUP(B33,'Table 5'!$B$9:$C$26,2,FALSE)</f>
        <v>6.86</v>
      </c>
      <c r="J33" s="185">
        <f t="shared" si="6"/>
        <v>47.13</v>
      </c>
      <c r="K33" s="185">
        <f t="shared" si="7"/>
        <v>92.6</v>
      </c>
    </row>
    <row r="34" spans="2:15">
      <c r="B34" s="181">
        <f t="shared" si="2"/>
        <v>2030</v>
      </c>
      <c r="C34" s="186"/>
      <c r="D34" s="185">
        <f t="shared" si="5"/>
        <v>143.22</v>
      </c>
      <c r="E34" s="183">
        <f t="shared" si="5"/>
        <v>35.119999999999997</v>
      </c>
      <c r="F34" s="183">
        <f t="shared" si="5"/>
        <v>5.13</v>
      </c>
      <c r="G34" s="185">
        <f t="shared" si="0"/>
        <v>57.32</v>
      </c>
      <c r="H34" s="185">
        <f t="shared" si="1"/>
        <v>200.54</v>
      </c>
      <c r="I34" s="185">
        <f>VLOOKUP(B34,'Table 5'!$B$9:$C$26,2,FALSE)</f>
        <v>6.91</v>
      </c>
      <c r="J34" s="185">
        <f t="shared" si="6"/>
        <v>47.47</v>
      </c>
      <c r="K34" s="185">
        <f t="shared" si="7"/>
        <v>93.81</v>
      </c>
    </row>
    <row r="35" spans="2:15">
      <c r="B35" s="181">
        <f t="shared" si="2"/>
        <v>2031</v>
      </c>
      <c r="C35" s="186"/>
      <c r="D35" s="185">
        <f t="shared" si="5"/>
        <v>145.94</v>
      </c>
      <c r="E35" s="183">
        <f t="shared" si="5"/>
        <v>35.79</v>
      </c>
      <c r="F35" s="183">
        <f t="shared" si="5"/>
        <v>5.23</v>
      </c>
      <c r="G35" s="185">
        <f t="shared" si="0"/>
        <v>58.42</v>
      </c>
      <c r="H35" s="185">
        <f t="shared" si="1"/>
        <v>204.36</v>
      </c>
      <c r="I35" s="185">
        <f>VLOOKUP(B35,'Table 5'!$B$9:$C$26,2,FALSE)</f>
        <v>6.97</v>
      </c>
      <c r="J35" s="185">
        <f t="shared" si="6"/>
        <v>47.88</v>
      </c>
      <c r="K35" s="185">
        <f t="shared" si="7"/>
        <v>95.1</v>
      </c>
    </row>
    <row r="36" spans="2:15">
      <c r="B36" s="181">
        <f t="shared" si="2"/>
        <v>2032</v>
      </c>
      <c r="C36" s="186"/>
      <c r="D36" s="185">
        <f t="shared" si="5"/>
        <v>148.71</v>
      </c>
      <c r="E36" s="183">
        <f t="shared" si="5"/>
        <v>36.47</v>
      </c>
      <c r="F36" s="183">
        <f t="shared" si="5"/>
        <v>5.33</v>
      </c>
      <c r="G36" s="185">
        <f t="shared" si="0"/>
        <v>59.54</v>
      </c>
      <c r="H36" s="185">
        <f t="shared" si="1"/>
        <v>208.25</v>
      </c>
      <c r="I36" s="185">
        <f>VLOOKUP(B36,'Table 5'!$B$9:$C$26,2,FALSE)</f>
        <v>7.1</v>
      </c>
      <c r="J36" s="185">
        <f t="shared" si="6"/>
        <v>48.78</v>
      </c>
      <c r="K36" s="185">
        <f t="shared" si="7"/>
        <v>96.9</v>
      </c>
    </row>
    <row r="37" spans="2:15">
      <c r="B37" s="181">
        <f t="shared" si="2"/>
        <v>2033</v>
      </c>
      <c r="C37" s="186"/>
      <c r="D37" s="185">
        <f t="shared" si="5"/>
        <v>151.54</v>
      </c>
      <c r="E37" s="183">
        <f t="shared" si="5"/>
        <v>37.159999999999997</v>
      </c>
      <c r="F37" s="183">
        <f t="shared" si="5"/>
        <v>5.43</v>
      </c>
      <c r="G37" s="185">
        <f t="shared" si="0"/>
        <v>60.66</v>
      </c>
      <c r="H37" s="185">
        <f t="shared" si="1"/>
        <v>212.2</v>
      </c>
      <c r="I37" s="185">
        <f>VLOOKUP(B37,'Table 5'!$B$9:$C$26,2,FALSE)</f>
        <v>7.24</v>
      </c>
      <c r="J37" s="185">
        <f t="shared" si="6"/>
        <v>49.74</v>
      </c>
      <c r="K37" s="185">
        <f t="shared" si="7"/>
        <v>98.78</v>
      </c>
    </row>
    <row r="38" spans="2:15">
      <c r="B38" s="181">
        <f t="shared" si="2"/>
        <v>2034</v>
      </c>
      <c r="C38" s="186"/>
      <c r="D38" s="185">
        <f t="shared" si="5"/>
        <v>154.41999999999999</v>
      </c>
      <c r="E38" s="183">
        <f t="shared" si="5"/>
        <v>37.869999999999997</v>
      </c>
      <c r="F38" s="183">
        <f t="shared" si="5"/>
        <v>5.53</v>
      </c>
      <c r="G38" s="185">
        <f t="shared" si="0"/>
        <v>61.8</v>
      </c>
      <c r="H38" s="185">
        <f t="shared" si="1"/>
        <v>216.22</v>
      </c>
      <c r="I38" s="185">
        <f>VLOOKUP(B38,'Table 5'!$B$9:$C$26,2,FALSE)</f>
        <v>7.37</v>
      </c>
      <c r="J38" s="185">
        <f t="shared" si="6"/>
        <v>50.63</v>
      </c>
      <c r="K38" s="185">
        <f t="shared" si="7"/>
        <v>100.59</v>
      </c>
    </row>
    <row r="39" spans="2:15">
      <c r="B39" s="181">
        <f t="shared" si="2"/>
        <v>2035</v>
      </c>
      <c r="C39" s="186"/>
      <c r="D39" s="185">
        <f t="shared" si="5"/>
        <v>157.35</v>
      </c>
      <c r="E39" s="183">
        <f t="shared" si="5"/>
        <v>38.590000000000003</v>
      </c>
      <c r="F39" s="183">
        <f t="shared" si="5"/>
        <v>5.64</v>
      </c>
      <c r="G39" s="185">
        <f t="shared" si="0"/>
        <v>63</v>
      </c>
      <c r="H39" s="185">
        <f t="shared" si="1"/>
        <v>220.35</v>
      </c>
      <c r="I39" s="185">
        <f>VLOOKUP(B39,'Table 5'!$B$9:$C$26,2,FALSE)</f>
        <v>7.51</v>
      </c>
      <c r="J39" s="185">
        <f t="shared" si="6"/>
        <v>51.59</v>
      </c>
      <c r="K39" s="185">
        <f t="shared" si="7"/>
        <v>102.51</v>
      </c>
    </row>
    <row r="40" spans="2:15">
      <c r="B40" s="181">
        <f t="shared" si="2"/>
        <v>2036</v>
      </c>
      <c r="C40" s="186"/>
      <c r="D40" s="185">
        <f t="shared" si="5"/>
        <v>160.34</v>
      </c>
      <c r="E40" s="183">
        <f t="shared" si="5"/>
        <v>39.32</v>
      </c>
      <c r="F40" s="183">
        <f t="shared" si="5"/>
        <v>5.75</v>
      </c>
      <c r="G40" s="185">
        <f t="shared" si="0"/>
        <v>64.2</v>
      </c>
      <c r="H40" s="185">
        <f t="shared" si="1"/>
        <v>224.54</v>
      </c>
      <c r="I40" s="185">
        <f>VLOOKUP(B40,'Table 5'!$B$9:$C$26,2,FALSE)</f>
        <v>7.66</v>
      </c>
      <c r="J40" s="185">
        <f t="shared" si="6"/>
        <v>52.62</v>
      </c>
      <c r="K40" s="185">
        <f t="shared" si="7"/>
        <v>104.51</v>
      </c>
    </row>
    <row r="41" spans="2:15">
      <c r="B41" s="181">
        <f t="shared" si="2"/>
        <v>2037</v>
      </c>
      <c r="C41" s="186"/>
      <c r="D41" s="185">
        <f t="shared" si="5"/>
        <v>163.38999999999999</v>
      </c>
      <c r="E41" s="183">
        <f t="shared" si="5"/>
        <v>40.07</v>
      </c>
      <c r="F41" s="183">
        <f t="shared" si="5"/>
        <v>5.86</v>
      </c>
      <c r="G41" s="185">
        <f t="shared" si="0"/>
        <v>65.430000000000007</v>
      </c>
      <c r="H41" s="185">
        <f t="shared" si="1"/>
        <v>228.82</v>
      </c>
      <c r="I41" s="185">
        <f>VLOOKUP(B41,'Table 5'!$B$9:$C$26,2,FALSE)</f>
        <v>7.8</v>
      </c>
      <c r="J41" s="185">
        <f t="shared" si="6"/>
        <v>53.59</v>
      </c>
      <c r="K41" s="185">
        <f t="shared" si="7"/>
        <v>106.47</v>
      </c>
    </row>
    <row r="42" spans="2:15">
      <c r="B42" s="181">
        <f t="shared" si="2"/>
        <v>2038</v>
      </c>
      <c r="C42" s="186"/>
      <c r="D42" s="185">
        <f t="shared" si="5"/>
        <v>166.66</v>
      </c>
      <c r="E42" s="183">
        <f t="shared" si="5"/>
        <v>40.869999999999997</v>
      </c>
      <c r="F42" s="183">
        <f t="shared" si="5"/>
        <v>5.98</v>
      </c>
      <c r="G42" s="185">
        <f t="shared" si="0"/>
        <v>66.75</v>
      </c>
      <c r="H42" s="185">
        <f t="shared" si="1"/>
        <v>233.41</v>
      </c>
      <c r="I42" s="185">
        <f>VLOOKUP(B42,'Table 5'!$B$9:$C$26,2,FALSE)</f>
        <v>7.96</v>
      </c>
      <c r="J42" s="185">
        <f t="shared" si="6"/>
        <v>54.69</v>
      </c>
      <c r="K42" s="185">
        <f t="shared" si="7"/>
        <v>108.63</v>
      </c>
    </row>
    <row r="43" spans="2:15">
      <c r="M43" s="181"/>
      <c r="O43" s="188"/>
    </row>
    <row r="44" spans="2:15" ht="14.25">
      <c r="B44" s="7" t="s">
        <v>54</v>
      </c>
      <c r="C44" s="89"/>
      <c r="D44" s="89"/>
      <c r="E44" s="89"/>
      <c r="F44" s="89"/>
      <c r="G44" s="89"/>
      <c r="H44" s="89"/>
      <c r="I44" s="89"/>
      <c r="J44" s="89"/>
      <c r="K44" s="89"/>
      <c r="M44" s="181"/>
      <c r="N44" s="188"/>
      <c r="O44" s="188"/>
    </row>
    <row r="46" spans="2:15">
      <c r="B46" s="178" t="s">
        <v>31</v>
      </c>
      <c r="D46" s="189" t="s">
        <v>113</v>
      </c>
    </row>
    <row r="47" spans="2:15">
      <c r="C47" s="190" t="str">
        <f>D10</f>
        <v>(b)</v>
      </c>
      <c r="D47" s="185" t="str">
        <f>"= "&amp;C10&amp;" x "&amp;C76</f>
        <v>= (a) x 0.082</v>
      </c>
    </row>
    <row r="48" spans="2:15">
      <c r="C48" s="190" t="str">
        <f>G10</f>
        <v>(e)</v>
      </c>
      <c r="D48" s="185" t="str">
        <f>"= "&amp;$F$10&amp;" x  (8.76 x "&amp;TEXT(G65,"0.0%")&amp;") + "&amp;$E$10</f>
        <v>= (d) x  (8.76 x 49.4%) + (c)</v>
      </c>
    </row>
    <row r="49" spans="3:11">
      <c r="C49" s="190" t="str">
        <f>H10</f>
        <v>(f)</v>
      </c>
      <c r="D49" s="185" t="str">
        <f>"= "&amp;D10&amp;" + "&amp;G10</f>
        <v>= (b) + (e)</v>
      </c>
    </row>
    <row r="50" spans="3:11">
      <c r="C50" s="190" t="str">
        <f>I10</f>
        <v>(g)</v>
      </c>
      <c r="D50" s="191" t="str">
        <f>'Table 5'!B3&amp;" - "&amp;'Table 5'!B4</f>
        <v>Table 5 - Burnertip Natural Gas Price Forecast</v>
      </c>
    </row>
    <row r="51" spans="3:11">
      <c r="C51" s="190" t="str">
        <f>J10</f>
        <v>(h)</v>
      </c>
      <c r="D51" s="185" t="str">
        <f>"= "&amp;K65&amp;" x "&amp;I10&amp;" / 1000"</f>
        <v>= 6870 x (g) / 1000</v>
      </c>
    </row>
    <row r="52" spans="3:11">
      <c r="C52" s="190" t="str">
        <f>K10</f>
        <v>(i)</v>
      </c>
      <c r="D52" s="192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135" t="s">
        <v>109</v>
      </c>
      <c r="D54" s="132"/>
      <c r="E54" s="132"/>
      <c r="F54" s="132"/>
      <c r="G54" s="132"/>
      <c r="H54" s="132"/>
      <c r="I54" s="132"/>
      <c r="J54" s="133"/>
      <c r="K54" s="193"/>
    </row>
    <row r="55" spans="3:11" ht="5.25" customHeight="1"/>
    <row r="56" spans="3:11" ht="5.25" customHeight="1"/>
    <row r="57" spans="3:11">
      <c r="C57" s="117" t="s">
        <v>64</v>
      </c>
      <c r="D57" s="97"/>
      <c r="E57" s="117"/>
      <c r="F57" s="116" t="s">
        <v>65</v>
      </c>
      <c r="G57" s="116" t="s">
        <v>66</v>
      </c>
      <c r="H57" s="116" t="s">
        <v>67</v>
      </c>
      <c r="I57" s="116" t="s">
        <v>68</v>
      </c>
    </row>
    <row r="58" spans="3:11">
      <c r="C58" s="178" t="s">
        <v>57</v>
      </c>
      <c r="F58" s="194">
        <f>C69</f>
        <v>333.9</v>
      </c>
      <c r="G58" s="134">
        <f>F58/F60</f>
        <v>0.83495873968492118</v>
      </c>
      <c r="H58" s="215">
        <f>C70</f>
        <v>1330.95</v>
      </c>
      <c r="I58" s="217">
        <f>C73</f>
        <v>25.386645404280593</v>
      </c>
    </row>
    <row r="59" spans="3:11">
      <c r="C59" s="178" t="s">
        <v>104</v>
      </c>
      <c r="F59" s="123">
        <f>D69</f>
        <v>66</v>
      </c>
      <c r="G59" s="119">
        <f>1-G58</f>
        <v>0.16504126031507882</v>
      </c>
      <c r="H59" s="216">
        <f>D70</f>
        <v>622.37</v>
      </c>
      <c r="I59" s="218">
        <f>D73</f>
        <v>19.411049070961116</v>
      </c>
    </row>
    <row r="60" spans="3:11">
      <c r="C60" s="178" t="s">
        <v>69</v>
      </c>
      <c r="F60" s="194">
        <f>F58+F59</f>
        <v>399.9</v>
      </c>
      <c r="G60" s="134">
        <f>G58+G59</f>
        <v>1</v>
      </c>
      <c r="H60" s="215">
        <f>ROUND(((F58*H58)+(F59*H59))/F60,0)</f>
        <v>1214</v>
      </c>
      <c r="I60" s="217">
        <f>ROUND(((F58*I58)+(F59*I59))/F60,2)</f>
        <v>24.4</v>
      </c>
    </row>
    <row r="61" spans="3:11">
      <c r="F61" s="194"/>
      <c r="G61" s="134"/>
      <c r="H61" s="195"/>
      <c r="I61" s="196"/>
    </row>
    <row r="62" spans="3:11">
      <c r="C62" s="117" t="s">
        <v>64</v>
      </c>
      <c r="D62" s="97"/>
      <c r="E62" s="117"/>
      <c r="F62" s="116" t="s">
        <v>65</v>
      </c>
      <c r="G62" s="116" t="s">
        <v>70</v>
      </c>
      <c r="H62" s="116" t="s">
        <v>71</v>
      </c>
      <c r="I62" s="116" t="s">
        <v>66</v>
      </c>
      <c r="J62" s="116" t="s">
        <v>72</v>
      </c>
      <c r="K62" s="116" t="s">
        <v>73</v>
      </c>
    </row>
    <row r="63" spans="3:11">
      <c r="C63" s="178" t="s">
        <v>57</v>
      </c>
      <c r="D63" s="197"/>
      <c r="E63" s="197"/>
      <c r="F63" s="178">
        <f>C69</f>
        <v>333.9</v>
      </c>
      <c r="G63" s="134">
        <f>C77</f>
        <v>0.56000000000000005</v>
      </c>
      <c r="H63" s="178">
        <f>G63*F63</f>
        <v>186.98400000000001</v>
      </c>
      <c r="I63" s="134">
        <f>H63/H65</f>
        <v>0.9465435548536022</v>
      </c>
      <c r="J63" s="196">
        <f>C74</f>
        <v>3.7517999999999998</v>
      </c>
      <c r="K63" s="198">
        <f>C75</f>
        <v>6784</v>
      </c>
    </row>
    <row r="64" spans="3:11">
      <c r="C64" s="178" t="s">
        <v>104</v>
      </c>
      <c r="D64" s="197"/>
      <c r="E64" s="197"/>
      <c r="F64" s="118">
        <f>D69</f>
        <v>66</v>
      </c>
      <c r="G64" s="119">
        <f>D77</f>
        <v>0.16</v>
      </c>
      <c r="H64" s="118">
        <f>G64*F64</f>
        <v>10.56</v>
      </c>
      <c r="I64" s="119">
        <f>1-I63</f>
        <v>5.3456445146397802E-2</v>
      </c>
      <c r="J64" s="120">
        <f>D74</f>
        <v>0.313</v>
      </c>
      <c r="K64" s="121">
        <f>D75</f>
        <v>8363</v>
      </c>
    </row>
    <row r="65" spans="3:11">
      <c r="C65" s="178" t="s">
        <v>74</v>
      </c>
      <c r="F65" s="178">
        <f>F63+F64</f>
        <v>399.9</v>
      </c>
      <c r="G65" s="199">
        <f>ROUND(H65/F65,3)</f>
        <v>0.49399999999999999</v>
      </c>
      <c r="H65" s="178">
        <f>SUM(H63:H64)</f>
        <v>197.54400000000001</v>
      </c>
      <c r="I65" s="134">
        <f>I63+I64</f>
        <v>1</v>
      </c>
      <c r="J65" s="196">
        <f>ROUND(($I63*J63)+($I64*J64),2)</f>
        <v>3.57</v>
      </c>
      <c r="K65" s="200">
        <f>ROUND(($I63*K63)+($I64*K64),-1)</f>
        <v>6870</v>
      </c>
    </row>
    <row r="66" spans="3:11">
      <c r="G66" s="199"/>
      <c r="I66" s="134"/>
      <c r="J66" s="196"/>
      <c r="K66" s="122" t="s">
        <v>75</v>
      </c>
    </row>
    <row r="68" spans="3:11">
      <c r="C68" s="116" t="s">
        <v>57</v>
      </c>
      <c r="D68" s="116" t="s">
        <v>58</v>
      </c>
      <c r="E68" s="136" t="str">
        <f>D46</f>
        <v>Plant Costs  - 2012 RFP - Needs Assessment - [as modeled by System Optimizer]</v>
      </c>
      <c r="F68" s="201"/>
      <c r="G68" s="201"/>
      <c r="H68" s="201"/>
      <c r="I68" s="201"/>
      <c r="J68" s="201"/>
      <c r="K68" s="202"/>
    </row>
    <row r="69" spans="3:11">
      <c r="C69" s="178">
        <v>333.9</v>
      </c>
      <c r="D69" s="178">
        <v>66</v>
      </c>
      <c r="E69" s="178" t="s">
        <v>79</v>
      </c>
      <c r="H69" s="203"/>
    </row>
    <row r="70" spans="3:11">
      <c r="C70" s="195">
        <v>1330.95</v>
      </c>
      <c r="D70" s="195">
        <v>622.37</v>
      </c>
      <c r="E70" s="178" t="s">
        <v>83</v>
      </c>
    </row>
    <row r="71" spans="3:11">
      <c r="C71" s="196">
        <v>10.74642695919899</v>
      </c>
      <c r="D71" s="196">
        <v>0</v>
      </c>
      <c r="E71" s="178" t="s">
        <v>93</v>
      </c>
    </row>
    <row r="72" spans="3:11">
      <c r="C72" s="124">
        <v>14.640218445081603</v>
      </c>
      <c r="D72" s="124">
        <v>19.411049070961116</v>
      </c>
      <c r="E72" s="178" t="s">
        <v>94</v>
      </c>
    </row>
    <row r="73" spans="3:11">
      <c r="C73" s="196">
        <f>C71+C72</f>
        <v>25.386645404280593</v>
      </c>
      <c r="D73" s="196">
        <f>D71+D72</f>
        <v>19.411049070961116</v>
      </c>
      <c r="E73" s="178" t="s">
        <v>95</v>
      </c>
    </row>
    <row r="74" spans="3:11">
      <c r="C74" s="196">
        <v>3.7517999999999998</v>
      </c>
      <c r="D74" s="196">
        <v>0.313</v>
      </c>
      <c r="E74" s="178" t="s">
        <v>103</v>
      </c>
    </row>
    <row r="75" spans="3:11">
      <c r="C75" s="200">
        <v>6784</v>
      </c>
      <c r="D75" s="200">
        <v>8363</v>
      </c>
      <c r="E75" s="178" t="s">
        <v>80</v>
      </c>
    </row>
    <row r="76" spans="3:11">
      <c r="C76" s="204">
        <v>8.2000000000000003E-2</v>
      </c>
      <c r="D76" s="204">
        <f>C76</f>
        <v>8.2000000000000003E-2</v>
      </c>
      <c r="E76" s="178" t="s">
        <v>81</v>
      </c>
    </row>
    <row r="77" spans="3:11">
      <c r="C77" s="205">
        <v>0.56000000000000005</v>
      </c>
      <c r="D77" s="205">
        <v>0.16</v>
      </c>
      <c r="E77" s="178" t="s">
        <v>82</v>
      </c>
    </row>
    <row r="78" spans="3:11">
      <c r="D78" s="134">
        <f>ROUND(H65/F65,3)</f>
        <v>0.49399999999999999</v>
      </c>
      <c r="E78" s="178" t="s">
        <v>84</v>
      </c>
    </row>
    <row r="79" spans="3:11">
      <c r="D79" s="199">
        <f>MIN(1,ROUND(D78/0.57,3))</f>
        <v>0.86699999999999999</v>
      </c>
      <c r="E79" s="146" t="str">
        <f>"  Capacity Factor - On-peak     "&amp;TEXT(D78,"0.0%")&amp;" / 57% (percent of hours on-peak) "</f>
        <v xml:space="preserve">  Capacity Factor - On-peak     49.4% / 57% (percent of hours on-peak) </v>
      </c>
    </row>
    <row r="80" spans="3:11">
      <c r="C80" s="205"/>
      <c r="D80" s="205"/>
    </row>
    <row r="82" spans="3:15" ht="13.5" hidden="1" thickBot="1">
      <c r="C82" s="131" t="str">
        <f>"Company Official Inflation Forecast Dated "&amp;TEXT('Table 5'!G5,"mmmm dd, yyyy")</f>
        <v>Company Official Inflation Forecast Dated December 31, 2012</v>
      </c>
      <c r="D82" s="132"/>
      <c r="E82" s="132"/>
      <c r="F82" s="132"/>
      <c r="G82" s="132"/>
      <c r="H82" s="132"/>
      <c r="I82" s="132"/>
      <c r="J82" s="133"/>
      <c r="K82" s="193"/>
    </row>
    <row r="83" spans="3:15" hidden="1">
      <c r="C83" s="206">
        <v>2010</v>
      </c>
      <c r="D83" s="134">
        <v>1.2999999999999999E-2</v>
      </c>
      <c r="F83" s="206">
        <f>C91+1</f>
        <v>2019</v>
      </c>
      <c r="G83" s="134">
        <v>1.7999999999999999E-2</v>
      </c>
      <c r="I83" s="206">
        <f>F91+1</f>
        <v>2028</v>
      </c>
      <c r="J83" s="134">
        <v>1.7999999999999999E-2</v>
      </c>
    </row>
    <row r="84" spans="3:15" hidden="1">
      <c r="C84" s="206">
        <f t="shared" ref="C84:C91" si="8">C83+1</f>
        <v>2011</v>
      </c>
      <c r="D84" s="134">
        <v>2.5999999999999999E-2</v>
      </c>
      <c r="F84" s="206">
        <f t="shared" ref="F84:F91" si="9">F83+1</f>
        <v>2020</v>
      </c>
      <c r="G84" s="134">
        <v>1.7999999999999999E-2</v>
      </c>
      <c r="I84" s="206">
        <f t="shared" ref="I84:I93" si="10">I83+1</f>
        <v>2029</v>
      </c>
      <c r="J84" s="134">
        <v>1.9E-2</v>
      </c>
    </row>
    <row r="85" spans="3:15" hidden="1">
      <c r="C85" s="206">
        <f t="shared" si="8"/>
        <v>2012</v>
      </c>
      <c r="D85" s="134">
        <v>1.9E-2</v>
      </c>
      <c r="F85" s="206">
        <f t="shared" si="9"/>
        <v>2021</v>
      </c>
      <c r="G85" s="134">
        <v>1.7999999999999999E-2</v>
      </c>
      <c r="I85" s="206">
        <f t="shared" si="10"/>
        <v>2030</v>
      </c>
      <c r="J85" s="134">
        <v>1.9E-2</v>
      </c>
    </row>
    <row r="86" spans="3:15" hidden="1">
      <c r="C86" s="206">
        <f t="shared" si="8"/>
        <v>2013</v>
      </c>
      <c r="D86" s="134">
        <v>1.4999999999999999E-2</v>
      </c>
      <c r="F86" s="206">
        <f t="shared" si="9"/>
        <v>2022</v>
      </c>
      <c r="G86" s="134">
        <v>1.9E-2</v>
      </c>
      <c r="I86" s="206">
        <f t="shared" si="10"/>
        <v>2031</v>
      </c>
      <c r="J86" s="134">
        <v>1.9E-2</v>
      </c>
    </row>
    <row r="87" spans="3:15" hidden="1">
      <c r="C87" s="206">
        <f t="shared" si="8"/>
        <v>2014</v>
      </c>
      <c r="D87" s="134">
        <v>1.7000000000000001E-2</v>
      </c>
      <c r="F87" s="206">
        <f t="shared" si="9"/>
        <v>2023</v>
      </c>
      <c r="G87" s="134">
        <v>1.9E-2</v>
      </c>
      <c r="I87" s="206">
        <f t="shared" si="10"/>
        <v>2032</v>
      </c>
      <c r="J87" s="134">
        <v>1.9E-2</v>
      </c>
    </row>
    <row r="88" spans="3:15" hidden="1">
      <c r="C88" s="206">
        <f t="shared" si="8"/>
        <v>2015</v>
      </c>
      <c r="D88" s="134">
        <v>1.6E-2</v>
      </c>
      <c r="F88" s="206">
        <f t="shared" si="9"/>
        <v>2024</v>
      </c>
      <c r="G88" s="134">
        <v>1.7999999999999999E-2</v>
      </c>
      <c r="I88" s="206">
        <f t="shared" si="10"/>
        <v>2033</v>
      </c>
      <c r="J88" s="134">
        <v>1.9E-2</v>
      </c>
    </row>
    <row r="89" spans="3:15" s="180" customFormat="1" hidden="1">
      <c r="C89" s="206">
        <f t="shared" si="8"/>
        <v>2016</v>
      </c>
      <c r="D89" s="134">
        <v>1.7000000000000001E-2</v>
      </c>
      <c r="F89" s="206">
        <f t="shared" si="9"/>
        <v>2025</v>
      </c>
      <c r="G89" s="134">
        <v>1.7999999999999999E-2</v>
      </c>
      <c r="I89" s="206">
        <f t="shared" si="10"/>
        <v>2034</v>
      </c>
      <c r="J89" s="134">
        <v>1.9E-2</v>
      </c>
      <c r="N89" s="178"/>
      <c r="O89" s="178"/>
    </row>
    <row r="90" spans="3:15" s="180" customFormat="1" hidden="1">
      <c r="C90" s="206">
        <f t="shared" si="8"/>
        <v>2017</v>
      </c>
      <c r="D90" s="134">
        <v>1.7999999999999999E-2</v>
      </c>
      <c r="F90" s="206">
        <f t="shared" si="9"/>
        <v>2026</v>
      </c>
      <c r="G90" s="134">
        <v>1.7999999999999999E-2</v>
      </c>
      <c r="I90" s="206">
        <f t="shared" si="10"/>
        <v>2035</v>
      </c>
      <c r="J90" s="134">
        <v>1.9E-2</v>
      </c>
      <c r="N90" s="178"/>
      <c r="O90" s="178"/>
    </row>
    <row r="91" spans="3:15" s="180" customFormat="1" hidden="1">
      <c r="C91" s="206">
        <f t="shared" si="8"/>
        <v>2018</v>
      </c>
      <c r="D91" s="134">
        <v>1.9E-2</v>
      </c>
      <c r="F91" s="206">
        <f t="shared" si="9"/>
        <v>2027</v>
      </c>
      <c r="G91" s="134">
        <v>1.7999999999999999E-2</v>
      </c>
      <c r="I91" s="206">
        <f t="shared" si="10"/>
        <v>2036</v>
      </c>
      <c r="J91" s="134">
        <v>1.9E-2</v>
      </c>
      <c r="N91" s="178"/>
      <c r="O91" s="178"/>
    </row>
    <row r="92" spans="3:15" s="180" customFormat="1" hidden="1">
      <c r="I92" s="206">
        <f t="shared" si="10"/>
        <v>2037</v>
      </c>
      <c r="J92" s="134">
        <v>1.9E-2</v>
      </c>
      <c r="N92" s="178"/>
      <c r="O92" s="178"/>
    </row>
    <row r="93" spans="3:15" s="180" customFormat="1" hidden="1">
      <c r="I93" s="206">
        <f t="shared" si="10"/>
        <v>2038</v>
      </c>
      <c r="J93" s="134">
        <v>0.02</v>
      </c>
      <c r="N93" s="178"/>
      <c r="O93" s="178"/>
    </row>
    <row r="94" spans="3:15">
      <c r="D94" s="219"/>
    </row>
    <row r="95" spans="3:15">
      <c r="D95" s="219"/>
    </row>
  </sheetData>
  <phoneticPr fontId="6" type="noConversion"/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202"/>
  <sheetViews>
    <sheetView tabSelected="1" view="pageBreakPreview" zoomScale="60" workbookViewId="0"/>
  </sheetViews>
  <sheetFormatPr defaultRowHeight="12.75"/>
  <cols>
    <col min="1" max="1" width="9.33203125" style="6"/>
    <col min="2" max="3" width="39" style="6" customWidth="1"/>
    <col min="4" max="6" width="9.33203125" style="6"/>
    <col min="7" max="7" width="15" style="141" hidden="1" customWidth="1"/>
    <col min="8" max="8" width="9.33203125" style="104" hidden="1" customWidth="1"/>
    <col min="9" max="10" width="9.33203125" style="6" hidden="1" customWidth="1"/>
    <col min="11" max="11" width="11.5" style="6" hidden="1" customWidth="1"/>
    <col min="12" max="12" width="9.33203125" style="6" customWidth="1"/>
    <col min="13" max="16384" width="9.33203125" style="6"/>
  </cols>
  <sheetData>
    <row r="1" spans="2:11" ht="15.75">
      <c r="B1" s="1" t="s">
        <v>76</v>
      </c>
      <c r="C1" s="1"/>
      <c r="G1" s="99"/>
    </row>
    <row r="2" spans="2:11" ht="15.75">
      <c r="B2" s="1"/>
      <c r="C2" s="1"/>
      <c r="G2" s="99"/>
    </row>
    <row r="3" spans="2:11" ht="15.75">
      <c r="B3" s="1" t="str">
        <f>"Table "&amp;RIGHT('Table 4'!B3,1)+1</f>
        <v>Table 5</v>
      </c>
      <c r="C3" s="1"/>
      <c r="G3" s="99"/>
    </row>
    <row r="4" spans="2:11" ht="15.75">
      <c r="B4" s="1" t="s">
        <v>61</v>
      </c>
      <c r="C4" s="1"/>
      <c r="G4" s="109" t="s">
        <v>60</v>
      </c>
    </row>
    <row r="5" spans="2:11" ht="15.75">
      <c r="B5" s="1" t="str">
        <f>'Table 1'!$B$5</f>
        <v>UT Compliance 2013.Q1 - 100.0 MW and 85.0% CF</v>
      </c>
      <c r="C5" s="1"/>
      <c r="G5" s="110">
        <v>41274</v>
      </c>
    </row>
    <row r="6" spans="2:11">
      <c r="B6" s="46"/>
      <c r="C6" s="46"/>
      <c r="G6" s="99"/>
    </row>
    <row r="7" spans="2:11" ht="14.25">
      <c r="B7" s="90"/>
      <c r="C7" s="98" t="s">
        <v>55</v>
      </c>
      <c r="G7" s="99"/>
    </row>
    <row r="8" spans="2:11">
      <c r="B8" s="91"/>
      <c r="C8" s="83" t="s">
        <v>56</v>
      </c>
      <c r="G8" s="99"/>
    </row>
    <row r="9" spans="2:11">
      <c r="B9" s="91" t="s">
        <v>0</v>
      </c>
      <c r="C9" s="91" t="s">
        <v>78</v>
      </c>
      <c r="G9" s="99"/>
    </row>
    <row r="10" spans="2:11">
      <c r="B10" s="92"/>
      <c r="C10" s="93" t="s">
        <v>41</v>
      </c>
      <c r="G10" s="100"/>
      <c r="H10" s="105"/>
    </row>
    <row r="11" spans="2:11">
      <c r="C11" s="47"/>
      <c r="G11" s="100"/>
      <c r="H11" s="105"/>
    </row>
    <row r="12" spans="2:11">
      <c r="C12" s="94"/>
      <c r="G12" s="100"/>
      <c r="H12" s="105"/>
    </row>
    <row r="13" spans="2:11" ht="6" customHeight="1">
      <c r="G13" s="101"/>
      <c r="H13" s="106"/>
    </row>
    <row r="14" spans="2:11">
      <c r="B14" s="95">
        <v>2028</v>
      </c>
      <c r="C14" s="96">
        <f t="shared" ref="C14:C24" si="0">ROUND(SUMIF($I$17:$I$148,B14,$H$17:$H$148)/COUNTIF($I$17:$I$148,B14),2)</f>
        <v>6.66</v>
      </c>
      <c r="G14" s="214"/>
      <c r="H14" s="107"/>
    </row>
    <row r="15" spans="2:11" ht="13.5" thickBot="1">
      <c r="B15" s="95">
        <f t="shared" ref="B15:B24" si="1">B14+1</f>
        <v>2029</v>
      </c>
      <c r="C15" s="96">
        <f t="shared" si="0"/>
        <v>6.86</v>
      </c>
      <c r="G15" s="102"/>
      <c r="H15" s="108" t="s">
        <v>86</v>
      </c>
    </row>
    <row r="16" spans="2:11" ht="13.5" thickBot="1">
      <c r="B16" s="95">
        <f t="shared" si="1"/>
        <v>2030</v>
      </c>
      <c r="C16" s="96">
        <f t="shared" si="0"/>
        <v>6.91</v>
      </c>
      <c r="G16" s="102" t="s">
        <v>59</v>
      </c>
      <c r="H16" s="108" t="s">
        <v>56</v>
      </c>
      <c r="I16" s="9" t="s">
        <v>0</v>
      </c>
      <c r="K16" s="130" t="s">
        <v>77</v>
      </c>
    </row>
    <row r="17" spans="2:11" ht="13.5" thickBot="1">
      <c r="B17" s="95">
        <f t="shared" si="1"/>
        <v>2031</v>
      </c>
      <c r="C17" s="96">
        <f t="shared" si="0"/>
        <v>6.97</v>
      </c>
      <c r="G17" s="103">
        <v>46753</v>
      </c>
      <c r="H17" s="111">
        <v>6.9053727284714483</v>
      </c>
      <c r="I17" s="112">
        <f t="shared" ref="I17:I36" si="2">YEAR(G17)</f>
        <v>2028</v>
      </c>
      <c r="K17" s="129">
        <v>41</v>
      </c>
    </row>
    <row r="18" spans="2:11">
      <c r="B18" s="95">
        <f t="shared" si="1"/>
        <v>2032</v>
      </c>
      <c r="C18" s="96">
        <f t="shared" si="0"/>
        <v>7.1</v>
      </c>
      <c r="G18" s="103">
        <v>46784</v>
      </c>
      <c r="H18" s="111">
        <v>6.889448192514454</v>
      </c>
      <c r="I18" s="112">
        <f t="shared" si="2"/>
        <v>2028</v>
      </c>
    </row>
    <row r="19" spans="2:11">
      <c r="B19" s="95">
        <f t="shared" si="1"/>
        <v>2033</v>
      </c>
      <c r="C19" s="96">
        <f t="shared" si="0"/>
        <v>7.24</v>
      </c>
      <c r="G19" s="103">
        <v>46813</v>
      </c>
      <c r="H19" s="111">
        <v>6.4866690059843792</v>
      </c>
      <c r="I19" s="112">
        <f t="shared" si="2"/>
        <v>2028</v>
      </c>
    </row>
    <row r="20" spans="2:11">
      <c r="B20" s="95">
        <f t="shared" si="1"/>
        <v>2034</v>
      </c>
      <c r="C20" s="96">
        <f t="shared" si="0"/>
        <v>7.37</v>
      </c>
      <c r="G20" s="103">
        <v>46844</v>
      </c>
      <c r="H20" s="111">
        <v>6.4221594208337569</v>
      </c>
      <c r="I20" s="112">
        <f t="shared" si="2"/>
        <v>2028</v>
      </c>
    </row>
    <row r="21" spans="2:11">
      <c r="B21" s="95">
        <f t="shared" si="1"/>
        <v>2035</v>
      </c>
      <c r="C21" s="96">
        <f t="shared" si="0"/>
        <v>7.51</v>
      </c>
      <c r="G21" s="103">
        <v>46874</v>
      </c>
      <c r="H21" s="111">
        <v>6.3983233319809312</v>
      </c>
      <c r="I21" s="112">
        <f t="shared" si="2"/>
        <v>2028</v>
      </c>
    </row>
    <row r="22" spans="2:11">
      <c r="B22" s="95">
        <f t="shared" si="1"/>
        <v>2036</v>
      </c>
      <c r="C22" s="96">
        <f t="shared" si="0"/>
        <v>7.66</v>
      </c>
      <c r="G22" s="103">
        <v>46905</v>
      </c>
      <c r="H22" s="111">
        <v>6.4387939679480679</v>
      </c>
      <c r="I22" s="112">
        <f t="shared" si="2"/>
        <v>2028</v>
      </c>
    </row>
    <row r="23" spans="2:11">
      <c r="B23" s="95">
        <f t="shared" si="1"/>
        <v>2037</v>
      </c>
      <c r="C23" s="96">
        <f t="shared" si="0"/>
        <v>7.8</v>
      </c>
      <c r="G23" s="103">
        <v>46935</v>
      </c>
      <c r="H23" s="111">
        <v>6.4829160898671265</v>
      </c>
      <c r="I23" s="112">
        <f t="shared" si="2"/>
        <v>2028</v>
      </c>
    </row>
    <row r="24" spans="2:11">
      <c r="B24" s="95">
        <f t="shared" si="1"/>
        <v>2038</v>
      </c>
      <c r="C24" s="96">
        <f t="shared" si="0"/>
        <v>7.96</v>
      </c>
      <c r="G24" s="103">
        <v>46966</v>
      </c>
      <c r="H24" s="111">
        <v>6.5340368931940365</v>
      </c>
      <c r="I24" s="112">
        <f t="shared" si="2"/>
        <v>2028</v>
      </c>
    </row>
    <row r="25" spans="2:11">
      <c r="G25" s="103">
        <v>46997</v>
      </c>
      <c r="H25" s="111">
        <v>6.5571629708895429</v>
      </c>
      <c r="I25" s="112">
        <f t="shared" si="2"/>
        <v>2028</v>
      </c>
    </row>
    <row r="26" spans="2:11">
      <c r="B26" s="95" t="str">
        <f>"OFPC Forecast dated   "&amp;TEXT(G5,"MMM dd, YYYY")</f>
        <v>OFPC Forecast dated   Dec 31, 2012</v>
      </c>
      <c r="G26" s="103">
        <v>47027</v>
      </c>
      <c r="H26" s="111">
        <v>6.6789805994522773</v>
      </c>
      <c r="I26" s="112">
        <f t="shared" si="2"/>
        <v>2028</v>
      </c>
    </row>
    <row r="27" spans="2:11">
      <c r="G27" s="103">
        <v>47058</v>
      </c>
      <c r="H27" s="111">
        <v>6.9506105822091495</v>
      </c>
      <c r="I27" s="112">
        <f t="shared" si="2"/>
        <v>2028</v>
      </c>
    </row>
    <row r="28" spans="2:11">
      <c r="G28" s="103">
        <v>47088</v>
      </c>
      <c r="H28" s="111">
        <v>7.1174632041789225</v>
      </c>
      <c r="I28" s="112">
        <f t="shared" si="2"/>
        <v>2028</v>
      </c>
    </row>
    <row r="29" spans="2:11">
      <c r="G29" s="103">
        <v>47119</v>
      </c>
      <c r="H29" s="111">
        <v>7.1602667339486761</v>
      </c>
      <c r="I29" s="112">
        <f t="shared" si="2"/>
        <v>2029</v>
      </c>
    </row>
    <row r="30" spans="2:11">
      <c r="G30" s="103">
        <v>47150</v>
      </c>
      <c r="H30" s="111">
        <v>7.0923085231767926</v>
      </c>
      <c r="I30" s="112">
        <f t="shared" si="2"/>
        <v>2029</v>
      </c>
    </row>
    <row r="31" spans="2:11">
      <c r="G31" s="103">
        <v>47178</v>
      </c>
      <c r="H31" s="111">
        <v>6.710931101531596</v>
      </c>
      <c r="I31" s="112">
        <f t="shared" si="2"/>
        <v>2029</v>
      </c>
    </row>
    <row r="32" spans="2:11">
      <c r="G32" s="103">
        <v>47209</v>
      </c>
      <c r="H32" s="111">
        <v>6.6451029242316668</v>
      </c>
      <c r="I32" s="112">
        <f t="shared" si="2"/>
        <v>2029</v>
      </c>
    </row>
    <row r="33" spans="7:9">
      <c r="G33" s="103">
        <v>47239</v>
      </c>
      <c r="H33" s="111">
        <v>6.6007779419819457</v>
      </c>
      <c r="I33" s="112">
        <f t="shared" si="2"/>
        <v>2029</v>
      </c>
    </row>
    <row r="34" spans="7:9" hidden="1">
      <c r="G34" s="103">
        <v>47270</v>
      </c>
      <c r="H34" s="111">
        <v>6.6397271254691139</v>
      </c>
      <c r="I34" s="112">
        <f t="shared" si="2"/>
        <v>2029</v>
      </c>
    </row>
    <row r="35" spans="7:9">
      <c r="G35" s="103">
        <v>47300</v>
      </c>
      <c r="H35" s="111">
        <v>6.6815163535855566</v>
      </c>
      <c r="I35" s="112">
        <f t="shared" si="2"/>
        <v>2029</v>
      </c>
    </row>
    <row r="36" spans="7:9">
      <c r="G36" s="103">
        <v>47331</v>
      </c>
      <c r="H36" s="111">
        <v>6.7076853362409983</v>
      </c>
      <c r="I36" s="112">
        <f t="shared" si="2"/>
        <v>2029</v>
      </c>
    </row>
    <row r="37" spans="7:9">
      <c r="G37" s="103">
        <v>47362</v>
      </c>
      <c r="H37" s="111">
        <v>6.7498802850187642</v>
      </c>
      <c r="I37" s="112">
        <f t="shared" ref="I37:I100" si="3">YEAR(G37)</f>
        <v>2029</v>
      </c>
    </row>
    <row r="38" spans="7:9">
      <c r="G38" s="103">
        <v>47392</v>
      </c>
      <c r="H38" s="111">
        <v>6.9022283933461814</v>
      </c>
      <c r="I38" s="112">
        <f t="shared" si="3"/>
        <v>2029</v>
      </c>
    </row>
    <row r="39" spans="7:9">
      <c r="G39" s="103">
        <v>47423</v>
      </c>
      <c r="H39" s="111">
        <v>7.1011329475606049</v>
      </c>
      <c r="I39" s="112">
        <f t="shared" si="3"/>
        <v>2029</v>
      </c>
    </row>
    <row r="40" spans="7:9">
      <c r="G40" s="103">
        <v>47453</v>
      </c>
      <c r="H40" s="111">
        <v>7.3181935013693078</v>
      </c>
      <c r="I40" s="112">
        <f t="shared" si="3"/>
        <v>2029</v>
      </c>
    </row>
    <row r="41" spans="7:9">
      <c r="G41" s="103">
        <v>47484</v>
      </c>
      <c r="H41" s="111">
        <v>7.2425265980322555</v>
      </c>
      <c r="I41" s="112">
        <f t="shared" si="3"/>
        <v>2030</v>
      </c>
    </row>
    <row r="42" spans="7:9">
      <c r="G42" s="103">
        <v>47515</v>
      </c>
      <c r="H42" s="111">
        <v>7.2321807211684757</v>
      </c>
      <c r="I42" s="112">
        <f t="shared" si="3"/>
        <v>2030</v>
      </c>
    </row>
    <row r="43" spans="7:9">
      <c r="G43" s="103">
        <v>47543</v>
      </c>
      <c r="H43" s="111">
        <v>6.6951079957399333</v>
      </c>
      <c r="I43" s="112">
        <f t="shared" si="3"/>
        <v>2030</v>
      </c>
    </row>
    <row r="44" spans="7:9">
      <c r="G44" s="103">
        <v>47574</v>
      </c>
      <c r="H44" s="111">
        <v>6.6281640866213616</v>
      </c>
      <c r="I44" s="112">
        <f t="shared" si="3"/>
        <v>2030</v>
      </c>
    </row>
    <row r="45" spans="7:9">
      <c r="G45" s="103">
        <v>47604</v>
      </c>
      <c r="H45" s="111">
        <v>6.6451029242316668</v>
      </c>
      <c r="I45" s="112">
        <f t="shared" si="3"/>
        <v>2030</v>
      </c>
    </row>
    <row r="46" spans="7:9">
      <c r="G46" s="103">
        <v>47635</v>
      </c>
      <c r="H46" s="111">
        <v>6.6856749903641344</v>
      </c>
      <c r="I46" s="112">
        <f t="shared" si="3"/>
        <v>2030</v>
      </c>
    </row>
    <row r="47" spans="7:9">
      <c r="G47" s="103">
        <v>47665</v>
      </c>
      <c r="H47" s="111">
        <v>6.7183355036007715</v>
      </c>
      <c r="I47" s="112">
        <f t="shared" si="3"/>
        <v>2030</v>
      </c>
    </row>
    <row r="48" spans="7:9">
      <c r="G48" s="103">
        <v>47696</v>
      </c>
      <c r="H48" s="111">
        <v>6.7534303408053562</v>
      </c>
      <c r="I48" s="112">
        <f t="shared" si="3"/>
        <v>2030</v>
      </c>
    </row>
    <row r="49" spans="7:9">
      <c r="G49" s="103">
        <v>47727</v>
      </c>
      <c r="H49" s="111">
        <v>6.7959295800791164</v>
      </c>
      <c r="I49" s="112">
        <f t="shared" si="3"/>
        <v>2030</v>
      </c>
    </row>
    <row r="50" spans="7:9">
      <c r="G50" s="103">
        <v>47757</v>
      </c>
      <c r="H50" s="111">
        <v>6.8999969297088954</v>
      </c>
      <c r="I50" s="112">
        <f t="shared" si="3"/>
        <v>2030</v>
      </c>
    </row>
    <row r="51" spans="7:9">
      <c r="G51" s="103">
        <v>47788</v>
      </c>
      <c r="H51" s="111">
        <v>7.2156476042194946</v>
      </c>
      <c r="I51" s="112">
        <f t="shared" si="3"/>
        <v>2030</v>
      </c>
    </row>
    <row r="52" spans="7:9">
      <c r="G52" s="103">
        <v>47818</v>
      </c>
      <c r="H52" s="111">
        <v>7.4047134323967949</v>
      </c>
      <c r="I52" s="112">
        <f t="shared" si="3"/>
        <v>2030</v>
      </c>
    </row>
    <row r="53" spans="7:9">
      <c r="G53" s="103">
        <v>47849</v>
      </c>
      <c r="H53" s="111">
        <v>7.3310751323663661</v>
      </c>
      <c r="I53" s="112">
        <f t="shared" si="3"/>
        <v>2031</v>
      </c>
    </row>
    <row r="54" spans="7:9">
      <c r="G54" s="103">
        <v>47880</v>
      </c>
      <c r="H54" s="111">
        <v>7.3052104402069178</v>
      </c>
      <c r="I54" s="112">
        <f t="shared" si="3"/>
        <v>2031</v>
      </c>
    </row>
    <row r="55" spans="7:9">
      <c r="G55" s="103">
        <v>47908</v>
      </c>
      <c r="H55" s="111">
        <v>6.7993782057003749</v>
      </c>
      <c r="I55" s="112">
        <f t="shared" si="3"/>
        <v>2031</v>
      </c>
    </row>
    <row r="56" spans="7:9">
      <c r="G56" s="103">
        <v>47939</v>
      </c>
      <c r="H56" s="111">
        <v>6.7015995263211279</v>
      </c>
      <c r="I56" s="112">
        <f t="shared" si="3"/>
        <v>2031</v>
      </c>
    </row>
    <row r="57" spans="7:9">
      <c r="G57" s="103">
        <v>47969</v>
      </c>
      <c r="H57" s="111">
        <v>6.7242184531899785</v>
      </c>
      <c r="I57" s="112">
        <f t="shared" si="3"/>
        <v>2031</v>
      </c>
    </row>
    <row r="58" spans="7:9">
      <c r="G58" s="103">
        <v>48000</v>
      </c>
      <c r="H58" s="111">
        <v>6.7680362846130437</v>
      </c>
      <c r="I58" s="112">
        <f t="shared" si="3"/>
        <v>2031</v>
      </c>
    </row>
    <row r="59" spans="7:9">
      <c r="G59" s="103">
        <v>48030</v>
      </c>
      <c r="H59" s="111">
        <v>6.8239243057105181</v>
      </c>
      <c r="I59" s="112">
        <f t="shared" si="3"/>
        <v>2031</v>
      </c>
    </row>
    <row r="60" spans="7:9">
      <c r="G60" s="103">
        <v>48061</v>
      </c>
      <c r="H60" s="111">
        <v>6.8413702941474792</v>
      </c>
      <c r="I60" s="112">
        <f t="shared" si="3"/>
        <v>2031</v>
      </c>
    </row>
    <row r="61" spans="7:9">
      <c r="G61" s="103">
        <v>48092</v>
      </c>
      <c r="H61" s="111">
        <v>6.8843766842478953</v>
      </c>
      <c r="I61" s="112">
        <f t="shared" si="3"/>
        <v>2031</v>
      </c>
    </row>
    <row r="62" spans="7:9">
      <c r="G62" s="103">
        <v>48122</v>
      </c>
      <c r="H62" s="111">
        <v>6.9376275210467595</v>
      </c>
      <c r="I62" s="112">
        <f t="shared" si="3"/>
        <v>2031</v>
      </c>
    </row>
    <row r="63" spans="7:9">
      <c r="G63" s="103">
        <v>48153</v>
      </c>
      <c r="H63" s="111">
        <v>7.1179703550055793</v>
      </c>
      <c r="I63" s="112">
        <f t="shared" si="3"/>
        <v>2031</v>
      </c>
    </row>
    <row r="64" spans="7:9">
      <c r="G64" s="103">
        <v>48183</v>
      </c>
      <c r="H64" s="111">
        <v>7.4068434658687492</v>
      </c>
      <c r="I64" s="112">
        <f t="shared" si="3"/>
        <v>2031</v>
      </c>
    </row>
    <row r="65" spans="7:9">
      <c r="G65" s="103">
        <v>48214</v>
      </c>
      <c r="H65" s="111">
        <v>7.4703387493660616</v>
      </c>
      <c r="I65" s="112">
        <f t="shared" si="3"/>
        <v>2032</v>
      </c>
    </row>
    <row r="66" spans="7:9">
      <c r="G66" s="103">
        <v>48245</v>
      </c>
      <c r="H66" s="111">
        <v>7.4438654762146266</v>
      </c>
      <c r="I66" s="112">
        <f t="shared" si="3"/>
        <v>2032</v>
      </c>
    </row>
    <row r="67" spans="7:9">
      <c r="G67" s="103">
        <v>48274</v>
      </c>
      <c r="H67" s="111">
        <v>6.9283973760016231</v>
      </c>
      <c r="I67" s="112">
        <f t="shared" si="3"/>
        <v>2032</v>
      </c>
    </row>
    <row r="68" spans="7:9">
      <c r="G68" s="103">
        <v>48305</v>
      </c>
      <c r="H68" s="111">
        <v>6.828894383811746</v>
      </c>
      <c r="I68" s="112">
        <f t="shared" si="3"/>
        <v>2032</v>
      </c>
    </row>
    <row r="69" spans="7:9">
      <c r="G69" s="103">
        <v>48335</v>
      </c>
      <c r="H69" s="111">
        <v>6.8519190313419207</v>
      </c>
      <c r="I69" s="112">
        <f t="shared" si="3"/>
        <v>2032</v>
      </c>
    </row>
    <row r="70" spans="7:9">
      <c r="G70" s="103">
        <v>48366</v>
      </c>
      <c r="H70" s="111">
        <v>6.8965483040876361</v>
      </c>
      <c r="I70" s="112">
        <f t="shared" si="3"/>
        <v>2032</v>
      </c>
    </row>
    <row r="71" spans="7:9">
      <c r="G71" s="103">
        <v>48396</v>
      </c>
      <c r="H71" s="111">
        <v>6.953552057003753</v>
      </c>
      <c r="I71" s="112">
        <f t="shared" si="3"/>
        <v>2032</v>
      </c>
    </row>
    <row r="72" spans="7:9">
      <c r="G72" s="103">
        <v>48427</v>
      </c>
      <c r="H72" s="111">
        <v>6.9713023359367075</v>
      </c>
      <c r="I72" s="112">
        <f t="shared" si="3"/>
        <v>2032</v>
      </c>
    </row>
    <row r="73" spans="7:9">
      <c r="G73" s="103">
        <v>48458</v>
      </c>
      <c r="H73" s="111">
        <v>7.0151201673597736</v>
      </c>
      <c r="I73" s="112">
        <f t="shared" si="3"/>
        <v>2032</v>
      </c>
    </row>
    <row r="74" spans="7:9">
      <c r="G74" s="103">
        <v>48488</v>
      </c>
      <c r="H74" s="111">
        <v>7.0693853058119487</v>
      </c>
      <c r="I74" s="112">
        <f t="shared" si="3"/>
        <v>2032</v>
      </c>
    </row>
    <row r="75" spans="7:9">
      <c r="G75" s="103">
        <v>48519</v>
      </c>
      <c r="H75" s="111">
        <v>7.2531767653920269</v>
      </c>
      <c r="I75" s="112">
        <f t="shared" si="3"/>
        <v>2032</v>
      </c>
    </row>
    <row r="76" spans="7:9">
      <c r="G76" s="103">
        <v>48549</v>
      </c>
      <c r="H76" s="111">
        <v>7.5475271051830815</v>
      </c>
      <c r="I76" s="112">
        <f t="shared" si="3"/>
        <v>2032</v>
      </c>
    </row>
    <row r="77" spans="7:9">
      <c r="G77" s="103">
        <v>48580</v>
      </c>
      <c r="H77" s="111">
        <v>7.6121381204990364</v>
      </c>
      <c r="I77" s="112">
        <f t="shared" si="3"/>
        <v>2033</v>
      </c>
    </row>
    <row r="78" spans="7:9">
      <c r="G78" s="103">
        <v>48611</v>
      </c>
      <c r="H78" s="111">
        <v>7.5852591266862772</v>
      </c>
      <c r="I78" s="112">
        <f t="shared" si="3"/>
        <v>2033</v>
      </c>
    </row>
    <row r="79" spans="7:9">
      <c r="G79" s="103">
        <v>48639</v>
      </c>
      <c r="H79" s="111">
        <v>7.0599523004361506</v>
      </c>
      <c r="I79" s="112">
        <f t="shared" si="3"/>
        <v>2033</v>
      </c>
    </row>
    <row r="80" spans="7:9">
      <c r="G80" s="103">
        <v>48670</v>
      </c>
      <c r="H80" s="111">
        <v>6.95852213510498</v>
      </c>
      <c r="I80" s="112">
        <f t="shared" si="3"/>
        <v>2033</v>
      </c>
    </row>
    <row r="81" spans="7:9">
      <c r="G81" s="103">
        <v>48700</v>
      </c>
      <c r="H81" s="111">
        <v>6.9820539334618115</v>
      </c>
      <c r="I81" s="112">
        <f t="shared" si="3"/>
        <v>2033</v>
      </c>
    </row>
    <row r="82" spans="7:9">
      <c r="G82" s="103">
        <v>48731</v>
      </c>
      <c r="H82" s="111">
        <v>7.0274946475301761</v>
      </c>
      <c r="I82" s="112">
        <f t="shared" si="3"/>
        <v>2033</v>
      </c>
    </row>
    <row r="83" spans="7:9">
      <c r="G83" s="103">
        <v>48761</v>
      </c>
      <c r="H83" s="111">
        <v>7.0855127020996047</v>
      </c>
      <c r="I83" s="112">
        <f t="shared" si="3"/>
        <v>2033</v>
      </c>
    </row>
    <row r="84" spans="7:9">
      <c r="G84" s="103">
        <v>48792</v>
      </c>
      <c r="H84" s="111">
        <v>7.1036687016938842</v>
      </c>
      <c r="I84" s="112">
        <f t="shared" si="3"/>
        <v>2033</v>
      </c>
    </row>
    <row r="85" spans="7:9">
      <c r="G85" s="103">
        <v>48823</v>
      </c>
      <c r="H85" s="111">
        <v>7.1482979744395987</v>
      </c>
      <c r="I85" s="112">
        <f t="shared" si="3"/>
        <v>2033</v>
      </c>
    </row>
    <row r="86" spans="7:9">
      <c r="G86" s="103">
        <v>48853</v>
      </c>
      <c r="H86" s="111">
        <v>7.2036788447104163</v>
      </c>
      <c r="I86" s="112">
        <f t="shared" si="3"/>
        <v>2033</v>
      </c>
    </row>
    <row r="87" spans="7:9">
      <c r="G87" s="103">
        <v>48884</v>
      </c>
      <c r="H87" s="111">
        <v>7.3909189299117557</v>
      </c>
      <c r="I87" s="112">
        <f t="shared" si="3"/>
        <v>2033</v>
      </c>
    </row>
    <row r="88" spans="7:9">
      <c r="G88" s="103">
        <v>48914</v>
      </c>
      <c r="H88" s="111">
        <v>7.6908479287960247</v>
      </c>
      <c r="I88" s="112">
        <f t="shared" si="3"/>
        <v>2033</v>
      </c>
    </row>
    <row r="89" spans="7:9">
      <c r="G89" s="103">
        <v>48945</v>
      </c>
      <c r="H89" s="111">
        <v>7.756676106095953</v>
      </c>
      <c r="I89" s="112">
        <f t="shared" si="3"/>
        <v>2034</v>
      </c>
    </row>
    <row r="90" spans="7:9">
      <c r="G90" s="103">
        <v>48976</v>
      </c>
      <c r="H90" s="111">
        <v>7.7292899614565371</v>
      </c>
      <c r="I90" s="112">
        <f t="shared" si="3"/>
        <v>2034</v>
      </c>
    </row>
    <row r="91" spans="7:9">
      <c r="G91" s="103">
        <v>49004</v>
      </c>
      <c r="H91" s="111">
        <v>7.1940429790039557</v>
      </c>
      <c r="I91" s="112">
        <f t="shared" si="3"/>
        <v>2034</v>
      </c>
    </row>
    <row r="92" spans="7:9">
      <c r="G92" s="103">
        <v>49035</v>
      </c>
      <c r="H92" s="111">
        <v>7.0906856405314942</v>
      </c>
      <c r="I92" s="112">
        <f t="shared" si="3"/>
        <v>2034</v>
      </c>
    </row>
    <row r="93" spans="7:9">
      <c r="G93" s="103">
        <v>49065</v>
      </c>
      <c r="H93" s="111">
        <v>7.1146231595496499</v>
      </c>
      <c r="I93" s="112">
        <f t="shared" si="3"/>
        <v>2034</v>
      </c>
    </row>
    <row r="94" spans="7:9">
      <c r="G94" s="103">
        <v>49096</v>
      </c>
      <c r="H94" s="111">
        <v>7.1609767451059945</v>
      </c>
      <c r="I94" s="112">
        <f t="shared" si="3"/>
        <v>2034</v>
      </c>
    </row>
    <row r="95" spans="7:9">
      <c r="G95" s="103">
        <v>49126</v>
      </c>
      <c r="H95" s="111">
        <v>7.2201105314940666</v>
      </c>
      <c r="I95" s="112">
        <f t="shared" si="3"/>
        <v>2034</v>
      </c>
    </row>
    <row r="96" spans="7:9">
      <c r="G96" s="103">
        <v>49157</v>
      </c>
      <c r="H96" s="111">
        <v>7.2384693914190077</v>
      </c>
      <c r="I96" s="112">
        <f t="shared" si="3"/>
        <v>2034</v>
      </c>
    </row>
    <row r="97" spans="7:9">
      <c r="G97" s="103">
        <v>49188</v>
      </c>
      <c r="H97" s="111">
        <v>7.2840115356527031</v>
      </c>
      <c r="I97" s="112">
        <f t="shared" si="3"/>
        <v>2034</v>
      </c>
    </row>
    <row r="98" spans="7:9">
      <c r="G98" s="103">
        <v>49218</v>
      </c>
      <c r="H98" s="111">
        <v>7.3404067075768333</v>
      </c>
      <c r="I98" s="112">
        <f t="shared" si="3"/>
        <v>2034</v>
      </c>
    </row>
    <row r="99" spans="7:9">
      <c r="G99" s="103">
        <v>49249</v>
      </c>
      <c r="H99" s="111">
        <v>7.5311968485647638</v>
      </c>
      <c r="I99" s="112">
        <f t="shared" si="3"/>
        <v>2034</v>
      </c>
    </row>
    <row r="100" spans="7:9">
      <c r="G100" s="103">
        <v>49279</v>
      </c>
      <c r="H100" s="111">
        <v>7.836907366872909</v>
      </c>
      <c r="I100" s="112">
        <f t="shared" si="3"/>
        <v>2034</v>
      </c>
    </row>
    <row r="101" spans="7:9">
      <c r="G101" s="103">
        <v>49310</v>
      </c>
      <c r="H101" s="111">
        <v>7.9040541363221424</v>
      </c>
      <c r="I101" s="112">
        <f t="shared" ref="I101:I148" si="4">YEAR(G101)</f>
        <v>2035</v>
      </c>
    </row>
    <row r="102" spans="7:9">
      <c r="G102" s="103">
        <v>49341</v>
      </c>
      <c r="H102" s="111">
        <v>7.8760594106907398</v>
      </c>
      <c r="I102" s="112">
        <f t="shared" si="4"/>
        <v>2035</v>
      </c>
    </row>
    <row r="103" spans="7:9">
      <c r="G103" s="103">
        <v>49369</v>
      </c>
      <c r="H103" s="111">
        <v>7.330669411705041</v>
      </c>
      <c r="I103" s="112">
        <f t="shared" si="4"/>
        <v>2035</v>
      </c>
    </row>
    <row r="104" spans="7:9">
      <c r="G104" s="103">
        <v>49400</v>
      </c>
      <c r="H104" s="111">
        <v>7.225283469925956</v>
      </c>
      <c r="I104" s="112">
        <f t="shared" si="4"/>
        <v>2035</v>
      </c>
    </row>
    <row r="105" spans="7:9">
      <c r="G105" s="103">
        <v>49430</v>
      </c>
      <c r="H105" s="111">
        <v>7.2497281397707676</v>
      </c>
      <c r="I105" s="112">
        <f t="shared" si="4"/>
        <v>2035</v>
      </c>
    </row>
    <row r="106" spans="7:9">
      <c r="G106" s="103">
        <v>49461</v>
      </c>
      <c r="H106" s="111">
        <v>7.2968931666497623</v>
      </c>
      <c r="I106" s="112">
        <f t="shared" si="4"/>
        <v>2035</v>
      </c>
    </row>
    <row r="107" spans="7:9">
      <c r="G107" s="103">
        <v>49491</v>
      </c>
      <c r="H107" s="111">
        <v>7.3572441150218078</v>
      </c>
      <c r="I107" s="112">
        <f t="shared" si="4"/>
        <v>2035</v>
      </c>
    </row>
    <row r="108" spans="7:9">
      <c r="G108" s="103">
        <v>49522</v>
      </c>
      <c r="H108" s="111">
        <v>7.3760086956080739</v>
      </c>
      <c r="I108" s="112">
        <f t="shared" si="4"/>
        <v>2035</v>
      </c>
    </row>
    <row r="109" spans="7:9">
      <c r="G109" s="103">
        <v>49553</v>
      </c>
      <c r="H109" s="111">
        <v>7.4223622811644185</v>
      </c>
      <c r="I109" s="112">
        <f t="shared" si="4"/>
        <v>2035</v>
      </c>
    </row>
    <row r="110" spans="7:9">
      <c r="G110" s="103">
        <v>49583</v>
      </c>
      <c r="H110" s="111">
        <v>7.4797717547418605</v>
      </c>
      <c r="I110" s="112">
        <f t="shared" si="4"/>
        <v>2035</v>
      </c>
    </row>
    <row r="111" spans="7:9">
      <c r="G111" s="103">
        <v>49614</v>
      </c>
      <c r="H111" s="111">
        <v>7.6742133816817129</v>
      </c>
      <c r="I111" s="112">
        <f t="shared" si="4"/>
        <v>2035</v>
      </c>
    </row>
    <row r="112" spans="7:9">
      <c r="G112" s="103">
        <v>49644</v>
      </c>
      <c r="H112" s="111">
        <v>7.9857054194137334</v>
      </c>
      <c r="I112" s="112">
        <f t="shared" si="4"/>
        <v>2035</v>
      </c>
    </row>
    <row r="113" spans="7:9">
      <c r="G113" s="103">
        <v>49675</v>
      </c>
      <c r="H113" s="111">
        <v>8.054069350846941</v>
      </c>
      <c r="I113" s="112">
        <f t="shared" si="4"/>
        <v>2036</v>
      </c>
    </row>
    <row r="114" spans="7:9">
      <c r="G114" s="103">
        <v>49706</v>
      </c>
      <c r="H114" s="111">
        <v>8.0256689045542142</v>
      </c>
      <c r="I114" s="112">
        <f t="shared" si="4"/>
        <v>2036</v>
      </c>
    </row>
    <row r="115" spans="7:9">
      <c r="G115" s="103">
        <v>49735</v>
      </c>
      <c r="H115" s="111">
        <v>7.4698315985394057</v>
      </c>
      <c r="I115" s="112">
        <f t="shared" si="4"/>
        <v>2036</v>
      </c>
    </row>
    <row r="116" spans="7:9">
      <c r="G116" s="103">
        <v>49766</v>
      </c>
      <c r="H116" s="111">
        <v>7.3625184836190281</v>
      </c>
      <c r="I116" s="112">
        <f t="shared" si="4"/>
        <v>2036</v>
      </c>
    </row>
    <row r="117" spans="7:9">
      <c r="G117" s="103">
        <v>49796</v>
      </c>
      <c r="H117" s="111">
        <v>7.3873688741251655</v>
      </c>
      <c r="I117" s="112">
        <f t="shared" si="4"/>
        <v>2036</v>
      </c>
    </row>
    <row r="118" spans="7:9">
      <c r="G118" s="103">
        <v>49827</v>
      </c>
      <c r="H118" s="111">
        <v>7.4354467724921394</v>
      </c>
      <c r="I118" s="112">
        <f t="shared" si="4"/>
        <v>2036</v>
      </c>
    </row>
    <row r="119" spans="7:9">
      <c r="G119" s="103">
        <v>49857</v>
      </c>
      <c r="H119" s="111">
        <v>7.4969134526828283</v>
      </c>
      <c r="I119" s="112">
        <f t="shared" si="4"/>
        <v>2036</v>
      </c>
    </row>
    <row r="120" spans="7:9">
      <c r="G120" s="103">
        <v>49888</v>
      </c>
      <c r="H120" s="111">
        <v>7.5159823237650878</v>
      </c>
      <c r="I120" s="112">
        <f t="shared" si="4"/>
        <v>2036</v>
      </c>
    </row>
    <row r="121" spans="7:9">
      <c r="G121" s="103">
        <v>49919</v>
      </c>
      <c r="H121" s="111">
        <v>7.5632487808094133</v>
      </c>
      <c r="I121" s="112">
        <f t="shared" si="4"/>
        <v>2036</v>
      </c>
    </row>
    <row r="122" spans="7:9">
      <c r="G122" s="103">
        <v>49949</v>
      </c>
      <c r="H122" s="111">
        <v>7.6218754163708287</v>
      </c>
      <c r="I122" s="112">
        <f t="shared" si="4"/>
        <v>2036</v>
      </c>
    </row>
    <row r="123" spans="7:9">
      <c r="G123" s="103">
        <v>49980</v>
      </c>
      <c r="H123" s="111">
        <v>7.8199685292626029</v>
      </c>
      <c r="I123" s="112">
        <f t="shared" si="4"/>
        <v>2036</v>
      </c>
    </row>
    <row r="124" spans="7:9">
      <c r="G124" s="103">
        <v>50010</v>
      </c>
      <c r="H124" s="111">
        <v>8.1373435165838313</v>
      </c>
      <c r="I124" s="112">
        <f t="shared" si="4"/>
        <v>2036</v>
      </c>
    </row>
    <row r="125" spans="7:9">
      <c r="G125" s="103">
        <v>50041</v>
      </c>
      <c r="H125" s="111">
        <v>8.207026040166344</v>
      </c>
      <c r="I125" s="112">
        <f t="shared" si="4"/>
        <v>2037</v>
      </c>
    </row>
    <row r="126" spans="7:9">
      <c r="G126" s="103">
        <v>50072</v>
      </c>
      <c r="H126" s="111">
        <v>8.1780170128816287</v>
      </c>
      <c r="I126" s="112">
        <f t="shared" si="4"/>
        <v>2037</v>
      </c>
    </row>
    <row r="127" spans="7:9">
      <c r="G127" s="103">
        <v>50100</v>
      </c>
      <c r="H127" s="111">
        <v>7.6117323998377122</v>
      </c>
      <c r="I127" s="112">
        <f t="shared" si="4"/>
        <v>2037</v>
      </c>
    </row>
    <row r="128" spans="7:9">
      <c r="G128" s="103">
        <v>50131</v>
      </c>
      <c r="H128" s="111">
        <v>7.5022892514453803</v>
      </c>
      <c r="I128" s="112">
        <f t="shared" si="4"/>
        <v>2037</v>
      </c>
    </row>
    <row r="129" spans="7:9">
      <c r="G129" s="103">
        <v>50161</v>
      </c>
      <c r="H129" s="111">
        <v>7.5276467927781718</v>
      </c>
      <c r="I129" s="112">
        <f t="shared" si="4"/>
        <v>2037</v>
      </c>
    </row>
    <row r="130" spans="7:9">
      <c r="G130" s="103">
        <v>50192</v>
      </c>
      <c r="H130" s="111">
        <v>7.5766375626331275</v>
      </c>
      <c r="I130" s="112">
        <f t="shared" si="4"/>
        <v>2037</v>
      </c>
    </row>
    <row r="131" spans="7:9">
      <c r="G131" s="103">
        <v>50222</v>
      </c>
      <c r="H131" s="111">
        <v>7.6392199746424589</v>
      </c>
      <c r="I131" s="112">
        <f t="shared" si="4"/>
        <v>2037</v>
      </c>
    </row>
    <row r="132" spans="7:9">
      <c r="G132" s="103">
        <v>50253</v>
      </c>
      <c r="H132" s="111">
        <v>7.6586945663860426</v>
      </c>
      <c r="I132" s="112">
        <f t="shared" si="4"/>
        <v>2037</v>
      </c>
    </row>
    <row r="133" spans="7:9">
      <c r="G133" s="103">
        <v>50284</v>
      </c>
      <c r="H133" s="111">
        <v>7.7068738949183491</v>
      </c>
      <c r="I133" s="112">
        <f t="shared" si="4"/>
        <v>2037</v>
      </c>
    </row>
    <row r="134" spans="7:9">
      <c r="G134" s="103">
        <v>50314</v>
      </c>
      <c r="H134" s="111">
        <v>7.7665148321330761</v>
      </c>
      <c r="I134" s="112">
        <f t="shared" si="4"/>
        <v>2037</v>
      </c>
    </row>
    <row r="135" spans="7:9">
      <c r="G135" s="103">
        <v>50345</v>
      </c>
      <c r="H135" s="111">
        <v>7.9684622913074348</v>
      </c>
      <c r="I135" s="112">
        <f t="shared" si="4"/>
        <v>2037</v>
      </c>
    </row>
    <row r="136" spans="7:9">
      <c r="G136" s="103">
        <v>50375</v>
      </c>
      <c r="H136" s="111">
        <v>8.2919230885485344</v>
      </c>
      <c r="I136" s="112">
        <f t="shared" si="4"/>
        <v>2037</v>
      </c>
    </row>
    <row r="137" spans="7:9">
      <c r="G137" s="103">
        <v>50406</v>
      </c>
      <c r="H137" s="111">
        <v>8.371140047672176</v>
      </c>
      <c r="I137" s="112">
        <f t="shared" si="4"/>
        <v>2038</v>
      </c>
    </row>
    <row r="138" spans="7:9">
      <c r="G138" s="103">
        <v>50437</v>
      </c>
      <c r="H138" s="111">
        <v>8.3415224393954759</v>
      </c>
      <c r="I138" s="112">
        <f t="shared" si="4"/>
        <v>2038</v>
      </c>
    </row>
    <row r="139" spans="7:9">
      <c r="G139" s="103">
        <v>50465</v>
      </c>
      <c r="H139" s="111">
        <v>7.7638776478344669</v>
      </c>
      <c r="I139" s="112">
        <f t="shared" si="4"/>
        <v>2038</v>
      </c>
    </row>
    <row r="140" spans="7:9">
      <c r="G140" s="103">
        <v>50496</v>
      </c>
      <c r="H140" s="111">
        <v>7.652203035804849</v>
      </c>
      <c r="I140" s="112">
        <f t="shared" si="4"/>
        <v>2038</v>
      </c>
    </row>
    <row r="141" spans="7:9">
      <c r="G141" s="103">
        <v>50526</v>
      </c>
      <c r="H141" s="111">
        <v>7.6780677279642973</v>
      </c>
      <c r="I141" s="112">
        <f t="shared" si="4"/>
        <v>2038</v>
      </c>
    </row>
    <row r="142" spans="7:9">
      <c r="G142" s="103">
        <v>50557</v>
      </c>
      <c r="H142" s="111">
        <v>7.7281742296378946</v>
      </c>
      <c r="I142" s="112">
        <f t="shared" si="4"/>
        <v>2038</v>
      </c>
    </row>
    <row r="143" spans="7:9">
      <c r="G143" s="103">
        <v>50587</v>
      </c>
      <c r="H143" s="111">
        <v>7.7919738036311994</v>
      </c>
      <c r="I143" s="112">
        <f t="shared" si="4"/>
        <v>2038</v>
      </c>
    </row>
    <row r="144" spans="7:9">
      <c r="G144" s="103">
        <v>50618</v>
      </c>
      <c r="H144" s="111">
        <v>7.8118541160361099</v>
      </c>
      <c r="I144" s="112">
        <f t="shared" si="4"/>
        <v>2038</v>
      </c>
    </row>
    <row r="145" spans="7:9">
      <c r="G145" s="103">
        <v>50649</v>
      </c>
      <c r="H145" s="111">
        <v>7.8609463160563955</v>
      </c>
      <c r="I145" s="112">
        <f t="shared" si="4"/>
        <v>2038</v>
      </c>
    </row>
    <row r="146" spans="7:9">
      <c r="G146" s="103">
        <v>50679</v>
      </c>
      <c r="H146" s="111">
        <v>7.9218044152550968</v>
      </c>
      <c r="I146" s="112">
        <f t="shared" si="4"/>
        <v>2038</v>
      </c>
    </row>
    <row r="147" spans="7:9">
      <c r="G147" s="103">
        <v>50710</v>
      </c>
      <c r="H147" s="111">
        <v>8.1277076508773689</v>
      </c>
      <c r="I147" s="112">
        <f t="shared" si="4"/>
        <v>2038</v>
      </c>
    </row>
    <row r="148" spans="7:9">
      <c r="G148" s="103">
        <v>50740</v>
      </c>
      <c r="H148" s="111">
        <v>8.4576599786996649</v>
      </c>
      <c r="I148" s="112">
        <f t="shared" si="4"/>
        <v>2038</v>
      </c>
    </row>
    <row r="153" spans="7:9">
      <c r="G153" s="6"/>
      <c r="H153" s="6"/>
    </row>
    <row r="154" spans="7:9">
      <c r="G154" s="6"/>
      <c r="H154" s="6"/>
    </row>
    <row r="155" spans="7:9">
      <c r="G155" s="6"/>
      <c r="H155" s="6"/>
    </row>
    <row r="156" spans="7:9">
      <c r="G156" s="6"/>
      <c r="H156" s="6"/>
    </row>
    <row r="157" spans="7:9">
      <c r="G157" s="6"/>
      <c r="H157" s="6"/>
    </row>
    <row r="158" spans="7:9">
      <c r="G158" s="6"/>
      <c r="H158" s="6"/>
    </row>
    <row r="159" spans="7:9">
      <c r="G159" s="6"/>
      <c r="H159" s="6"/>
    </row>
    <row r="160" spans="7:9">
      <c r="G160" s="6"/>
      <c r="H160" s="6"/>
    </row>
    <row r="161" spans="7:8">
      <c r="G161" s="6"/>
      <c r="H161" s="6"/>
    </row>
    <row r="162" spans="7:8">
      <c r="G162" s="6"/>
      <c r="H162" s="6"/>
    </row>
    <row r="163" spans="7:8">
      <c r="G163" s="6"/>
      <c r="H163" s="6"/>
    </row>
    <row r="164" spans="7:8">
      <c r="G164" s="6"/>
      <c r="H164" s="6"/>
    </row>
    <row r="165" spans="7:8">
      <c r="G165" s="6"/>
      <c r="H165" s="6"/>
    </row>
    <row r="166" spans="7:8">
      <c r="G166" s="6"/>
      <c r="H166" s="6"/>
    </row>
    <row r="167" spans="7:8">
      <c r="G167" s="6"/>
      <c r="H167" s="6"/>
    </row>
    <row r="168" spans="7:8">
      <c r="G168" s="6"/>
      <c r="H168" s="6"/>
    </row>
    <row r="169" spans="7:8">
      <c r="G169" s="6"/>
      <c r="H169" s="6"/>
    </row>
    <row r="170" spans="7:8">
      <c r="G170" s="6"/>
      <c r="H170" s="6"/>
    </row>
    <row r="171" spans="7:8">
      <c r="G171" s="6"/>
      <c r="H171" s="6"/>
    </row>
    <row r="172" spans="7:8">
      <c r="G172" s="6"/>
      <c r="H172" s="6"/>
    </row>
    <row r="173" spans="7:8">
      <c r="G173" s="6"/>
      <c r="H173" s="6"/>
    </row>
    <row r="174" spans="7:8">
      <c r="G174" s="6"/>
      <c r="H174" s="6"/>
    </row>
    <row r="175" spans="7:8">
      <c r="G175" s="6"/>
      <c r="H175" s="6"/>
    </row>
    <row r="176" spans="7:8">
      <c r="G176" s="6"/>
      <c r="H176" s="6"/>
    </row>
    <row r="177" spans="7:8">
      <c r="G177" s="6"/>
      <c r="H177" s="6"/>
    </row>
    <row r="178" spans="7:8">
      <c r="G178" s="6"/>
      <c r="H178" s="6"/>
    </row>
    <row r="179" spans="7:8">
      <c r="G179" s="6"/>
      <c r="H179" s="6"/>
    </row>
    <row r="180" spans="7:8">
      <c r="G180" s="6"/>
      <c r="H180" s="6"/>
    </row>
    <row r="181" spans="7:8">
      <c r="G181" s="6"/>
      <c r="H181" s="6"/>
    </row>
    <row r="182" spans="7:8">
      <c r="G182" s="6"/>
      <c r="H182" s="6"/>
    </row>
    <row r="183" spans="7:8">
      <c r="G183" s="6"/>
      <c r="H183" s="6"/>
    </row>
    <row r="184" spans="7:8">
      <c r="G184" s="6"/>
      <c r="H184" s="6"/>
    </row>
    <row r="185" spans="7:8">
      <c r="G185" s="6"/>
      <c r="H185" s="6"/>
    </row>
    <row r="186" spans="7:8">
      <c r="G186" s="6"/>
      <c r="H186" s="6"/>
    </row>
    <row r="187" spans="7:8">
      <c r="G187" s="6"/>
      <c r="H187" s="6"/>
    </row>
    <row r="188" spans="7:8">
      <c r="G188" s="6"/>
      <c r="H188" s="6"/>
    </row>
    <row r="189" spans="7:8">
      <c r="G189" s="6"/>
      <c r="H189" s="6"/>
    </row>
    <row r="190" spans="7:8">
      <c r="G190" s="6"/>
      <c r="H190" s="6"/>
    </row>
    <row r="191" spans="7:8">
      <c r="G191" s="6"/>
      <c r="H191" s="6"/>
    </row>
    <row r="192" spans="7:8">
      <c r="G192" s="6"/>
      <c r="H192" s="6"/>
    </row>
    <row r="193" spans="7:8">
      <c r="G193" s="6"/>
      <c r="H193" s="6"/>
    </row>
    <row r="194" spans="7:8">
      <c r="G194" s="6"/>
      <c r="H194" s="6"/>
    </row>
    <row r="195" spans="7:8">
      <c r="G195" s="6"/>
      <c r="H195" s="6"/>
    </row>
    <row r="196" spans="7:8">
      <c r="G196" s="6"/>
      <c r="H196" s="6"/>
    </row>
    <row r="197" spans="7:8">
      <c r="G197" s="6"/>
      <c r="H197" s="6"/>
    </row>
    <row r="198" spans="7:8">
      <c r="G198" s="6"/>
      <c r="H198" s="6"/>
    </row>
    <row r="199" spans="7:8">
      <c r="G199" s="6"/>
      <c r="H199" s="6"/>
    </row>
    <row r="200" spans="7:8">
      <c r="G200" s="6"/>
      <c r="H200" s="6"/>
    </row>
    <row r="201" spans="7:8">
      <c r="G201" s="6"/>
      <c r="H201" s="6"/>
    </row>
    <row r="202" spans="7:8">
      <c r="G202" s="6"/>
      <c r="H202" s="6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Appendix B</vt:lpstr>
      <vt:lpstr>Table 1</vt:lpstr>
      <vt:lpstr>Table 2</vt:lpstr>
      <vt:lpstr>Table 3</vt:lpstr>
      <vt:lpstr>Table 4</vt:lpstr>
      <vt:lpstr>Table 5</vt:lpstr>
      <vt:lpstr>Discount_Rate</vt:lpstr>
      <vt:lpstr>'Appendix B'!Print_Area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2'!Print_Titles</vt:lpstr>
      <vt:lpstr>'Table 3'!Print_Titles</vt:lpstr>
      <vt:lpstr>'Table 4'!Print_Titles</vt:lpstr>
      <vt:lpstr>Study_Cap_Adj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mpaschal</cp:lastModifiedBy>
  <cp:lastPrinted>2013-04-15T17:34:00Z</cp:lastPrinted>
  <dcterms:created xsi:type="dcterms:W3CDTF">2001-03-19T15:45:46Z</dcterms:created>
  <dcterms:modified xsi:type="dcterms:W3CDTF">2013-04-24T18:41:53Z</dcterms:modified>
</cp:coreProperties>
</file>