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 codeName="ThisWorkbook" defaultThemeVersion="124226"/>
  <bookViews>
    <workbookView xWindow="15" yWindow="-30" windowWidth="15015" windowHeight="10440"/>
  </bookViews>
  <sheets>
    <sheet name="Incremental" sheetId="6" r:id="rId1"/>
    <sheet name="Total" sheetId="5" r:id="rId2"/>
    <sheet name="Energy" sheetId="3" r:id="rId3"/>
    <sheet name="Capacity" sheetId="2" r:id="rId4"/>
  </sheets>
  <definedNames>
    <definedName name="Discount_Rate">Total!$B$41</definedName>
    <definedName name="_xlnm.Print_Area" localSheetId="3">Capacity!$A$1:$H$36</definedName>
    <definedName name="_xlnm.Print_Area" localSheetId="2">Energy!$A$1:$H$38</definedName>
    <definedName name="_xlnm.Print_Area" localSheetId="0">Incremental!$A$1:$G$37</definedName>
    <definedName name="_xlnm.Print_Area" localSheetId="1">Total!$A$1:$G$38</definedName>
  </definedNames>
  <calcPr calcId="124519" calcOnSave="0"/>
</workbook>
</file>

<file path=xl/calcChain.xml><?xml version="1.0" encoding="utf-8"?>
<calcChain xmlns="http://schemas.openxmlformats.org/spreadsheetml/2006/main">
  <c r="B37" i="3"/>
  <c r="B36"/>
  <c r="B35"/>
  <c r="B35" i="5" l="1"/>
  <c r="B36" l="1"/>
  <c r="B31" i="2"/>
  <c r="G8"/>
  <c r="B11" l="1"/>
  <c r="B12" l="1"/>
  <c r="F11"/>
  <c r="F10"/>
  <c r="B13" l="1"/>
  <c r="F12" l="1"/>
  <c r="B14"/>
  <c r="F13"/>
  <c r="B15" l="1"/>
  <c r="F14"/>
  <c r="B16" l="1"/>
  <c r="B17" l="1"/>
  <c r="F16"/>
  <c r="F15"/>
  <c r="B18" l="1"/>
  <c r="F17"/>
  <c r="B19" l="1"/>
  <c r="F18"/>
  <c r="B20" l="1"/>
  <c r="F19"/>
  <c r="B21" l="1"/>
  <c r="F20"/>
  <c r="B22" l="1"/>
  <c r="F21"/>
  <c r="B23" l="1"/>
  <c r="F22"/>
  <c r="B24" l="1"/>
  <c r="F23"/>
  <c r="B25" l="1"/>
  <c r="F24"/>
  <c r="B26" l="1"/>
  <c r="F25"/>
  <c r="B27" l="1"/>
  <c r="F26"/>
  <c r="B28" l="1"/>
  <c r="F27"/>
  <c r="B29" l="1"/>
  <c r="F28"/>
  <c r="B32" l="1"/>
  <c r="F29" l="1"/>
  <c r="F32" s="1"/>
  <c r="C32"/>
  <c r="B41" i="3" l="1"/>
  <c r="B31" s="1"/>
  <c r="B11" l="1"/>
  <c r="B12" l="1"/>
  <c r="B13" l="1"/>
  <c r="B14" l="1"/>
  <c r="B15" l="1"/>
  <c r="B16" l="1"/>
  <c r="B17" l="1"/>
  <c r="B18" l="1"/>
  <c r="B19" l="1"/>
  <c r="B20" l="1"/>
  <c r="B21" l="1"/>
  <c r="B22" l="1"/>
  <c r="B23" l="1"/>
  <c r="B24" l="1"/>
  <c r="B25" l="1"/>
  <c r="B26" l="1"/>
  <c r="B27" l="1"/>
  <c r="B28" l="1"/>
  <c r="B29" l="1"/>
  <c r="B32" s="1"/>
  <c r="F8" i="2" l="1"/>
  <c r="B4"/>
  <c r="C32" i="3" l="1"/>
  <c r="D32" l="1"/>
  <c r="F7" i="5" l="1"/>
  <c r="E8"/>
  <c r="F8"/>
  <c r="E7" i="6"/>
  <c r="D8"/>
  <c r="E8"/>
  <c r="C8" l="1"/>
  <c r="C7"/>
  <c r="B4" i="5" l="1"/>
  <c r="B4" i="6"/>
  <c r="B31" i="5"/>
  <c r="B35" i="6" l="1"/>
  <c r="B36" l="1"/>
  <c r="B37"/>
  <c r="B34"/>
  <c r="D8" i="5" l="1"/>
  <c r="D7"/>
  <c r="I32" i="6" l="1"/>
  <c r="B31" l="1"/>
  <c r="B10" l="1"/>
  <c r="B11" i="5"/>
  <c r="B3" i="6"/>
  <c r="B1"/>
  <c r="B11" l="1"/>
  <c r="B12" i="5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2" s="1"/>
  <c r="B12" i="6" l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2" s="1"/>
  <c r="C10" i="5" l="1"/>
  <c r="C12" l="1"/>
  <c r="C11"/>
  <c r="C14" l="1"/>
  <c r="C13"/>
  <c r="C15" l="1"/>
  <c r="C16" l="1"/>
  <c r="C17" l="1"/>
  <c r="C18" l="1"/>
  <c r="C19" l="1"/>
  <c r="C20" l="1"/>
  <c r="C21" l="1"/>
  <c r="C22" l="1"/>
  <c r="C23" l="1"/>
  <c r="C24" l="1"/>
  <c r="C25" l="1"/>
  <c r="C26" l="1"/>
  <c r="C27" l="1"/>
  <c r="C28" l="1"/>
  <c r="C29" l="1"/>
  <c r="C32" l="1"/>
  <c r="D10" l="1"/>
  <c r="C10" i="6" s="1"/>
  <c r="D13" i="5" l="1"/>
  <c r="C13" i="6" s="1"/>
  <c r="D11" i="5" l="1"/>
  <c r="C11" i="6" s="1"/>
  <c r="D19" i="5" l="1"/>
  <c r="C19" i="6" s="1"/>
  <c r="D26" i="5"/>
  <c r="C26" i="6" s="1"/>
  <c r="D14" i="5"/>
  <c r="C14" i="6" s="1"/>
  <c r="D22" i="5" l="1"/>
  <c r="C22" i="6" s="1"/>
  <c r="D25" i="5"/>
  <c r="C25" i="6" s="1"/>
  <c r="D16" i="5"/>
  <c r="C16" i="6" s="1"/>
  <c r="D27" i="5"/>
  <c r="C27" i="6" s="1"/>
  <c r="D17" i="5"/>
  <c r="C17" i="6" s="1"/>
  <c r="D21" i="5"/>
  <c r="C21" i="6" s="1"/>
  <c r="D15" i="5" l="1"/>
  <c r="C15" i="6" s="1"/>
  <c r="D18" i="5"/>
  <c r="C18" i="6" s="1"/>
  <c r="D23" i="5"/>
  <c r="C23" i="6" s="1"/>
  <c r="D24" i="5"/>
  <c r="C24" i="6" s="1"/>
  <c r="D28" i="5"/>
  <c r="C28" i="6" s="1"/>
  <c r="D20" i="5"/>
  <c r="C20" i="6" s="1"/>
  <c r="D29" i="5"/>
  <c r="C29" i="6" s="1"/>
  <c r="D12" i="5" l="1"/>
  <c r="C12" i="6" s="1"/>
  <c r="D32" i="5" l="1"/>
  <c r="C32" i="6" s="1"/>
  <c r="G11" i="2" l="1"/>
  <c r="G10" l="1"/>
  <c r="G12" l="1"/>
  <c r="G13" l="1"/>
  <c r="G14" l="1"/>
  <c r="G28" l="1"/>
  <c r="G26"/>
  <c r="G29"/>
  <c r="G16"/>
  <c r="G20"/>
  <c r="G21"/>
  <c r="G25"/>
  <c r="G17"/>
  <c r="G24"/>
  <c r="G19"/>
  <c r="G27"/>
  <c r="G22"/>
  <c r="G18"/>
  <c r="G23"/>
  <c r="G15" l="1"/>
  <c r="D32"/>
  <c r="G32" l="1"/>
  <c r="F17" i="5" l="1"/>
  <c r="E17"/>
  <c r="D17" i="6" s="1"/>
  <c r="F13" i="5"/>
  <c r="E13"/>
  <c r="D13" i="6" s="1"/>
  <c r="F14" i="5"/>
  <c r="E14"/>
  <c r="D14" i="6" s="1"/>
  <c r="F15" i="5"/>
  <c r="E15"/>
  <c r="D15" i="6" s="1"/>
  <c r="F18" i="5"/>
  <c r="E18"/>
  <c r="D18" i="6" s="1"/>
  <c r="F19" i="5"/>
  <c r="E19"/>
  <c r="D19" i="6" s="1"/>
  <c r="F12" i="5"/>
  <c r="E12"/>
  <c r="D12" i="6" s="1"/>
  <c r="F11" i="5"/>
  <c r="E11"/>
  <c r="D11" i="6" s="1"/>
  <c r="F16" i="5"/>
  <c r="E16"/>
  <c r="D16" i="6" s="1"/>
  <c r="E10" i="5" l="1"/>
  <c r="E16" i="6"/>
  <c r="F16" s="1"/>
  <c r="H16" s="1"/>
  <c r="E11"/>
  <c r="F11" s="1"/>
  <c r="H11" s="1"/>
  <c r="E12"/>
  <c r="F12" s="1"/>
  <c r="H12" s="1"/>
  <c r="E19"/>
  <c r="F19" s="1"/>
  <c r="H19" s="1"/>
  <c r="E18"/>
  <c r="F18" s="1"/>
  <c r="E15"/>
  <c r="E14"/>
  <c r="F14" s="1"/>
  <c r="E13"/>
  <c r="F13" s="1"/>
  <c r="H13" s="1"/>
  <c r="E17"/>
  <c r="F17" s="1"/>
  <c r="H17" s="1"/>
  <c r="H14" l="1"/>
  <c r="D10"/>
  <c r="F10" i="5"/>
  <c r="F15" i="6"/>
  <c r="H18"/>
  <c r="E10" l="1"/>
  <c r="H15"/>
  <c r="F10" l="1"/>
  <c r="H10" l="1"/>
  <c r="F22" i="5" l="1"/>
  <c r="E22"/>
  <c r="D22" i="6" s="1"/>
  <c r="E22" l="1"/>
  <c r="F22" s="1"/>
  <c r="H22" s="1"/>
  <c r="F21" i="5"/>
  <c r="E21"/>
  <c r="D21" i="6" s="1"/>
  <c r="F23" i="5"/>
  <c r="E23"/>
  <c r="D23" i="6" s="1"/>
  <c r="E23" l="1"/>
  <c r="F23" s="1"/>
  <c r="H23" s="1"/>
  <c r="E21"/>
  <c r="F21" s="1"/>
  <c r="H21" s="1"/>
  <c r="F27" i="5"/>
  <c r="E27"/>
  <c r="D27" i="6" s="1"/>
  <c r="F28" i="5"/>
  <c r="E28"/>
  <c r="D28" i="6" s="1"/>
  <c r="F25" i="5"/>
  <c r="E25"/>
  <c r="D25" i="6" s="1"/>
  <c r="E20" i="5"/>
  <c r="E32" i="3"/>
  <c r="F24" i="5"/>
  <c r="E24"/>
  <c r="D24" i="6" s="1"/>
  <c r="F29" i="5"/>
  <c r="E29"/>
  <c r="D29" i="6" s="1"/>
  <c r="F26" i="5"/>
  <c r="E26"/>
  <c r="D26" i="6" s="1"/>
  <c r="E29" l="1"/>
  <c r="F29" s="1"/>
  <c r="H29" s="1"/>
  <c r="E24"/>
  <c r="F24" s="1"/>
  <c r="H24" s="1"/>
  <c r="D20"/>
  <c r="E32" i="5"/>
  <c r="D32" i="6" s="1"/>
  <c r="E26"/>
  <c r="F26" s="1"/>
  <c r="H26" s="1"/>
  <c r="F20" i="5"/>
  <c r="F32" i="3"/>
  <c r="E25" i="6"/>
  <c r="F25" s="1"/>
  <c r="H25" s="1"/>
  <c r="E28"/>
  <c r="F28" s="1"/>
  <c r="H28" s="1"/>
  <c r="E27"/>
  <c r="F27" s="1"/>
  <c r="H27" s="1"/>
  <c r="E20" l="1"/>
  <c r="F32" i="5"/>
  <c r="E32" i="6" s="1"/>
  <c r="F32" s="1"/>
  <c r="F20" l="1"/>
  <c r="H20" s="1"/>
  <c r="H32" l="1"/>
</calcChain>
</file>

<file path=xl/sharedStrings.xml><?xml version="1.0" encoding="utf-8"?>
<sst xmlns="http://schemas.openxmlformats.org/spreadsheetml/2006/main" count="45" uniqueCount="35">
  <si>
    <t>Year</t>
  </si>
  <si>
    <t>Discount Rate</t>
  </si>
  <si>
    <t>Utah Quarterly Compliance Filing</t>
  </si>
  <si>
    <t>$/kW-Year</t>
  </si>
  <si>
    <t>Appendix C</t>
  </si>
  <si>
    <t>Total</t>
  </si>
  <si>
    <t>Change</t>
  </si>
  <si>
    <t>GRID Calculated Energy Avoided Cost Prices $/MWH (1)</t>
  </si>
  <si>
    <t>As Filed</t>
  </si>
  <si>
    <t>$/MWH  (1)</t>
  </si>
  <si>
    <t>Capacity Avoided Cost Prices</t>
  </si>
  <si>
    <t>Official Forward</t>
  </si>
  <si>
    <t>Price Curve (2)</t>
  </si>
  <si>
    <t>Total Avoided Cost Prices $/MWH (1) (4)</t>
  </si>
  <si>
    <t>Avoided Cost Impact of Changing Assumptions $/MWH (1) (4)</t>
  </si>
  <si>
    <t>Check</t>
  </si>
  <si>
    <t>2012 Q2</t>
  </si>
  <si>
    <t>OFPC Date</t>
  </si>
  <si>
    <t>Changes</t>
  </si>
  <si>
    <t>All Other</t>
  </si>
  <si>
    <t xml:space="preserve">Total </t>
  </si>
  <si>
    <t>2013.Q1 (3)</t>
  </si>
  <si>
    <t>(x)  Extrapolated</t>
  </si>
  <si>
    <t>2013.Q1</t>
  </si>
  <si>
    <t>2012 Needs Assessment - Discount Rate</t>
  </si>
  <si>
    <t>2012.Q4</t>
  </si>
  <si>
    <t>Step Study between 2013.Q1 and 2012.Q4 Compliance Filing</t>
  </si>
  <si>
    <t>2012 Needs Assessment discount rate</t>
  </si>
  <si>
    <t>(4)   Capacity costs are allocated assuming an 85% capacity factor</t>
  </si>
  <si>
    <t>(3)   2012 Needs Assessment discount rate</t>
  </si>
  <si>
    <t>(1)   Capacity costs are allocated assuming an 85% capacity factor</t>
  </si>
  <si>
    <t>(x)   Extrapolated</t>
  </si>
  <si>
    <t>(1)   Studies are sequential and study order effects the price impact</t>
  </si>
  <si>
    <t>QF Queue</t>
  </si>
  <si>
    <t xml:space="preserve">(3)   Capacity payment from 2028 CCCT (400 MW 1x1) 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</si>
</sst>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8" formatCode="&quot;$&quot;#,##0.00_);[Red]\(&quot;$&quot;#,##0.00\)"/>
    <numFmt numFmtId="164" formatCode="0.0%"/>
    <numFmt numFmtId="165" formatCode="_(* #,##0.00_);_(* \(#,##0.00\);_(* &quot;-&quot;_);_(@_)"/>
    <numFmt numFmtId="166" formatCode="_(* #,##0_);[Red]_(* \(#,##0\);_(* &quot;-&quot;_);_(@_)"/>
    <numFmt numFmtId="167" formatCode="_(* #,##0.00_);[Red]_(* \(#,##0.00\);_(* &quot;-&quot;_);_(@_)"/>
    <numFmt numFmtId="168" formatCode="_(&quot;$&quot;\ #,##0.00_);[Red]_(&quot;$&quot;\ \(#,##0.00\);_(\ &quot;-&quot;?_);_(@_)"/>
    <numFmt numFmtId="169" formatCode="0.000%"/>
    <numFmt numFmtId="170" formatCode="_(* #,##0.000_);[Red]_(* \(#,##0.000\);_(* &quot;-&quot;_);_(@_)"/>
    <numFmt numFmtId="171" formatCode="_(* #,##0.00000_);[Red]_(* \(#,##0.00000\);_(* &quot;-&quot;_);_(@_)"/>
    <numFmt numFmtId="172" formatCode="&quot;$&quot;#,##0.00\(\x\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166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6" fontId="1" fillId="0" borderId="0"/>
    <xf numFmtId="166" fontId="7" fillId="0" borderId="0"/>
  </cellStyleXfs>
  <cellXfs count="55">
    <xf numFmtId="166" fontId="0" fillId="0" borderId="0" xfId="0"/>
    <xf numFmtId="166" fontId="4" fillId="0" borderId="0" xfId="0" applyFont="1"/>
    <xf numFmtId="166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6" fontId="4" fillId="0" borderId="0" xfId="0" applyFont="1" applyFill="1"/>
    <xf numFmtId="7" fontId="4" fillId="0" borderId="0" xfId="0" applyNumberFormat="1" applyFont="1" applyFill="1" applyBorder="1" applyAlignment="1">
      <alignment horizontal="center"/>
    </xf>
    <xf numFmtId="1" fontId="1" fillId="0" borderId="0" xfId="2" applyNumberFormat="1" applyFill="1" applyAlignment="1" applyProtection="1">
      <alignment horizontal="center"/>
      <protection locked="0"/>
    </xf>
    <xf numFmtId="166" fontId="3" fillId="0" borderId="0" xfId="0" applyFont="1" applyAlignment="1">
      <alignment horizontal="centerContinuous"/>
    </xf>
    <xf numFmtId="166" fontId="3" fillId="0" borderId="3" xfId="0" applyFont="1" applyBorder="1"/>
    <xf numFmtId="166" fontId="3" fillId="0" borderId="4" xfId="0" applyFont="1" applyBorder="1" applyAlignment="1">
      <alignment horizontal="center"/>
    </xf>
    <xf numFmtId="166" fontId="3" fillId="0" borderId="5" xfId="0" applyFont="1" applyBorder="1" applyAlignment="1">
      <alignment horizontal="center"/>
    </xf>
    <xf numFmtId="166" fontId="4" fillId="0" borderId="0" xfId="0" quotePrefix="1" applyFont="1"/>
    <xf numFmtId="166" fontId="4" fillId="0" borderId="0" xfId="0" applyFont="1" applyAlignment="1">
      <alignment horizontal="center"/>
    </xf>
    <xf numFmtId="165" fontId="4" fillId="0" borderId="0" xfId="0" applyNumberFormat="1" applyFont="1"/>
    <xf numFmtId="164" fontId="4" fillId="0" borderId="0" xfId="3" applyNumberFormat="1" applyFont="1"/>
    <xf numFmtId="167" fontId="4" fillId="0" borderId="0" xfId="0" applyNumberFormat="1" applyFont="1"/>
    <xf numFmtId="166" fontId="3" fillId="0" borderId="5" xfId="0" applyFont="1" applyFill="1" applyBorder="1" applyAlignment="1">
      <alignment horizontal="center"/>
    </xf>
    <xf numFmtId="166" fontId="3" fillId="0" borderId="1" xfId="0" applyFont="1" applyFill="1" applyBorder="1" applyAlignment="1">
      <alignment horizontal="center"/>
    </xf>
    <xf numFmtId="166" fontId="4" fillId="0" borderId="0" xfId="0" applyFont="1" applyFill="1" applyAlignment="1"/>
    <xf numFmtId="166" fontId="3" fillId="0" borderId="3" xfId="0" applyFont="1" applyFill="1" applyBorder="1"/>
    <xf numFmtId="166" fontId="3" fillId="0" borderId="4" xfId="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6" fontId="3" fillId="0" borderId="0" xfId="0" applyFont="1" applyFill="1" applyBorder="1" applyAlignment="1">
      <alignment horizontal="centerContinuous"/>
    </xf>
    <xf numFmtId="166" fontId="3" fillId="0" borderId="0" xfId="0" applyFont="1" applyFill="1" applyBorder="1" applyAlignment="1">
      <alignment horizontal="center"/>
    </xf>
    <xf numFmtId="166" fontId="4" fillId="0" borderId="0" xfId="0" applyFont="1" applyFill="1" applyBorder="1"/>
    <xf numFmtId="170" fontId="4" fillId="0" borderId="0" xfId="0" applyNumberFormat="1" applyFont="1"/>
    <xf numFmtId="169" fontId="4" fillId="0" borderId="0" xfId="0" applyNumberFormat="1" applyFont="1"/>
    <xf numFmtId="166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6" fontId="4" fillId="0" borderId="2" xfId="0" quotePrefix="1" applyFont="1" applyBorder="1"/>
    <xf numFmtId="166" fontId="3" fillId="0" borderId="0" xfId="4" applyFont="1" applyAlignment="1">
      <alignment horizontal="centerContinuous"/>
    </xf>
    <xf numFmtId="166" fontId="4" fillId="0" borderId="0" xfId="4" applyFont="1" applyAlignment="1">
      <alignment horizontal="centerContinuous"/>
    </xf>
    <xf numFmtId="166" fontId="4" fillId="0" borderId="0" xfId="4" applyFont="1"/>
    <xf numFmtId="166" fontId="3" fillId="0" borderId="3" xfId="4" applyFont="1" applyBorder="1"/>
    <xf numFmtId="166" fontId="3" fillId="0" borderId="3" xfId="4" applyFont="1" applyBorder="1" applyAlignment="1">
      <alignment horizontal="centerContinuous"/>
    </xf>
    <xf numFmtId="166" fontId="3" fillId="0" borderId="5" xfId="4" applyFont="1" applyBorder="1" applyAlignment="1">
      <alignment horizontal="centerContinuous"/>
    </xf>
    <xf numFmtId="166" fontId="3" fillId="0" borderId="4" xfId="4" applyFont="1" applyBorder="1" applyAlignment="1">
      <alignment horizontal="center"/>
    </xf>
    <xf numFmtId="166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8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6" fontId="4" fillId="0" borderId="0" xfId="4" applyFont="1" applyFill="1"/>
    <xf numFmtId="166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6" fontId="4" fillId="0" borderId="0" xfId="4" applyFont="1" applyAlignment="1"/>
    <xf numFmtId="169" fontId="4" fillId="0" borderId="0" xfId="4" applyNumberFormat="1" applyFont="1" applyAlignment="1">
      <alignment horizontal="center"/>
    </xf>
    <xf numFmtId="171" fontId="4" fillId="0" borderId="0" xfId="0" applyNumberFormat="1" applyFont="1"/>
    <xf numFmtId="172" fontId="4" fillId="0" borderId="0" xfId="5" applyNumberFormat="1" applyFont="1" applyFill="1" applyBorder="1" applyAlignment="1">
      <alignment horizontal="center"/>
    </xf>
    <xf numFmtId="7" fontId="4" fillId="0" borderId="0" xfId="0" applyNumberFormat="1" applyFont="1" applyAlignment="1">
      <alignment horizontal="center"/>
    </xf>
    <xf numFmtId="7" fontId="4" fillId="0" borderId="2" xfId="0" applyNumberFormat="1" applyFont="1" applyFill="1" applyBorder="1" applyAlignment="1">
      <alignment horizontal="center"/>
    </xf>
  </cellXfs>
  <cellStyles count="6">
    <cellStyle name="Input" xfId="1" builtinId="20" customBuiltin="1"/>
    <cellStyle name="Normal" xfId="0" builtinId="0" customBuiltin="1"/>
    <cellStyle name="Normal 2" xfId="4"/>
    <cellStyle name="Normal 5" xfId="5"/>
    <cellStyle name="Normal_T-INF-10-15-04-TEMPLATE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pageSetUpPr fitToPage="1"/>
  </sheetPr>
  <dimension ref="B1:J37"/>
  <sheetViews>
    <sheetView tabSelected="1" view="pageBreakPreview" zoomScale="60" zoomScaleNormal="70" workbookViewId="0">
      <selection activeCell="E32" activeCellId="13" sqref="E10 E11 E13 E14 E15 E16 E17 E18 E19:E23 F11:F12 F15:F20 F22 F32 E32"/>
    </sheetView>
  </sheetViews>
  <sheetFormatPr defaultRowHeight="15"/>
  <cols>
    <col min="1" max="1" width="1.85546875" style="1" customWidth="1"/>
    <col min="2" max="2" width="14.42578125" style="1" customWidth="1"/>
    <col min="3" max="3" width="19.85546875" style="1" customWidth="1"/>
    <col min="4" max="4" width="19.7109375" style="1" customWidth="1"/>
    <col min="5" max="6" width="20.140625" style="1" customWidth="1"/>
    <col min="7" max="7" width="2.28515625" style="1" customWidth="1"/>
    <col min="8" max="8" width="10.140625" style="1" hidden="1" customWidth="1"/>
    <col min="9" max="9" width="10.5703125" style="1" hidden="1" customWidth="1"/>
    <col min="10" max="10" width="9.28515625" style="1" customWidth="1"/>
    <col min="11" max="16384" width="9.140625" style="1"/>
  </cols>
  <sheetData>
    <row r="1" spans="2:10" ht="15.75">
      <c r="B1" s="7" t="str">
        <f>Total!B1</f>
        <v>Appendix C</v>
      </c>
      <c r="C1" s="7"/>
      <c r="D1" s="7"/>
      <c r="E1" s="7"/>
      <c r="F1" s="7"/>
    </row>
    <row r="2" spans="2:10" ht="8.25" customHeight="1">
      <c r="B2" s="7"/>
      <c r="C2" s="7"/>
      <c r="D2" s="7"/>
      <c r="E2" s="7"/>
      <c r="F2" s="7"/>
    </row>
    <row r="3" spans="2:10" ht="15.75">
      <c r="B3" s="7" t="str">
        <f>Total!B3</f>
        <v>Utah Quarterly Compliance Filing</v>
      </c>
      <c r="C3" s="7"/>
      <c r="D3" s="7"/>
      <c r="E3" s="7"/>
      <c r="F3" s="7"/>
    </row>
    <row r="4" spans="2:10" ht="15.75">
      <c r="B4" s="7" t="str">
        <f>Capacity!B4</f>
        <v>Step Study between 2013.Q1 and 2012.Q4 Compliance Filing</v>
      </c>
      <c r="C4" s="7"/>
      <c r="D4" s="7"/>
      <c r="E4" s="7"/>
      <c r="F4" s="7"/>
    </row>
    <row r="5" spans="2:10" ht="15.75">
      <c r="B5" s="7" t="s">
        <v>14</v>
      </c>
      <c r="C5" s="7"/>
      <c r="D5" s="7"/>
      <c r="E5" s="7"/>
      <c r="F5" s="7"/>
    </row>
    <row r="6" spans="2:10">
      <c r="C6" s="12"/>
      <c r="D6" s="12"/>
      <c r="E6" s="12"/>
      <c r="F6" s="12"/>
    </row>
    <row r="7" spans="2:10" s="4" customFormat="1" ht="15.75">
      <c r="B7" s="19"/>
      <c r="C7" s="16" t="str">
        <f>Energy!D7</f>
        <v>Official Forward</v>
      </c>
      <c r="D7" s="16"/>
      <c r="E7" s="16" t="str">
        <f>Energy!F7</f>
        <v>All Other</v>
      </c>
      <c r="F7" s="16" t="s">
        <v>20</v>
      </c>
      <c r="G7" s="1"/>
      <c r="H7" s="1" t="s">
        <v>15</v>
      </c>
      <c r="I7" s="1"/>
      <c r="J7" s="1"/>
    </row>
    <row r="8" spans="2:10" s="4" customFormat="1" ht="15.75">
      <c r="B8" s="20" t="s">
        <v>0</v>
      </c>
      <c r="C8" s="17" t="str">
        <f>Energy!D8</f>
        <v>Price Curve (2)</v>
      </c>
      <c r="D8" s="17" t="str">
        <f>Energy!E8</f>
        <v>QF Queue</v>
      </c>
      <c r="E8" s="17" t="str">
        <f>Energy!F8</f>
        <v>Changes</v>
      </c>
      <c r="F8" s="17" t="s">
        <v>6</v>
      </c>
      <c r="G8" s="1"/>
      <c r="H8" s="1" t="s">
        <v>5</v>
      </c>
      <c r="I8" s="1"/>
      <c r="J8" s="1"/>
    </row>
    <row r="9" spans="2:10" ht="4.5" customHeight="1"/>
    <row r="10" spans="2:10" ht="15.75">
      <c r="B10" s="3">
        <f>Total!B10</f>
        <v>2014</v>
      </c>
      <c r="C10" s="24">
        <f>ROUND(Total!D10-Total!C10,2)</f>
        <v>0.28000000000000003</v>
      </c>
      <c r="D10" s="24">
        <f>ROUND(Total!E10-Total!D10,2)</f>
        <v>1.2</v>
      </c>
      <c r="E10" s="53">
        <f>ROUND(Total!F10-Total!E10,2)</f>
        <v>-0.51</v>
      </c>
      <c r="F10" s="24">
        <f t="shared" ref="F10:F29" si="0">+SUM(C10:E10)</f>
        <v>0.97</v>
      </c>
      <c r="H10" s="15">
        <f t="shared" ref="H10:H29" ca="1" si="1">ROUND(SUM(C10:E10)-OFFSET(H10,0,-2),4)</f>
        <v>0</v>
      </c>
      <c r="I10" s="15"/>
      <c r="J10" s="15"/>
    </row>
    <row r="11" spans="2:10" ht="15.75">
      <c r="B11" s="3">
        <f t="shared" ref="B11:B29" si="2">B10+1</f>
        <v>2015</v>
      </c>
      <c r="C11" s="53">
        <f>ROUND(Total!D11-Total!C11,2)</f>
        <v>-0.73</v>
      </c>
      <c r="D11" s="24">
        <f>ROUND(Total!E11-Total!D11,2)</f>
        <v>1.31</v>
      </c>
      <c r="E11" s="53">
        <f>ROUND(Total!F11-Total!E11,2)</f>
        <v>-1.44</v>
      </c>
      <c r="F11" s="53">
        <f t="shared" si="0"/>
        <v>-0.85999999999999988</v>
      </c>
      <c r="H11" s="15">
        <f t="shared" ca="1" si="1"/>
        <v>0</v>
      </c>
      <c r="I11" s="15"/>
      <c r="J11" s="15"/>
    </row>
    <row r="12" spans="2:10" ht="15.75">
      <c r="B12" s="3">
        <f t="shared" si="2"/>
        <v>2016</v>
      </c>
      <c r="C12" s="53">
        <f>ROUND(Total!D12-Total!C12,2)</f>
        <v>-0.73</v>
      </c>
      <c r="D12" s="53">
        <f>ROUND(Total!E12-Total!D12,2)</f>
        <v>-1.02</v>
      </c>
      <c r="E12" s="24">
        <f>ROUND(Total!F12-Total!E12,2)</f>
        <v>1.01</v>
      </c>
      <c r="F12" s="53">
        <f t="shared" si="0"/>
        <v>-0.74</v>
      </c>
      <c r="H12" s="15">
        <f t="shared" ca="1" si="1"/>
        <v>0</v>
      </c>
      <c r="I12" s="15"/>
      <c r="J12" s="15"/>
    </row>
    <row r="13" spans="2:10" ht="15.75">
      <c r="B13" s="3">
        <f t="shared" si="2"/>
        <v>2017</v>
      </c>
      <c r="C13" s="24">
        <f>ROUND(Total!D13-Total!C13,2)</f>
        <v>0.23</v>
      </c>
      <c r="D13" s="24">
        <f>ROUND(Total!E13-Total!D13,2)</f>
        <v>0.67</v>
      </c>
      <c r="E13" s="53">
        <f>ROUND(Total!F13-Total!E13,2)</f>
        <v>-0.72</v>
      </c>
      <c r="F13" s="24">
        <f t="shared" si="0"/>
        <v>0.18000000000000005</v>
      </c>
      <c r="H13" s="15">
        <f t="shared" ca="1" si="1"/>
        <v>0</v>
      </c>
      <c r="I13" s="15"/>
      <c r="J13" s="15"/>
    </row>
    <row r="14" spans="2:10" ht="15.75">
      <c r="B14" s="3">
        <f t="shared" si="2"/>
        <v>2018</v>
      </c>
      <c r="C14" s="24">
        <f>ROUND(Total!D14-Total!C14,2)</f>
        <v>0.33</v>
      </c>
      <c r="D14" s="24">
        <f>ROUND(Total!E14-Total!D14,2)</f>
        <v>0.28999999999999998</v>
      </c>
      <c r="E14" s="53">
        <f>ROUND(Total!F14-Total!E14,2)</f>
        <v>-0.22</v>
      </c>
      <c r="F14" s="24">
        <f t="shared" si="0"/>
        <v>0.4</v>
      </c>
      <c r="H14" s="15">
        <f t="shared" ca="1" si="1"/>
        <v>0</v>
      </c>
      <c r="I14" s="15"/>
      <c r="J14" s="15"/>
    </row>
    <row r="15" spans="2:10" ht="15.75">
      <c r="B15" s="3">
        <f t="shared" si="2"/>
        <v>2019</v>
      </c>
      <c r="C15" s="53">
        <f>ROUND(Total!D15-Total!C15,2)</f>
        <v>-1.01</v>
      </c>
      <c r="D15" s="53">
        <f>ROUND(Total!E15-Total!D15,2)</f>
        <v>-1.5</v>
      </c>
      <c r="E15" s="53">
        <f>ROUND(Total!F15-Total!E15,2)</f>
        <v>-0.93</v>
      </c>
      <c r="F15" s="53">
        <f t="shared" si="0"/>
        <v>-3.44</v>
      </c>
      <c r="H15" s="15">
        <f t="shared" ca="1" si="1"/>
        <v>0</v>
      </c>
      <c r="I15" s="15"/>
      <c r="J15" s="15"/>
    </row>
    <row r="16" spans="2:10" ht="15.75">
      <c r="B16" s="3">
        <f t="shared" si="2"/>
        <v>2020</v>
      </c>
      <c r="C16" s="53">
        <f>ROUND(Total!D16-Total!C16,2)</f>
        <v>-1.37</v>
      </c>
      <c r="D16" s="53">
        <f>ROUND(Total!E16-Total!D16,2)</f>
        <v>-1.95</v>
      </c>
      <c r="E16" s="53">
        <f>ROUND(Total!F16-Total!E16,2)</f>
        <v>-1.41</v>
      </c>
      <c r="F16" s="53">
        <f t="shared" si="0"/>
        <v>-4.7300000000000004</v>
      </c>
      <c r="H16" s="15">
        <f t="shared" ca="1" si="1"/>
        <v>0</v>
      </c>
      <c r="I16" s="15"/>
      <c r="J16" s="15"/>
    </row>
    <row r="17" spans="2:10" ht="15.75">
      <c r="B17" s="3">
        <f t="shared" si="2"/>
        <v>2021</v>
      </c>
      <c r="C17" s="53">
        <f>ROUND(Total!D17-Total!C17,2)</f>
        <v>-0.84</v>
      </c>
      <c r="D17" s="53">
        <f>ROUND(Total!E17-Total!D17,2)</f>
        <v>-0.12</v>
      </c>
      <c r="E17" s="53">
        <f>ROUND(Total!F17-Total!E17,2)</f>
        <v>-1.45</v>
      </c>
      <c r="F17" s="53">
        <f t="shared" si="0"/>
        <v>-2.41</v>
      </c>
      <c r="H17" s="15">
        <f t="shared" ca="1" si="1"/>
        <v>0</v>
      </c>
      <c r="I17" s="15"/>
      <c r="J17" s="15"/>
    </row>
    <row r="18" spans="2:10" ht="15.75">
      <c r="B18" s="3">
        <f t="shared" si="2"/>
        <v>2022</v>
      </c>
      <c r="C18" s="53">
        <f>ROUND(Total!D18-Total!C18,2)</f>
        <v>-0.69</v>
      </c>
      <c r="D18" s="53">
        <f>ROUND(Total!E18-Total!D18,2)</f>
        <v>-1.4</v>
      </c>
      <c r="E18" s="53">
        <f>ROUND(Total!F18-Total!E18,2)</f>
        <v>-1.74</v>
      </c>
      <c r="F18" s="53">
        <f t="shared" si="0"/>
        <v>-3.83</v>
      </c>
      <c r="H18" s="15">
        <f t="shared" ca="1" si="1"/>
        <v>0</v>
      </c>
      <c r="I18" s="15"/>
      <c r="J18" s="15"/>
    </row>
    <row r="19" spans="2:10" ht="15.75">
      <c r="B19" s="3">
        <f t="shared" si="2"/>
        <v>2023</v>
      </c>
      <c r="C19" s="24">
        <f>ROUND(Total!D19-Total!C19,2)</f>
        <v>1.1000000000000001</v>
      </c>
      <c r="D19" s="53">
        <f>ROUND(Total!E19-Total!D19,2)</f>
        <v>-1.54</v>
      </c>
      <c r="E19" s="53">
        <f>ROUND(Total!F19-Total!E19,2)</f>
        <v>-2.95</v>
      </c>
      <c r="F19" s="53">
        <f t="shared" si="0"/>
        <v>-3.39</v>
      </c>
      <c r="H19" s="15">
        <f t="shared" ca="1" si="1"/>
        <v>0</v>
      </c>
      <c r="I19" s="15"/>
      <c r="J19" s="15"/>
    </row>
    <row r="20" spans="2:10" ht="15.75">
      <c r="B20" s="3">
        <f t="shared" si="2"/>
        <v>2024</v>
      </c>
      <c r="C20" s="24">
        <f>ROUND(Total!D20-Total!C20,2)</f>
        <v>0.57999999999999996</v>
      </c>
      <c r="D20" s="53">
        <f>ROUND(Total!E20-Total!D20,2)</f>
        <v>-1.41</v>
      </c>
      <c r="E20" s="53">
        <f>ROUND(Total!F20-Total!E20,2)</f>
        <v>-2.96</v>
      </c>
      <c r="F20" s="53">
        <f t="shared" si="0"/>
        <v>-3.79</v>
      </c>
      <c r="H20" s="15">
        <f t="shared" ca="1" si="1"/>
        <v>0</v>
      </c>
      <c r="I20" s="15"/>
      <c r="J20" s="15"/>
    </row>
    <row r="21" spans="2:10" ht="15.75">
      <c r="B21" s="3">
        <f t="shared" si="2"/>
        <v>2025</v>
      </c>
      <c r="C21" s="53">
        <f>ROUND(Total!D21-Total!C21,2)</f>
        <v>-0.69</v>
      </c>
      <c r="D21" s="24">
        <f>ROUND(Total!E21-Total!D21,2)</f>
        <v>2.44</v>
      </c>
      <c r="E21" s="53">
        <f>ROUND(Total!F21-Total!E21,2)</f>
        <v>-0.83</v>
      </c>
      <c r="F21" s="24">
        <f t="shared" si="0"/>
        <v>0.92</v>
      </c>
      <c r="H21" s="15">
        <f t="shared" ca="1" si="1"/>
        <v>0</v>
      </c>
      <c r="I21" s="15"/>
      <c r="J21" s="15"/>
    </row>
    <row r="22" spans="2:10" ht="15.75">
      <c r="B22" s="3">
        <f t="shared" si="2"/>
        <v>2026</v>
      </c>
      <c r="C22" s="53">
        <f>ROUND(Total!D22-Total!C22,2)</f>
        <v>-2.21</v>
      </c>
      <c r="D22" s="24">
        <f>ROUND(Total!E22-Total!D22,2)</f>
        <v>2.13</v>
      </c>
      <c r="E22" s="53">
        <f>ROUND(Total!F22-Total!E22,2)</f>
        <v>-0.77</v>
      </c>
      <c r="F22" s="53">
        <f t="shared" si="0"/>
        <v>-0.85000000000000009</v>
      </c>
      <c r="H22" s="15">
        <f t="shared" ca="1" si="1"/>
        <v>0</v>
      </c>
      <c r="I22" s="15"/>
      <c r="J22" s="15"/>
    </row>
    <row r="23" spans="2:10" ht="15.75">
      <c r="B23" s="3">
        <f t="shared" si="2"/>
        <v>2027</v>
      </c>
      <c r="C23" s="53">
        <f>ROUND(Total!D23-Total!C23,2)</f>
        <v>-2.4900000000000002</v>
      </c>
      <c r="D23" s="24">
        <f>ROUND(Total!E23-Total!D23,2)</f>
        <v>3.24</v>
      </c>
      <c r="E23" s="53">
        <f>ROUND(Total!F23-Total!E23,2)</f>
        <v>-0.49</v>
      </c>
      <c r="F23" s="24">
        <f t="shared" si="0"/>
        <v>0.26</v>
      </c>
      <c r="H23" s="15">
        <f t="shared" ca="1" si="1"/>
        <v>0</v>
      </c>
      <c r="I23" s="15"/>
      <c r="J23" s="15"/>
    </row>
    <row r="24" spans="2:10" ht="15.75">
      <c r="B24" s="3">
        <f t="shared" si="2"/>
        <v>2028</v>
      </c>
      <c r="C24" s="53">
        <f>ROUND(Total!D24-Total!C24,2)</f>
        <v>-1.83</v>
      </c>
      <c r="D24" s="24">
        <f>ROUND(Total!E24-Total!D24,2)</f>
        <v>6.74</v>
      </c>
      <c r="E24" s="24">
        <f>ROUND(Total!F24-Total!E24,2)</f>
        <v>0.25</v>
      </c>
      <c r="F24" s="24">
        <f t="shared" si="0"/>
        <v>5.16</v>
      </c>
      <c r="H24" s="15">
        <f t="shared" ca="1" si="1"/>
        <v>0</v>
      </c>
      <c r="I24" s="15"/>
      <c r="J24" s="15"/>
    </row>
    <row r="25" spans="2:10" ht="15.75">
      <c r="B25" s="3">
        <f t="shared" si="2"/>
        <v>2029</v>
      </c>
      <c r="C25" s="53">
        <f>ROUND(Total!D25-Total!C25,2)</f>
        <v>-1.42</v>
      </c>
      <c r="D25" s="24">
        <f>ROUND(Total!E25-Total!D25,2)</f>
        <v>6.76</v>
      </c>
      <c r="E25" s="24">
        <f>ROUND(Total!F25-Total!E25,2)</f>
        <v>0.34</v>
      </c>
      <c r="F25" s="24">
        <f t="shared" si="0"/>
        <v>5.68</v>
      </c>
      <c r="H25" s="15">
        <f t="shared" ca="1" si="1"/>
        <v>0</v>
      </c>
      <c r="I25" s="15"/>
      <c r="J25" s="15"/>
    </row>
    <row r="26" spans="2:10" ht="15.75">
      <c r="B26" s="3">
        <f t="shared" si="2"/>
        <v>2030</v>
      </c>
      <c r="C26" s="53">
        <f>ROUND(Total!D26-Total!C26,2)</f>
        <v>-1.48</v>
      </c>
      <c r="D26" s="24">
        <f>ROUND(Total!E26-Total!D26,2)</f>
        <v>6.94</v>
      </c>
      <c r="E26" s="24">
        <f>ROUND(Total!F26-Total!E26,2)</f>
        <v>0.09</v>
      </c>
      <c r="F26" s="24">
        <f t="shared" si="0"/>
        <v>5.5500000000000007</v>
      </c>
      <c r="H26" s="15">
        <f t="shared" ca="1" si="1"/>
        <v>0</v>
      </c>
      <c r="I26" s="15"/>
      <c r="J26" s="15"/>
    </row>
    <row r="27" spans="2:10" ht="15.75">
      <c r="B27" s="3">
        <f t="shared" si="2"/>
        <v>2031</v>
      </c>
      <c r="C27" s="53">
        <f>ROUND(Total!D27-Total!C27,2)</f>
        <v>-2.66</v>
      </c>
      <c r="D27" s="24">
        <f>ROUND(Total!E27-Total!D27,2)</f>
        <v>7</v>
      </c>
      <c r="E27" s="24">
        <f>ROUND(Total!F27-Total!E27,2)</f>
        <v>0.22</v>
      </c>
      <c r="F27" s="24">
        <f t="shared" si="0"/>
        <v>4.5599999999999996</v>
      </c>
      <c r="H27" s="15">
        <f t="shared" ca="1" si="1"/>
        <v>0</v>
      </c>
      <c r="I27" s="15"/>
      <c r="J27" s="15"/>
    </row>
    <row r="28" spans="2:10" ht="15.75">
      <c r="B28" s="3">
        <f t="shared" si="2"/>
        <v>2032</v>
      </c>
      <c r="C28" s="53">
        <f>ROUND(Total!D28-Total!C28,2)</f>
        <v>-2.83</v>
      </c>
      <c r="D28" s="24">
        <f>ROUND(Total!E28-Total!D28,2)</f>
        <v>7.37</v>
      </c>
      <c r="E28" s="24">
        <f>ROUND(Total!F28-Total!E28,2)</f>
        <v>0.25</v>
      </c>
      <c r="F28" s="24">
        <f t="shared" si="0"/>
        <v>4.79</v>
      </c>
      <c r="H28" s="15">
        <f t="shared" ca="1" si="1"/>
        <v>0</v>
      </c>
      <c r="I28" s="15"/>
      <c r="J28" s="15"/>
    </row>
    <row r="29" spans="2:10" ht="15.75">
      <c r="B29" s="3">
        <f t="shared" si="2"/>
        <v>2033</v>
      </c>
      <c r="C29" s="53">
        <f>ROUND(Total!D29-Total!C29,2)</f>
        <v>-3.1</v>
      </c>
      <c r="D29" s="24">
        <f>ROUND(Total!E29-Total!D29,2)</f>
        <v>7.35</v>
      </c>
      <c r="E29" s="24">
        <f>ROUND(Total!F29-Total!E29,2)</f>
        <v>0.3</v>
      </c>
      <c r="F29" s="24">
        <f t="shared" si="0"/>
        <v>4.55</v>
      </c>
      <c r="H29" s="15">
        <f t="shared" ca="1" si="1"/>
        <v>0</v>
      </c>
      <c r="I29" s="15"/>
      <c r="J29" s="15"/>
    </row>
    <row r="30" spans="2:10">
      <c r="C30" s="22"/>
      <c r="D30" s="22"/>
      <c r="E30" s="22"/>
      <c r="F30" s="22"/>
      <c r="H30" s="15"/>
      <c r="I30" s="15"/>
      <c r="J30" s="15"/>
    </row>
    <row r="31" spans="2:10">
      <c r="B31" s="18" t="str">
        <f>Total!B31</f>
        <v>Nominal Levelized Payment at 7.154% Discount Rate (3)</v>
      </c>
      <c r="C31" s="25"/>
      <c r="D31" s="25"/>
      <c r="E31" s="25"/>
      <c r="F31" s="25"/>
      <c r="H31" s="15"/>
      <c r="I31" s="26" t="s">
        <v>1</v>
      </c>
      <c r="J31" s="15"/>
    </row>
    <row r="32" spans="2:10">
      <c r="B32" s="11" t="str">
        <f>B10&amp;" - "&amp;B29</f>
        <v>2014 - 2033</v>
      </c>
      <c r="C32" s="54">
        <f>Total!D32-Total!C32</f>
        <v>-0.77000000000000313</v>
      </c>
      <c r="D32" s="23">
        <f>Total!E32-Total!D32</f>
        <v>1.2899999999999991</v>
      </c>
      <c r="E32" s="54">
        <f>Total!F32-Total!E32</f>
        <v>-0.78000000000000114</v>
      </c>
      <c r="F32" s="54">
        <f>SUM(C32:E32)</f>
        <v>-0.26000000000000512</v>
      </c>
      <c r="H32" s="15">
        <f ca="1">ROUND(SUM(C32:E32)-OFFSET(H32,0,-2),4)</f>
        <v>0</v>
      </c>
      <c r="I32" s="51">
        <f>Discount_Rate</f>
        <v>7.1540000000000006E-2</v>
      </c>
      <c r="J32" s="15"/>
    </row>
    <row r="34" spans="2:2">
      <c r="B34" s="1" t="str">
        <f>Total!B34</f>
        <v>(1)   Studies are sequential and study order effects the price impact</v>
      </c>
    </row>
    <row r="35" spans="2:2">
      <c r="B35" s="1" t="str">
        <f>Total!B35</f>
        <v>(2)   Official forward price curve dated December 2012</v>
      </c>
    </row>
    <row r="36" spans="2:2">
      <c r="B36" s="1" t="str">
        <f>Total!B36</f>
        <v>(3)   2012 Needs Assessment discount rate</v>
      </c>
    </row>
    <row r="37" spans="2:2">
      <c r="B37" s="1" t="str">
        <f>Total!B37</f>
        <v>(4)   Capacity costs are allocated assuming an 85% capacity factor</v>
      </c>
    </row>
  </sheetData>
  <phoneticPr fontId="2" type="noConversion"/>
  <printOptions horizontalCentered="1"/>
  <pageMargins left="0.25" right="0.25" top="0.75" bottom="0.75" header="0.3" footer="0.2"/>
  <pageSetup scale="93" orientation="landscape" r:id="rId1"/>
  <headerFooter alignWithMargins="0">
    <oddFooter>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pageSetUpPr fitToPage="1"/>
  </sheetPr>
  <dimension ref="B1:L45"/>
  <sheetViews>
    <sheetView view="pageBreakPreview" zoomScale="60" zoomScaleNormal="70" workbookViewId="0"/>
  </sheetViews>
  <sheetFormatPr defaultRowHeight="15"/>
  <cols>
    <col min="1" max="1" width="1.85546875" style="1" customWidth="1"/>
    <col min="2" max="2" width="14.42578125" style="1" customWidth="1"/>
    <col min="3" max="3" width="18.7109375" style="1" customWidth="1"/>
    <col min="4" max="6" width="19.7109375" style="1" customWidth="1"/>
    <col min="7" max="7" width="2.42578125" style="1" customWidth="1"/>
    <col min="8" max="10" width="9.140625" style="1"/>
    <col min="11" max="11" width="10.28515625" style="1" customWidth="1"/>
    <col min="12" max="16384" width="9.140625" style="1"/>
  </cols>
  <sheetData>
    <row r="1" spans="2:12" ht="15.75">
      <c r="B1" s="7" t="s">
        <v>4</v>
      </c>
      <c r="C1" s="7"/>
      <c r="D1" s="7"/>
      <c r="E1" s="7"/>
      <c r="F1" s="7"/>
    </row>
    <row r="2" spans="2:12" ht="8.25" customHeight="1">
      <c r="B2" s="7"/>
      <c r="C2" s="7"/>
      <c r="D2" s="7"/>
      <c r="E2" s="7"/>
      <c r="F2" s="7"/>
    </row>
    <row r="3" spans="2:12" ht="15.75">
      <c r="B3" s="7" t="s">
        <v>2</v>
      </c>
      <c r="C3" s="7"/>
      <c r="D3" s="7"/>
      <c r="E3" s="7"/>
      <c r="F3" s="7"/>
    </row>
    <row r="4" spans="2:12" ht="15.75">
      <c r="B4" s="7" t="str">
        <f>Capacity!B4</f>
        <v>Step Study between 2013.Q1 and 2012.Q4 Compliance Filing</v>
      </c>
      <c r="C4" s="7"/>
      <c r="D4" s="7"/>
      <c r="E4" s="7"/>
      <c r="F4" s="7"/>
    </row>
    <row r="5" spans="2:12" ht="15.75">
      <c r="B5" s="7" t="s">
        <v>13</v>
      </c>
      <c r="C5" s="7"/>
      <c r="D5" s="7"/>
      <c r="E5" s="7"/>
      <c r="F5" s="7"/>
    </row>
    <row r="6" spans="2:12" s="29" customFormat="1" ht="15.75">
      <c r="B6" s="27"/>
      <c r="C6" s="27"/>
      <c r="D6" s="28"/>
      <c r="E6" s="28"/>
      <c r="F6" s="28"/>
    </row>
    <row r="7" spans="2:12" ht="15.75">
      <c r="B7" s="8"/>
      <c r="C7" s="10" t="s">
        <v>16</v>
      </c>
      <c r="D7" s="10" t="str">
        <f>Energy!D7</f>
        <v>Official Forward</v>
      </c>
      <c r="E7" s="10"/>
      <c r="F7" s="10" t="str">
        <f>Energy!F7</f>
        <v>All Other</v>
      </c>
    </row>
    <row r="8" spans="2:12" ht="15.75">
      <c r="B8" s="9" t="s">
        <v>0</v>
      </c>
      <c r="C8" s="2" t="s">
        <v>8</v>
      </c>
      <c r="D8" s="2" t="str">
        <f>Energy!D8</f>
        <v>Price Curve (2)</v>
      </c>
      <c r="E8" s="2" t="str">
        <f>Energy!E8</f>
        <v>QF Queue</v>
      </c>
      <c r="F8" s="2" t="str">
        <f>Energy!F8</f>
        <v>Changes</v>
      </c>
    </row>
    <row r="9" spans="2:12" ht="4.5" customHeight="1"/>
    <row r="10" spans="2:12" ht="15.75">
      <c r="B10" s="3">
        <v>2014</v>
      </c>
      <c r="C10" s="21">
        <f>ROUND(Capacity!$F10+Energy!C10,2)</f>
        <v>28.34</v>
      </c>
      <c r="D10" s="21">
        <f>ROUND(Capacity!$F10+Energy!D10,2)</f>
        <v>28.62</v>
      </c>
      <c r="E10" s="21">
        <f>ROUND(Capacity!$G10+Energy!E10,2)</f>
        <v>29.82</v>
      </c>
      <c r="F10" s="21">
        <f>ROUND(Capacity!$G10+Energy!F10,2)</f>
        <v>29.31</v>
      </c>
    </row>
    <row r="11" spans="2:12" ht="15.75">
      <c r="B11" s="3">
        <f t="shared" ref="B11:B29" si="0">B10+1</f>
        <v>2015</v>
      </c>
      <c r="C11" s="21">
        <f>ROUND(Capacity!$F11+Energy!C11,2)</f>
        <v>30.22</v>
      </c>
      <c r="D11" s="21">
        <f>ROUND(Capacity!$F11+Energy!D11,2)</f>
        <v>29.49</v>
      </c>
      <c r="E11" s="21">
        <f>ROUND(Capacity!$G11+Energy!E11,2)</f>
        <v>30.8</v>
      </c>
      <c r="F11" s="21">
        <f>ROUND(Capacity!$G11+Energy!F11,2)</f>
        <v>29.36</v>
      </c>
    </row>
    <row r="12" spans="2:12" ht="15.75">
      <c r="B12" s="3">
        <f t="shared" si="0"/>
        <v>2016</v>
      </c>
      <c r="C12" s="21">
        <f>ROUND(Capacity!$F12+Energy!C12,2)</f>
        <v>31.23</v>
      </c>
      <c r="D12" s="21">
        <f>ROUND(Capacity!$F12+Energy!D12,2)</f>
        <v>30.5</v>
      </c>
      <c r="E12" s="21">
        <f>ROUND(Capacity!$G12+Energy!E12,2)</f>
        <v>29.48</v>
      </c>
      <c r="F12" s="21">
        <f>ROUND(Capacity!$G12+Energy!F12,2)</f>
        <v>30.49</v>
      </c>
    </row>
    <row r="13" spans="2:12" ht="15.75">
      <c r="B13" s="3">
        <f t="shared" si="0"/>
        <v>2017</v>
      </c>
      <c r="C13" s="21">
        <f>ROUND(Capacity!$F13+Energy!C13,2)</f>
        <v>32.35</v>
      </c>
      <c r="D13" s="21">
        <f>ROUND(Capacity!$F13+Energy!D13,2)</f>
        <v>32.58</v>
      </c>
      <c r="E13" s="21">
        <f>ROUND(Capacity!$G13+Energy!E13,2)</f>
        <v>33.25</v>
      </c>
      <c r="F13" s="21">
        <f>ROUND(Capacity!$G13+Energy!F13,2)</f>
        <v>32.53</v>
      </c>
      <c r="L13" s="6"/>
    </row>
    <row r="14" spans="2:12" ht="15.75">
      <c r="B14" s="3">
        <f t="shared" si="0"/>
        <v>2018</v>
      </c>
      <c r="C14" s="21">
        <f>ROUND(Capacity!$F14+Energy!C14,2)</f>
        <v>34.69</v>
      </c>
      <c r="D14" s="21">
        <f>ROUND(Capacity!$F14+Energy!D14,2)</f>
        <v>35.020000000000003</v>
      </c>
      <c r="E14" s="21">
        <f>ROUND(Capacity!$G14+Energy!E14,2)</f>
        <v>35.31</v>
      </c>
      <c r="F14" s="21">
        <f>ROUND(Capacity!$G14+Energy!F14,2)</f>
        <v>35.090000000000003</v>
      </c>
    </row>
    <row r="15" spans="2:12" ht="15.75">
      <c r="B15" s="3">
        <f t="shared" si="0"/>
        <v>2019</v>
      </c>
      <c r="C15" s="21">
        <f>ROUND(Capacity!$F15+Energy!C15,2)</f>
        <v>38.979999999999997</v>
      </c>
      <c r="D15" s="21">
        <f>ROUND(Capacity!$F15+Energy!D15,2)</f>
        <v>37.97</v>
      </c>
      <c r="E15" s="21">
        <f>ROUND(Capacity!$G15+Energy!E15,2)</f>
        <v>36.47</v>
      </c>
      <c r="F15" s="21">
        <f>ROUND(Capacity!$G15+Energy!F15,2)</f>
        <v>35.54</v>
      </c>
    </row>
    <row r="16" spans="2:12" ht="15.75">
      <c r="B16" s="3">
        <f t="shared" si="0"/>
        <v>2020</v>
      </c>
      <c r="C16" s="21">
        <f>ROUND(Capacity!$F16+Energy!C16,2)</f>
        <v>43.02</v>
      </c>
      <c r="D16" s="21">
        <f>ROUND(Capacity!$F16+Energy!D16,2)</f>
        <v>41.65</v>
      </c>
      <c r="E16" s="21">
        <f>ROUND(Capacity!$G16+Energy!E16,2)</f>
        <v>39.700000000000003</v>
      </c>
      <c r="F16" s="21">
        <f>ROUND(Capacity!$G16+Energy!F16,2)</f>
        <v>38.29</v>
      </c>
    </row>
    <row r="17" spans="2:6" ht="15.75">
      <c r="B17" s="3">
        <f t="shared" si="0"/>
        <v>2021</v>
      </c>
      <c r="C17" s="21">
        <f>ROUND(Capacity!$F17+Energy!C17,2)</f>
        <v>45.27</v>
      </c>
      <c r="D17" s="21">
        <f>ROUND(Capacity!$F17+Energy!D17,2)</f>
        <v>44.43</v>
      </c>
      <c r="E17" s="21">
        <f>ROUND(Capacity!$G17+Energy!E17,2)</f>
        <v>44.31</v>
      </c>
      <c r="F17" s="21">
        <f>ROUND(Capacity!$G17+Energy!F17,2)</f>
        <v>42.86</v>
      </c>
    </row>
    <row r="18" spans="2:6" ht="15.75">
      <c r="B18" s="3">
        <f t="shared" si="0"/>
        <v>2022</v>
      </c>
      <c r="C18" s="21">
        <f>ROUND(Capacity!$F18+Energy!C18,2)</f>
        <v>52.23</v>
      </c>
      <c r="D18" s="21">
        <f>ROUND(Capacity!$F18+Energy!D18,2)</f>
        <v>51.54</v>
      </c>
      <c r="E18" s="21">
        <f>ROUND(Capacity!$G18+Energy!E18,2)</f>
        <v>50.14</v>
      </c>
      <c r="F18" s="21">
        <f>ROUND(Capacity!$G18+Energy!F18,2)</f>
        <v>48.4</v>
      </c>
    </row>
    <row r="19" spans="2:6" ht="15.75">
      <c r="B19" s="3">
        <f t="shared" si="0"/>
        <v>2023</v>
      </c>
      <c r="C19" s="21">
        <f>ROUND(Capacity!$F19+Energy!C19,2)</f>
        <v>55.96</v>
      </c>
      <c r="D19" s="21">
        <f>ROUND(Capacity!$F19+Energy!D19,2)</f>
        <v>57.06</v>
      </c>
      <c r="E19" s="21">
        <f>ROUND(Capacity!$G19+Energy!E19,2)</f>
        <v>55.52</v>
      </c>
      <c r="F19" s="21">
        <f>ROUND(Capacity!$G19+Energy!F19,2)</f>
        <v>52.57</v>
      </c>
    </row>
    <row r="20" spans="2:6" ht="15.75">
      <c r="B20" s="3">
        <f t="shared" si="0"/>
        <v>2024</v>
      </c>
      <c r="C20" s="21">
        <f>ROUND(Capacity!$F20+Energy!C20,2)</f>
        <v>58.83</v>
      </c>
      <c r="D20" s="21">
        <f>ROUND(Capacity!$F20+Energy!D20,2)</f>
        <v>59.41</v>
      </c>
      <c r="E20" s="21">
        <f>ROUND(Capacity!$G20+Energy!E20,2)</f>
        <v>58</v>
      </c>
      <c r="F20" s="21">
        <f>ROUND(Capacity!$G20+Energy!F20,2)</f>
        <v>55.04</v>
      </c>
    </row>
    <row r="21" spans="2:6" ht="15.75">
      <c r="B21" s="3">
        <f t="shared" si="0"/>
        <v>2025</v>
      </c>
      <c r="C21" s="21">
        <f>ROUND(Capacity!$F21+Energy!C21,2)</f>
        <v>58.41</v>
      </c>
      <c r="D21" s="21">
        <f>ROUND(Capacity!$F21+Energy!D21,2)</f>
        <v>57.72</v>
      </c>
      <c r="E21" s="21">
        <f>ROUND(Capacity!$G21+Energy!E21,2)</f>
        <v>60.16</v>
      </c>
      <c r="F21" s="21">
        <f>ROUND(Capacity!$G21+Energy!F21,2)</f>
        <v>59.33</v>
      </c>
    </row>
    <row r="22" spans="2:6" ht="15.75">
      <c r="B22" s="3">
        <f t="shared" si="0"/>
        <v>2026</v>
      </c>
      <c r="C22" s="21">
        <f>ROUND(Capacity!$F22+Energy!C22,2)</f>
        <v>62.35</v>
      </c>
      <c r="D22" s="21">
        <f>ROUND(Capacity!$F22+Energy!D22,2)</f>
        <v>60.14</v>
      </c>
      <c r="E22" s="21">
        <f>ROUND(Capacity!$G22+Energy!E22,2)</f>
        <v>62.27</v>
      </c>
      <c r="F22" s="21">
        <f>ROUND(Capacity!$G22+Energy!F22,2)</f>
        <v>61.5</v>
      </c>
    </row>
    <row r="23" spans="2:6" ht="15.75">
      <c r="B23" s="3">
        <f t="shared" si="0"/>
        <v>2027</v>
      </c>
      <c r="C23" s="21">
        <f>ROUND(Capacity!$F23+Energy!C23,2)</f>
        <v>62.97</v>
      </c>
      <c r="D23" s="21">
        <f>ROUND(Capacity!$F23+Energy!D23,2)</f>
        <v>60.48</v>
      </c>
      <c r="E23" s="21">
        <f>ROUND(Capacity!$G23+Energy!E23,2)</f>
        <v>63.72</v>
      </c>
      <c r="F23" s="21">
        <f>ROUND(Capacity!$G23+Energy!F23,2)</f>
        <v>63.23</v>
      </c>
    </row>
    <row r="24" spans="2:6" ht="15.75">
      <c r="B24" s="3">
        <f t="shared" si="0"/>
        <v>2028</v>
      </c>
      <c r="C24" s="21">
        <f>ROUND(Capacity!$F24+Energy!C24,2)</f>
        <v>64.349999999999994</v>
      </c>
      <c r="D24" s="21">
        <f>ROUND(Capacity!$F24+Energy!D24,2)</f>
        <v>62.52</v>
      </c>
      <c r="E24" s="21">
        <f>ROUND(Capacity!$G24+Energy!E24,2)</f>
        <v>69.260000000000005</v>
      </c>
      <c r="F24" s="21">
        <f>ROUND(Capacity!$G24+Energy!F24,2)</f>
        <v>69.510000000000005</v>
      </c>
    </row>
    <row r="25" spans="2:6" ht="15.75">
      <c r="B25" s="3">
        <f t="shared" si="0"/>
        <v>2029</v>
      </c>
      <c r="C25" s="21">
        <f>ROUND(Capacity!$F25+Energy!C25,2)</f>
        <v>66.12</v>
      </c>
      <c r="D25" s="21">
        <f>ROUND(Capacity!$F25+Energy!D25,2)</f>
        <v>64.7</v>
      </c>
      <c r="E25" s="21">
        <f>ROUND(Capacity!$G25+Energy!E25,2)</f>
        <v>71.459999999999994</v>
      </c>
      <c r="F25" s="21">
        <f>ROUND(Capacity!$G25+Energy!F25,2)</f>
        <v>71.8</v>
      </c>
    </row>
    <row r="26" spans="2:6" ht="15.75">
      <c r="B26" s="3">
        <f t="shared" si="0"/>
        <v>2030</v>
      </c>
      <c r="C26" s="21">
        <f>ROUND(Capacity!$F26+Energy!C26,2)</f>
        <v>66.959999999999994</v>
      </c>
      <c r="D26" s="21">
        <f>ROUND(Capacity!$F26+Energy!D26,2)</f>
        <v>65.48</v>
      </c>
      <c r="E26" s="21">
        <f>ROUND(Capacity!$G26+Energy!E26,2)</f>
        <v>72.42</v>
      </c>
      <c r="F26" s="21">
        <f>ROUND(Capacity!$G26+Energy!F26,2)</f>
        <v>72.510000000000005</v>
      </c>
    </row>
    <row r="27" spans="2:6" ht="15.75">
      <c r="B27" s="3">
        <f t="shared" si="0"/>
        <v>2031</v>
      </c>
      <c r="C27" s="21">
        <f>ROUND(Capacity!$F27+Energy!C27,2)</f>
        <v>68.8</v>
      </c>
      <c r="D27" s="21">
        <f>ROUND(Capacity!$F27+Energy!D27,2)</f>
        <v>66.14</v>
      </c>
      <c r="E27" s="21">
        <f>ROUND(Capacity!$G27+Energy!E27,2)</f>
        <v>73.14</v>
      </c>
      <c r="F27" s="21">
        <f>ROUND(Capacity!$G27+Energy!F27,2)</f>
        <v>73.36</v>
      </c>
    </row>
    <row r="28" spans="2:6" ht="15.75">
      <c r="B28" s="3">
        <f t="shared" si="0"/>
        <v>2032</v>
      </c>
      <c r="C28" s="21">
        <f>ROUND(Capacity!$F28+Energy!C28,2)</f>
        <v>69.98</v>
      </c>
      <c r="D28" s="21">
        <f>ROUND(Capacity!$F28+Energy!D28,2)</f>
        <v>67.150000000000006</v>
      </c>
      <c r="E28" s="21">
        <f>ROUND(Capacity!$G28+Energy!E28,2)</f>
        <v>74.52</v>
      </c>
      <c r="F28" s="21">
        <f>ROUND(Capacity!$G28+Energy!F28,2)</f>
        <v>74.77</v>
      </c>
    </row>
    <row r="29" spans="2:6" ht="15.75">
      <c r="B29" s="3">
        <f t="shared" si="0"/>
        <v>2033</v>
      </c>
      <c r="C29" s="52">
        <f>ROUND(Capacity!$F29+Energy!C29,2)</f>
        <v>71.459999999999994</v>
      </c>
      <c r="D29" s="21">
        <f>ROUND(Capacity!$F29+Energy!D29,2)</f>
        <v>68.36</v>
      </c>
      <c r="E29" s="21">
        <f>ROUND(Capacity!$G29+Energy!E29,2)</f>
        <v>75.709999999999994</v>
      </c>
      <c r="F29" s="21">
        <f>ROUND(Capacity!$G29+Energy!F29,2)</f>
        <v>76.010000000000005</v>
      </c>
    </row>
    <row r="30" spans="2:6">
      <c r="C30" s="22"/>
      <c r="D30" s="22"/>
      <c r="E30" s="22"/>
      <c r="F30" s="22"/>
    </row>
    <row r="31" spans="2:6">
      <c r="B31" s="4" t="str">
        <f>"Nominal Levelized Payment at "&amp;TEXT(Discount_Rate,"0.000%")&amp;" Discount Rate (3)"</f>
        <v>Nominal Levelized Payment at 7.154% Discount Rate (3)</v>
      </c>
      <c r="C31" s="22"/>
      <c r="D31" s="22"/>
      <c r="E31" s="22"/>
      <c r="F31" s="22"/>
    </row>
    <row r="32" spans="2:6">
      <c r="B32" s="34" t="str">
        <f>B10&amp;" - "&amp;B29</f>
        <v>2014 - 2033</v>
      </c>
      <c r="C32" s="23">
        <f>ROUND(PMT(Discount_Rate,COUNT(C10:C29),-NPV(Discount_Rate,C10:C29)),2)</f>
        <v>46.42</v>
      </c>
      <c r="D32" s="23">
        <f>ROUND(PMT(Discount_Rate,COUNT(D10:D29),-NPV(Discount_Rate,D10:D29)),2)</f>
        <v>45.65</v>
      </c>
      <c r="E32" s="23">
        <f>ROUND(PMT(Discount_Rate,COUNT(E10:E29),-NPV(Discount_Rate,E10:E29)),2)</f>
        <v>46.94</v>
      </c>
      <c r="F32" s="23">
        <f>ROUND(PMT(Discount_Rate,COUNT(F10:F29),-NPV(Discount_Rate,F10:F29)),2)</f>
        <v>46.16</v>
      </c>
    </row>
    <row r="33" spans="2:6">
      <c r="D33" s="13"/>
      <c r="E33" s="13"/>
      <c r="F33" s="13"/>
    </row>
    <row r="34" spans="2:6">
      <c r="B34" s="11" t="s">
        <v>32</v>
      </c>
    </row>
    <row r="35" spans="2:6">
      <c r="B35" s="1" t="str">
        <f>"(2)   Official forward price curve dated "&amp;TEXT(B44,"MMMM YYYY")</f>
        <v>(2)   Official forward price curve dated December 2012</v>
      </c>
    </row>
    <row r="36" spans="2:6">
      <c r="B36" s="1" t="str">
        <f>"(3)   "&amp;B40</f>
        <v>(3)   2012 Needs Assessment discount rate</v>
      </c>
    </row>
    <row r="37" spans="2:6">
      <c r="B37" s="1" t="s">
        <v>28</v>
      </c>
    </row>
    <row r="38" spans="2:6">
      <c r="B38" s="1" t="s">
        <v>31</v>
      </c>
    </row>
    <row r="40" spans="2:6" ht="14.25" hidden="1" customHeight="1">
      <c r="B40" s="32" t="s">
        <v>27</v>
      </c>
      <c r="D40" s="30"/>
      <c r="E40" s="30"/>
      <c r="F40" s="30"/>
    </row>
    <row r="41" spans="2:6" ht="14.25" hidden="1" customHeight="1">
      <c r="B41" s="31">
        <v>7.1540000000000006E-2</v>
      </c>
      <c r="D41" s="30"/>
      <c r="E41" s="30"/>
      <c r="F41" s="30"/>
    </row>
    <row r="42" spans="2:6" ht="14.25" hidden="1" customHeight="1">
      <c r="D42" s="30"/>
      <c r="E42" s="30"/>
      <c r="F42" s="30"/>
    </row>
    <row r="43" spans="2:6" ht="14.25" hidden="1" customHeight="1">
      <c r="B43" s="1" t="s">
        <v>17</v>
      </c>
    </row>
    <row r="44" spans="2:6" ht="14.25" hidden="1" customHeight="1">
      <c r="B44" s="33">
        <v>41274</v>
      </c>
    </row>
    <row r="45" spans="2:6" ht="14.25" customHeight="1"/>
  </sheetData>
  <phoneticPr fontId="2" type="noConversion"/>
  <printOptions horizontalCentered="1"/>
  <pageMargins left="0.25" right="0.25" top="0.75" bottom="0.75" header="0.3" footer="0.2"/>
  <pageSetup scale="90" orientation="landscape" r:id="rId1"/>
  <headerFooter alignWithMargins="0">
    <oddFooter>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enableFormatConditionsCalculation="0">
    <pageSetUpPr fitToPage="1"/>
  </sheetPr>
  <dimension ref="B1:J41"/>
  <sheetViews>
    <sheetView view="pageBreakPreview" zoomScale="60" zoomScaleNormal="70" workbookViewId="0"/>
  </sheetViews>
  <sheetFormatPr defaultRowHeight="15"/>
  <cols>
    <col min="1" max="1" width="1.85546875" style="1" customWidth="1"/>
    <col min="2" max="2" width="14.140625" style="1" customWidth="1"/>
    <col min="3" max="3" width="18.85546875" style="1" customWidth="1"/>
    <col min="4" max="4" width="19.7109375" style="1" customWidth="1"/>
    <col min="5" max="5" width="17.42578125" style="1" customWidth="1"/>
    <col min="6" max="6" width="20.140625" style="1" customWidth="1"/>
    <col min="8" max="8" width="2.28515625" style="1" customWidth="1"/>
    <col min="9" max="10" width="9.140625" style="1" customWidth="1"/>
    <col min="11" max="11" width="15.42578125" style="1" customWidth="1"/>
    <col min="12" max="12" width="17.42578125" style="1" bestFit="1" customWidth="1"/>
    <col min="13" max="13" width="13.85546875" style="1" bestFit="1" customWidth="1"/>
    <col min="14" max="14" width="14.42578125" style="1" bestFit="1" customWidth="1"/>
    <col min="15" max="15" width="9.28515625" style="1" bestFit="1" customWidth="1"/>
    <col min="16" max="16" width="14.28515625" style="1" bestFit="1" customWidth="1"/>
    <col min="17" max="18" width="14.85546875" style="1" bestFit="1" customWidth="1"/>
    <col min="19" max="19" width="9.28515625" style="1" bestFit="1" customWidth="1"/>
    <col min="20" max="16384" width="9.140625" style="1"/>
  </cols>
  <sheetData>
    <row r="1" spans="2:10" ht="15.75">
      <c r="B1" s="7" t="s">
        <v>4</v>
      </c>
      <c r="C1" s="7"/>
      <c r="D1" s="7"/>
      <c r="E1" s="7"/>
      <c r="F1" s="7"/>
    </row>
    <row r="2" spans="2:10" ht="8.25" customHeight="1">
      <c r="B2" s="7"/>
      <c r="C2" s="7"/>
      <c r="D2" s="7"/>
      <c r="E2" s="7"/>
      <c r="F2" s="7"/>
    </row>
    <row r="3" spans="2:10" ht="15.75">
      <c r="B3" s="7" t="s">
        <v>2</v>
      </c>
      <c r="C3" s="7"/>
      <c r="D3" s="7"/>
      <c r="E3" s="7"/>
      <c r="F3" s="7"/>
    </row>
    <row r="4" spans="2:10" ht="15.75">
      <c r="B4" s="7" t="s">
        <v>26</v>
      </c>
      <c r="C4" s="7"/>
      <c r="D4" s="7"/>
      <c r="E4" s="7"/>
      <c r="F4" s="7"/>
    </row>
    <row r="5" spans="2:10" ht="15.75">
      <c r="B5" s="7" t="s">
        <v>7</v>
      </c>
      <c r="C5" s="7"/>
      <c r="D5" s="7"/>
      <c r="E5" s="7"/>
      <c r="F5" s="7"/>
    </row>
    <row r="6" spans="2:10" ht="15.75">
      <c r="B6" s="7"/>
      <c r="C6" s="7"/>
      <c r="D6" s="7"/>
      <c r="E6" s="7"/>
      <c r="F6" s="7"/>
    </row>
    <row r="7" spans="2:10" ht="15.75">
      <c r="B7" s="8"/>
      <c r="C7" s="10" t="s">
        <v>25</v>
      </c>
      <c r="D7" s="10" t="s">
        <v>11</v>
      </c>
      <c r="E7" s="10"/>
      <c r="F7" s="10" t="s">
        <v>19</v>
      </c>
    </row>
    <row r="8" spans="2:10" ht="15.75">
      <c r="B8" s="9" t="s">
        <v>0</v>
      </c>
      <c r="C8" s="2" t="s">
        <v>8</v>
      </c>
      <c r="D8" s="2" t="s">
        <v>12</v>
      </c>
      <c r="E8" s="2" t="s">
        <v>33</v>
      </c>
      <c r="F8" s="2" t="s">
        <v>18</v>
      </c>
    </row>
    <row r="9" spans="2:10" ht="4.5" customHeight="1"/>
    <row r="10" spans="2:10" ht="15.75">
      <c r="B10" s="3">
        <v>2014</v>
      </c>
      <c r="C10" s="21">
        <v>28.34</v>
      </c>
      <c r="D10" s="21">
        <v>28.62</v>
      </c>
      <c r="E10" s="21">
        <v>29.82</v>
      </c>
      <c r="F10" s="21">
        <v>29.31</v>
      </c>
      <c r="J10" s="15"/>
    </row>
    <row r="11" spans="2:10" ht="15.75">
      <c r="B11" s="3">
        <f t="shared" ref="B11:B29" si="0">B10+1</f>
        <v>2015</v>
      </c>
      <c r="C11" s="21">
        <v>30.22</v>
      </c>
      <c r="D11" s="21">
        <v>29.49</v>
      </c>
      <c r="E11" s="21">
        <v>30.799999999999997</v>
      </c>
      <c r="F11" s="21">
        <v>29.359999999999996</v>
      </c>
      <c r="I11" s="14"/>
      <c r="J11" s="15"/>
    </row>
    <row r="12" spans="2:10" ht="15.75">
      <c r="B12" s="3">
        <f t="shared" si="0"/>
        <v>2016</v>
      </c>
      <c r="C12" s="21">
        <v>31.23</v>
      </c>
      <c r="D12" s="21">
        <v>30.5</v>
      </c>
      <c r="E12" s="21">
        <v>29.48</v>
      </c>
      <c r="F12" s="21">
        <v>30.490000000000002</v>
      </c>
      <c r="I12" s="14"/>
      <c r="J12" s="15"/>
    </row>
    <row r="13" spans="2:10" ht="15.75">
      <c r="B13" s="3">
        <f t="shared" si="0"/>
        <v>2017</v>
      </c>
      <c r="C13" s="21">
        <v>32.35</v>
      </c>
      <c r="D13" s="21">
        <v>32.58</v>
      </c>
      <c r="E13" s="21">
        <v>33.25</v>
      </c>
      <c r="F13" s="21">
        <v>32.53</v>
      </c>
      <c r="I13" s="14"/>
      <c r="J13" s="15"/>
    </row>
    <row r="14" spans="2:10" ht="15.75">
      <c r="B14" s="3">
        <f t="shared" si="0"/>
        <v>2018</v>
      </c>
      <c r="C14" s="21">
        <v>34.69</v>
      </c>
      <c r="D14" s="21">
        <v>35.019999999999996</v>
      </c>
      <c r="E14" s="21">
        <v>35.309999999999995</v>
      </c>
      <c r="F14" s="21">
        <v>35.089999999999996</v>
      </c>
      <c r="I14" s="14"/>
      <c r="J14" s="15"/>
    </row>
    <row r="15" spans="2:10" ht="15.75">
      <c r="B15" s="3">
        <f t="shared" si="0"/>
        <v>2019</v>
      </c>
      <c r="C15" s="21">
        <v>38.979999999999997</v>
      </c>
      <c r="D15" s="21">
        <v>37.97</v>
      </c>
      <c r="E15" s="21">
        <v>36.47</v>
      </c>
      <c r="F15" s="21">
        <v>35.54</v>
      </c>
      <c r="I15" s="14"/>
      <c r="J15" s="15"/>
    </row>
    <row r="16" spans="2:10" ht="15.75">
      <c r="B16" s="3">
        <f t="shared" si="0"/>
        <v>2020</v>
      </c>
      <c r="C16" s="21">
        <v>43.02</v>
      </c>
      <c r="D16" s="21">
        <v>41.650000000000006</v>
      </c>
      <c r="E16" s="21">
        <v>39.700000000000003</v>
      </c>
      <c r="F16" s="21">
        <v>38.290000000000006</v>
      </c>
      <c r="I16" s="14"/>
      <c r="J16" s="15"/>
    </row>
    <row r="17" spans="2:10" ht="15.75">
      <c r="B17" s="3">
        <f t="shared" si="0"/>
        <v>2021</v>
      </c>
      <c r="C17" s="21">
        <v>45.27</v>
      </c>
      <c r="D17" s="21">
        <v>44.43</v>
      </c>
      <c r="E17" s="21">
        <v>44.31</v>
      </c>
      <c r="F17" s="21">
        <v>42.86</v>
      </c>
      <c r="I17" s="14"/>
      <c r="J17" s="15"/>
    </row>
    <row r="18" spans="2:10" ht="15.75">
      <c r="B18" s="3">
        <f t="shared" si="0"/>
        <v>2022</v>
      </c>
      <c r="C18" s="21">
        <v>52.23</v>
      </c>
      <c r="D18" s="21">
        <v>51.54</v>
      </c>
      <c r="E18" s="21">
        <v>50.14</v>
      </c>
      <c r="F18" s="21">
        <v>48.4</v>
      </c>
      <c r="I18" s="14"/>
      <c r="J18" s="15"/>
    </row>
    <row r="19" spans="2:10" ht="15.75">
      <c r="B19" s="3">
        <f t="shared" si="0"/>
        <v>2023</v>
      </c>
      <c r="C19" s="21">
        <v>55.96</v>
      </c>
      <c r="D19" s="21">
        <v>57.06</v>
      </c>
      <c r="E19" s="21">
        <v>55.52</v>
      </c>
      <c r="F19" s="21">
        <v>52.570000000000007</v>
      </c>
      <c r="I19" s="14"/>
      <c r="J19" s="15"/>
    </row>
    <row r="20" spans="2:10" ht="15.75">
      <c r="B20" s="3">
        <f t="shared" si="0"/>
        <v>2024</v>
      </c>
      <c r="C20" s="21">
        <v>58.83</v>
      </c>
      <c r="D20" s="21">
        <v>59.41</v>
      </c>
      <c r="E20" s="21">
        <v>58</v>
      </c>
      <c r="F20" s="21">
        <v>55.04</v>
      </c>
      <c r="I20" s="14"/>
      <c r="J20" s="14"/>
    </row>
    <row r="21" spans="2:10" ht="15.75">
      <c r="B21" s="3">
        <f t="shared" si="0"/>
        <v>2025</v>
      </c>
      <c r="C21" s="21">
        <v>38.909999999999997</v>
      </c>
      <c r="D21" s="21">
        <v>38.22</v>
      </c>
      <c r="E21" s="21">
        <v>60.155030889067952</v>
      </c>
      <c r="F21" s="21">
        <v>59.325030889067953</v>
      </c>
      <c r="I21" s="14"/>
      <c r="J21" s="14"/>
    </row>
    <row r="22" spans="2:10" ht="15.75">
      <c r="B22" s="3">
        <f t="shared" si="0"/>
        <v>2026</v>
      </c>
      <c r="C22" s="21">
        <v>42.48</v>
      </c>
      <c r="D22" s="21">
        <v>40.269999999999996</v>
      </c>
      <c r="E22" s="21">
        <v>62.267042707493957</v>
      </c>
      <c r="F22" s="21">
        <v>61.497042707493954</v>
      </c>
      <c r="I22" s="14"/>
      <c r="J22" s="14"/>
    </row>
    <row r="23" spans="2:10" ht="15.75">
      <c r="B23" s="3">
        <f t="shared" si="0"/>
        <v>2027</v>
      </c>
      <c r="C23" s="21">
        <v>42.72</v>
      </c>
      <c r="D23" s="21">
        <v>40.229999999999997</v>
      </c>
      <c r="E23" s="21">
        <v>63.717112543647595</v>
      </c>
      <c r="F23" s="21">
        <v>63.227112543647593</v>
      </c>
      <c r="I23" s="14"/>
      <c r="J23" s="14"/>
    </row>
    <row r="24" spans="2:10" ht="15.75">
      <c r="B24" s="3">
        <f t="shared" si="0"/>
        <v>2028</v>
      </c>
      <c r="C24" s="21">
        <v>43.77</v>
      </c>
      <c r="D24" s="21">
        <v>41.940000000000005</v>
      </c>
      <c r="E24" s="21">
        <v>43.38963248687454</v>
      </c>
      <c r="F24" s="21">
        <v>43.63963248687454</v>
      </c>
      <c r="I24" s="14"/>
      <c r="J24" s="14"/>
    </row>
    <row r="25" spans="2:10" ht="15.75">
      <c r="B25" s="3">
        <f t="shared" si="0"/>
        <v>2029</v>
      </c>
      <c r="C25" s="21">
        <v>45.09</v>
      </c>
      <c r="D25" s="21">
        <v>43.67</v>
      </c>
      <c r="E25" s="21">
        <v>45.02709911361805</v>
      </c>
      <c r="F25" s="21">
        <v>45.367099113618053</v>
      </c>
      <c r="I25" s="14"/>
      <c r="J25" s="14"/>
    </row>
    <row r="26" spans="2:10" ht="15.75">
      <c r="B26" s="3">
        <f t="shared" si="0"/>
        <v>2030</v>
      </c>
      <c r="C26" s="21">
        <v>45.54</v>
      </c>
      <c r="D26" s="21">
        <v>44.06</v>
      </c>
      <c r="E26" s="21">
        <v>45.492344883158736</v>
      </c>
      <c r="F26" s="21">
        <v>45.58234488315874</v>
      </c>
      <c r="I26" s="14"/>
      <c r="J26" s="14"/>
    </row>
    <row r="27" spans="2:10" ht="15.75">
      <c r="B27" s="3">
        <f t="shared" si="0"/>
        <v>2031</v>
      </c>
      <c r="C27" s="21">
        <v>46.95</v>
      </c>
      <c r="D27" s="21">
        <v>44.290000000000006</v>
      </c>
      <c r="E27" s="21">
        <v>45.699078699973143</v>
      </c>
      <c r="F27" s="21">
        <v>45.919078699973142</v>
      </c>
      <c r="I27" s="14"/>
      <c r="J27" s="14"/>
    </row>
    <row r="28" spans="2:10" ht="15.75">
      <c r="B28" s="3">
        <f t="shared" si="0"/>
        <v>2032</v>
      </c>
      <c r="C28" s="21">
        <v>47.75</v>
      </c>
      <c r="D28" s="21">
        <v>44.92</v>
      </c>
      <c r="E28" s="21">
        <v>46.631315761277193</v>
      </c>
      <c r="F28" s="21">
        <v>46.881315761277193</v>
      </c>
      <c r="I28" s="14"/>
      <c r="J28" s="14"/>
    </row>
    <row r="29" spans="2:10" ht="15.75">
      <c r="B29" s="3">
        <f t="shared" si="0"/>
        <v>2033</v>
      </c>
      <c r="C29" s="52">
        <v>48.718930969648127</v>
      </c>
      <c r="D29" s="21">
        <v>45.618930969648126</v>
      </c>
      <c r="E29" s="21">
        <v>47.211477303250064</v>
      </c>
      <c r="F29" s="21">
        <v>47.511477303250061</v>
      </c>
      <c r="I29" s="14"/>
      <c r="J29" s="14"/>
    </row>
    <row r="30" spans="2:10">
      <c r="C30" s="22"/>
      <c r="D30" s="22"/>
      <c r="E30" s="22"/>
      <c r="F30" s="22"/>
    </row>
    <row r="31" spans="2:10">
      <c r="B31" s="4" t="str">
        <f>"Nominal Levelized Payment at "&amp;TEXT($B$41,"0.000%")&amp;" Discount Rate (3)"</f>
        <v>Nominal Levelized Payment at 7.154% Discount Rate (3)</v>
      </c>
      <c r="C31" s="22"/>
      <c r="D31" s="22"/>
      <c r="E31" s="22"/>
      <c r="F31" s="22"/>
    </row>
    <row r="32" spans="2:10">
      <c r="B32" s="11" t="str">
        <f>B10&amp;" - "&amp;B29</f>
        <v>2014 - 2033</v>
      </c>
      <c r="C32" s="23">
        <f t="shared" ref="C32:F32" si="1">ROUND(PMT($B$41,COUNT(C10:C29),-NPV($B$41,C10:C29)),2)</f>
        <v>40.39</v>
      </c>
      <c r="D32" s="23">
        <f t="shared" si="1"/>
        <v>39.61</v>
      </c>
      <c r="E32" s="23">
        <f t="shared" si="1"/>
        <v>42.27</v>
      </c>
      <c r="F32" s="23">
        <f t="shared" si="1"/>
        <v>41.49</v>
      </c>
    </row>
    <row r="33" spans="2:3">
      <c r="B33" s="11"/>
      <c r="C33" s="5"/>
    </row>
    <row r="35" spans="2:3">
      <c r="B35" s="11" t="str">
        <f>+Total!B34</f>
        <v>(1)   Studies are sequential and study order effects the price impact</v>
      </c>
    </row>
    <row r="36" spans="2:3">
      <c r="B36" s="11" t="str">
        <f>+Total!B35</f>
        <v>(2)   Official forward price curve dated December 2012</v>
      </c>
    </row>
    <row r="37" spans="2:3">
      <c r="B37" s="11" t="str">
        <f>+Total!B36</f>
        <v>(3)   2012 Needs Assessment discount rate</v>
      </c>
    </row>
    <row r="38" spans="2:3">
      <c r="B38" s="1" t="s">
        <v>22</v>
      </c>
    </row>
    <row r="40" spans="2:3" hidden="1">
      <c r="B40" s="32" t="s">
        <v>24</v>
      </c>
    </row>
    <row r="41" spans="2:3" hidden="1">
      <c r="B41" s="31">
        <f>Discount_Rate</f>
        <v>7.1540000000000006E-2</v>
      </c>
    </row>
  </sheetData>
  <phoneticPr fontId="2" type="noConversion"/>
  <printOptions horizontalCentered="1"/>
  <pageMargins left="0.25" right="0.25" top="0.75" bottom="0.75" header="0.3" footer="0.2"/>
  <pageSetup scale="90" orientation="landscape" r:id="rId1"/>
  <headerFooter alignWithMargins="0">
    <oddFooter>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B1:J40"/>
  <sheetViews>
    <sheetView view="pageBreakPreview" zoomScale="60" zoomScaleNormal="70" workbookViewId="0"/>
  </sheetViews>
  <sheetFormatPr defaultRowHeight="15"/>
  <cols>
    <col min="1" max="1" width="1.85546875" style="37" customWidth="1"/>
    <col min="2" max="2" width="13.85546875" style="37" customWidth="1"/>
    <col min="3" max="4" width="21.85546875" style="37" customWidth="1"/>
    <col min="5" max="5" width="1.140625" style="37" customWidth="1"/>
    <col min="6" max="7" width="21.85546875" style="37" customWidth="1"/>
    <col min="8" max="8" width="1.5703125" style="37" customWidth="1"/>
    <col min="9" max="9" width="9.140625" style="37"/>
    <col min="10" max="10" width="0" style="37" hidden="1" customWidth="1"/>
    <col min="11" max="16384" width="9.140625" style="37"/>
  </cols>
  <sheetData>
    <row r="1" spans="2:10" ht="15.75">
      <c r="B1" s="35" t="s">
        <v>4</v>
      </c>
      <c r="C1" s="35"/>
      <c r="D1" s="35"/>
      <c r="E1" s="36"/>
      <c r="F1" s="35"/>
      <c r="G1" s="35"/>
      <c r="H1" s="36"/>
    </row>
    <row r="2" spans="2:10" ht="8.25" customHeight="1">
      <c r="B2" s="35"/>
      <c r="C2" s="35"/>
      <c r="D2" s="35"/>
      <c r="E2" s="36"/>
      <c r="F2" s="35"/>
      <c r="G2" s="35"/>
      <c r="H2" s="36"/>
    </row>
    <row r="3" spans="2:10" ht="15.75">
      <c r="B3" s="35" t="s">
        <v>2</v>
      </c>
      <c r="C3" s="35"/>
      <c r="D3" s="35"/>
      <c r="E3" s="36"/>
      <c r="F3" s="35"/>
      <c r="G3" s="35"/>
      <c r="H3" s="36"/>
    </row>
    <row r="4" spans="2:10" ht="15.75">
      <c r="B4" s="35" t="str">
        <f>"Step Study between "&amp;J8&amp;" and "&amp;C8&amp;" Compliance Filing"</f>
        <v>Step Study between 2013.Q1 and 2012.Q4 Compliance Filing</v>
      </c>
      <c r="C4" s="35"/>
      <c r="D4" s="35"/>
      <c r="E4" s="36"/>
      <c r="F4" s="35"/>
      <c r="G4" s="35"/>
      <c r="H4" s="36"/>
    </row>
    <row r="5" spans="2:10" ht="15.75">
      <c r="B5" s="35" t="s">
        <v>10</v>
      </c>
      <c r="C5" s="35"/>
      <c r="D5" s="35"/>
      <c r="E5" s="36"/>
      <c r="F5" s="35"/>
      <c r="G5" s="35"/>
      <c r="H5" s="36"/>
    </row>
    <row r="6" spans="2:10" ht="15.75">
      <c r="B6" s="35"/>
      <c r="C6" s="35"/>
      <c r="D6" s="35"/>
      <c r="F6" s="35"/>
      <c r="G6" s="35"/>
    </row>
    <row r="7" spans="2:10" ht="15.75">
      <c r="B7" s="38"/>
      <c r="C7" s="39" t="s">
        <v>3</v>
      </c>
      <c r="D7" s="40"/>
      <c r="F7" s="39" t="s">
        <v>9</v>
      </c>
      <c r="G7" s="40"/>
    </row>
    <row r="8" spans="2:10" ht="15.75">
      <c r="B8" s="41" t="s">
        <v>0</v>
      </c>
      <c r="C8" s="42" t="s">
        <v>25</v>
      </c>
      <c r="D8" s="42" t="s">
        <v>21</v>
      </c>
      <c r="F8" s="42" t="str">
        <f>C8</f>
        <v>2012.Q4</v>
      </c>
      <c r="G8" s="42" t="str">
        <f>J8</f>
        <v>2013.Q1</v>
      </c>
      <c r="J8" s="37" t="s">
        <v>23</v>
      </c>
    </row>
    <row r="9" spans="2:10" ht="4.5" customHeight="1"/>
    <row r="10" spans="2:10" ht="15.75">
      <c r="B10" s="43">
        <v>2014</v>
      </c>
      <c r="C10" s="44">
        <v>0</v>
      </c>
      <c r="D10" s="44">
        <v>0</v>
      </c>
      <c r="F10" s="44">
        <f t="shared" ref="F10:F29" si="0">C10*1000/(IF(MOD($B10,4)=0,8784,8760)*0.85)</f>
        <v>0</v>
      </c>
      <c r="G10" s="44">
        <f t="shared" ref="G10:G29" si="1">D10*1000/(IF(MOD($B10,4)=0,8784,8760)*0.85)</f>
        <v>0</v>
      </c>
    </row>
    <row r="11" spans="2:10" ht="15.75">
      <c r="B11" s="43">
        <f t="shared" ref="B11:B29" si="2">B10+1</f>
        <v>2015</v>
      </c>
      <c r="C11" s="44">
        <v>0</v>
      </c>
      <c r="D11" s="44">
        <v>0</v>
      </c>
      <c r="F11" s="44">
        <f t="shared" si="0"/>
        <v>0</v>
      </c>
      <c r="G11" s="44">
        <f t="shared" si="1"/>
        <v>0</v>
      </c>
    </row>
    <row r="12" spans="2:10" ht="15.75">
      <c r="B12" s="43">
        <f t="shared" si="2"/>
        <v>2016</v>
      </c>
      <c r="C12" s="44">
        <v>0</v>
      </c>
      <c r="D12" s="44">
        <v>0</v>
      </c>
      <c r="F12" s="44">
        <f t="shared" si="0"/>
        <v>0</v>
      </c>
      <c r="G12" s="44">
        <f t="shared" si="1"/>
        <v>0</v>
      </c>
    </row>
    <row r="13" spans="2:10" ht="15.75">
      <c r="B13" s="43">
        <f t="shared" si="2"/>
        <v>2017</v>
      </c>
      <c r="C13" s="44">
        <v>0</v>
      </c>
      <c r="D13" s="44">
        <v>0</v>
      </c>
      <c r="F13" s="44">
        <f t="shared" si="0"/>
        <v>0</v>
      </c>
      <c r="G13" s="44">
        <f t="shared" si="1"/>
        <v>0</v>
      </c>
    </row>
    <row r="14" spans="2:10" ht="15.75">
      <c r="B14" s="43">
        <f t="shared" si="2"/>
        <v>2018</v>
      </c>
      <c r="C14" s="44">
        <v>0</v>
      </c>
      <c r="D14" s="44">
        <v>0</v>
      </c>
      <c r="F14" s="44">
        <f t="shared" si="0"/>
        <v>0</v>
      </c>
      <c r="G14" s="44">
        <f t="shared" si="1"/>
        <v>0</v>
      </c>
    </row>
    <row r="15" spans="2:10" ht="15.75">
      <c r="B15" s="43">
        <f t="shared" si="2"/>
        <v>2019</v>
      </c>
      <c r="C15" s="44">
        <v>0</v>
      </c>
      <c r="D15" s="44">
        <v>0</v>
      </c>
      <c r="F15" s="44">
        <f t="shared" si="0"/>
        <v>0</v>
      </c>
      <c r="G15" s="44">
        <f t="shared" si="1"/>
        <v>0</v>
      </c>
    </row>
    <row r="16" spans="2:10" ht="15.75">
      <c r="B16" s="43">
        <f t="shared" si="2"/>
        <v>2020</v>
      </c>
      <c r="C16" s="44">
        <v>0</v>
      </c>
      <c r="D16" s="44">
        <v>0</v>
      </c>
      <c r="F16" s="44">
        <f t="shared" si="0"/>
        <v>0</v>
      </c>
      <c r="G16" s="44">
        <f t="shared" si="1"/>
        <v>0</v>
      </c>
    </row>
    <row r="17" spans="2:7" ht="15.75">
      <c r="B17" s="43">
        <f t="shared" si="2"/>
        <v>2021</v>
      </c>
      <c r="C17" s="44">
        <v>0</v>
      </c>
      <c r="D17" s="44">
        <v>0</v>
      </c>
      <c r="F17" s="44">
        <f t="shared" si="0"/>
        <v>0</v>
      </c>
      <c r="G17" s="44">
        <f t="shared" si="1"/>
        <v>0</v>
      </c>
    </row>
    <row r="18" spans="2:7" ht="15.75">
      <c r="B18" s="43">
        <f t="shared" si="2"/>
        <v>2022</v>
      </c>
      <c r="C18" s="44">
        <v>0</v>
      </c>
      <c r="D18" s="44">
        <v>0</v>
      </c>
      <c r="F18" s="44">
        <f t="shared" si="0"/>
        <v>0</v>
      </c>
      <c r="G18" s="44">
        <f t="shared" si="1"/>
        <v>0</v>
      </c>
    </row>
    <row r="19" spans="2:7" ht="15.75">
      <c r="B19" s="43">
        <f t="shared" si="2"/>
        <v>2023</v>
      </c>
      <c r="C19" s="44">
        <v>0</v>
      </c>
      <c r="D19" s="44">
        <v>0</v>
      </c>
      <c r="F19" s="44">
        <f t="shared" si="0"/>
        <v>0</v>
      </c>
      <c r="G19" s="44">
        <f t="shared" si="1"/>
        <v>0</v>
      </c>
    </row>
    <row r="20" spans="2:7" ht="15.75">
      <c r="B20" s="43">
        <f t="shared" si="2"/>
        <v>2024</v>
      </c>
      <c r="C20" s="44">
        <v>0</v>
      </c>
      <c r="D20" s="44">
        <v>0</v>
      </c>
      <c r="F20" s="44">
        <f t="shared" si="0"/>
        <v>0</v>
      </c>
      <c r="G20" s="44">
        <f t="shared" si="1"/>
        <v>0</v>
      </c>
    </row>
    <row r="21" spans="2:7" ht="15.75">
      <c r="B21" s="43">
        <f t="shared" si="2"/>
        <v>2025</v>
      </c>
      <c r="C21" s="44">
        <v>145.16</v>
      </c>
      <c r="D21" s="44">
        <v>0</v>
      </c>
      <c r="F21" s="44">
        <f t="shared" si="0"/>
        <v>19.495030889067955</v>
      </c>
      <c r="G21" s="44">
        <f t="shared" si="1"/>
        <v>0</v>
      </c>
    </row>
    <row r="22" spans="2:7" ht="15.75">
      <c r="B22" s="43">
        <f t="shared" si="2"/>
        <v>2026</v>
      </c>
      <c r="C22" s="44">
        <v>147.93</v>
      </c>
      <c r="D22" s="44">
        <v>0</v>
      </c>
      <c r="F22" s="44">
        <f t="shared" si="0"/>
        <v>19.867042707493958</v>
      </c>
      <c r="G22" s="44">
        <f t="shared" si="1"/>
        <v>0</v>
      </c>
    </row>
    <row r="23" spans="2:7" ht="15.75">
      <c r="B23" s="43">
        <f t="shared" si="2"/>
        <v>2027</v>
      </c>
      <c r="C23" s="44">
        <v>150.76</v>
      </c>
      <c r="D23" s="44">
        <v>0</v>
      </c>
      <c r="F23" s="44">
        <f t="shared" si="0"/>
        <v>20.247112543647596</v>
      </c>
      <c r="G23" s="44">
        <f t="shared" si="1"/>
        <v>0</v>
      </c>
    </row>
    <row r="24" spans="2:7" ht="15.75">
      <c r="B24" s="43">
        <f t="shared" si="2"/>
        <v>2028</v>
      </c>
      <c r="C24" s="44">
        <v>153.63999999999999</v>
      </c>
      <c r="D24" s="44">
        <v>193.14</v>
      </c>
      <c r="F24" s="44">
        <f t="shared" si="0"/>
        <v>20.577520625736636</v>
      </c>
      <c r="G24" s="44">
        <f t="shared" si="1"/>
        <v>25.867888138862103</v>
      </c>
    </row>
    <row r="25" spans="2:7" ht="15.75">
      <c r="B25" s="43">
        <f t="shared" si="2"/>
        <v>2029</v>
      </c>
      <c r="C25" s="44">
        <v>156.56</v>
      </c>
      <c r="D25" s="44">
        <v>196.79</v>
      </c>
      <c r="F25" s="44">
        <f t="shared" si="0"/>
        <v>21.026054257319366</v>
      </c>
      <c r="G25" s="44">
        <f t="shared" si="1"/>
        <v>26.428955143701316</v>
      </c>
    </row>
    <row r="26" spans="2:7" ht="15.75">
      <c r="B26" s="43">
        <f t="shared" si="2"/>
        <v>2030</v>
      </c>
      <c r="C26" s="44">
        <v>159.53</v>
      </c>
      <c r="D26" s="44">
        <v>200.54</v>
      </c>
      <c r="F26" s="44">
        <f t="shared" si="0"/>
        <v>21.424926134837495</v>
      </c>
      <c r="G26" s="44">
        <f t="shared" si="1"/>
        <v>26.932581251678755</v>
      </c>
    </row>
    <row r="27" spans="2:7" ht="15.75">
      <c r="B27" s="43">
        <f t="shared" si="2"/>
        <v>2031</v>
      </c>
      <c r="C27" s="44">
        <v>162.72999999999999</v>
      </c>
      <c r="D27" s="44">
        <v>204.36</v>
      </c>
      <c r="F27" s="44">
        <f t="shared" si="0"/>
        <v>21.854687080311578</v>
      </c>
      <c r="G27" s="44">
        <f t="shared" si="1"/>
        <v>27.445608380338438</v>
      </c>
    </row>
    <row r="28" spans="2:7" ht="15.75">
      <c r="B28" s="43">
        <f t="shared" si="2"/>
        <v>2032</v>
      </c>
      <c r="C28" s="44">
        <v>166</v>
      </c>
      <c r="D28" s="44">
        <v>208.25</v>
      </c>
      <c r="F28" s="44">
        <f t="shared" si="0"/>
        <v>22.232936890603238</v>
      </c>
      <c r="G28" s="44">
        <f t="shared" si="1"/>
        <v>27.891621129326047</v>
      </c>
    </row>
    <row r="29" spans="2:7" ht="15.75">
      <c r="B29" s="43">
        <f t="shared" si="2"/>
        <v>2033</v>
      </c>
      <c r="C29" s="44">
        <v>169.33</v>
      </c>
      <c r="D29" s="44">
        <v>212.2</v>
      </c>
      <c r="F29" s="44">
        <f t="shared" si="0"/>
        <v>22.741069030351866</v>
      </c>
      <c r="G29" s="44">
        <f t="shared" si="1"/>
        <v>28.498522696749934</v>
      </c>
    </row>
    <row r="30" spans="2:7" ht="15.75">
      <c r="B30" s="43"/>
      <c r="C30" s="45"/>
      <c r="F30" s="45"/>
    </row>
    <row r="31" spans="2:7">
      <c r="B31" s="46" t="str">
        <f>"Nominal Levelized Payment at "&amp;TEXT($B$40,"0.000%")&amp;" Discount Rate (2)"</f>
        <v>Nominal Levelized Payment at 7.154% Discount Rate (2)</v>
      </c>
      <c r="D31" s="46"/>
    </row>
    <row r="32" spans="2:7">
      <c r="B32" s="47" t="str">
        <f>$B$10&amp;" - "&amp;B29</f>
        <v>2014 - 2033</v>
      </c>
      <c r="C32" s="48">
        <f>PMT($B$40,COUNT(C10:C29),-NPV($B$40,C10:C29))</f>
        <v>44.954714451046058</v>
      </c>
      <c r="D32" s="48">
        <f>PMT($B$40,COUNT(D10:D29),-NPV($B$40,D10:D29))</f>
        <v>34.75552680083856</v>
      </c>
      <c r="F32" s="48">
        <f>PMT($B$40,COUNT(F10:F29),-NPV($B$40,F10:F29))</f>
        <v>6.0339556212191603</v>
      </c>
      <c r="G32" s="48">
        <f>PMT($B$40,COUNT(G10:G29),-NPV($B$40,G10:G29))</f>
        <v>4.6633121277081315</v>
      </c>
    </row>
    <row r="34" spans="2:2">
      <c r="B34" s="37" t="s">
        <v>30</v>
      </c>
    </row>
    <row r="35" spans="2:2">
      <c r="B35" s="37" t="s">
        <v>29</v>
      </c>
    </row>
    <row r="36" spans="2:2">
      <c r="B36" s="37" t="s">
        <v>34</v>
      </c>
    </row>
    <row r="39" spans="2:2" hidden="1">
      <c r="B39" s="49" t="s">
        <v>24</v>
      </c>
    </row>
    <row r="40" spans="2:2" hidden="1">
      <c r="B40" s="50">
        <v>7.1540000000000006E-2</v>
      </c>
    </row>
  </sheetData>
  <phoneticPr fontId="2" type="noConversion"/>
  <printOptions horizontalCentered="1"/>
  <pageMargins left="0.25" right="0.25" top="0.75" bottom="0.75" header="0.3" footer="0.2"/>
  <pageSetup scale="95" orientation="landscape" r:id="rId1"/>
  <headerFooter alignWithMargins="0">
    <oddFooter>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mpaschal</cp:lastModifiedBy>
  <cp:lastPrinted>2012-08-31T17:51:19Z</cp:lastPrinted>
  <dcterms:created xsi:type="dcterms:W3CDTF">2006-07-10T20:43:15Z</dcterms:created>
  <dcterms:modified xsi:type="dcterms:W3CDTF">2013-04-24T18:43:39Z</dcterms:modified>
</cp:coreProperties>
</file>