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updateLinks="never" codeName="ThisWorkbook" defaultThemeVersion="124226"/>
  <bookViews>
    <workbookView xWindow="-15" yWindow="15" windowWidth="11430" windowHeight="8970"/>
  </bookViews>
  <sheets>
    <sheet name="Incremental" sheetId="6" r:id="rId1"/>
    <sheet name="Total" sheetId="5" r:id="rId2"/>
    <sheet name="Energy" sheetId="3" r:id="rId3"/>
    <sheet name="Capacity" sheetId="10" r:id="rId4"/>
  </sheets>
  <definedNames>
    <definedName name="Discount_Rate">Total!$B$41</definedName>
    <definedName name="_xlnm.Print_Area" localSheetId="3">Capacity!$A$1:$H$37</definedName>
    <definedName name="_xlnm.Print_Area" localSheetId="2">Energy!$A$1:$I$38</definedName>
    <definedName name="_xlnm.Print_Area" localSheetId="0">Incremental!$A$1:$I$37</definedName>
    <definedName name="_xlnm.Print_Area" localSheetId="1">Total!$A$1:$I$37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D8" i="10"/>
  <c r="G8" i="6" l="1"/>
  <c r="F8"/>
  <c r="E8"/>
  <c r="D8"/>
  <c r="C8"/>
  <c r="G7"/>
  <c r="F7"/>
  <c r="E7"/>
  <c r="D7"/>
  <c r="C7"/>
  <c r="G8" i="10" l="1"/>
  <c r="H8" i="5"/>
  <c r="H7"/>
  <c r="B36" l="1"/>
  <c r="B41" i="10" l="1"/>
  <c r="B41" i="3"/>
  <c r="B1" i="10" l="1"/>
  <c r="B3"/>
  <c r="B10"/>
  <c r="B31"/>
  <c r="B40"/>
  <c r="B35" s="1"/>
  <c r="G10" l="1"/>
  <c r="B11"/>
  <c r="G11" l="1"/>
  <c r="F11"/>
  <c r="F10"/>
  <c r="B12"/>
  <c r="G12" l="1"/>
  <c r="F12"/>
  <c r="B13"/>
  <c r="G13" l="1"/>
  <c r="F13"/>
  <c r="B14"/>
  <c r="G14" l="1"/>
  <c r="B15"/>
  <c r="G15" l="1"/>
  <c r="F15"/>
  <c r="B16"/>
  <c r="F14"/>
  <c r="G16" l="1"/>
  <c r="B17"/>
  <c r="G17" l="1"/>
  <c r="F17"/>
  <c r="F16"/>
  <c r="B18"/>
  <c r="G18" l="1"/>
  <c r="F18"/>
  <c r="B19"/>
  <c r="G19" l="1"/>
  <c r="F19"/>
  <c r="B20"/>
  <c r="G20" l="1"/>
  <c r="F20"/>
  <c r="B21"/>
  <c r="G21" l="1"/>
  <c r="F21"/>
  <c r="B22"/>
  <c r="G22" l="1"/>
  <c r="F22"/>
  <c r="B23"/>
  <c r="G23" l="1"/>
  <c r="F23"/>
  <c r="B24"/>
  <c r="G24" l="1"/>
  <c r="F24"/>
  <c r="B25"/>
  <c r="G25" l="1"/>
  <c r="F25"/>
  <c r="B26"/>
  <c r="G26" l="1"/>
  <c r="F26"/>
  <c r="B27"/>
  <c r="G27" l="1"/>
  <c r="F27"/>
  <c r="B28"/>
  <c r="G28" l="1"/>
  <c r="B29"/>
  <c r="G29" l="1"/>
  <c r="B32"/>
  <c r="F28"/>
  <c r="G32" l="1"/>
  <c r="D32"/>
  <c r="F29"/>
  <c r="C32"/>
  <c r="F32" l="1"/>
  <c r="B31" i="5" l="1"/>
  <c r="G8" l="1"/>
  <c r="G7"/>
  <c r="B37" i="3" l="1"/>
  <c r="B35"/>
  <c r="B36" i="6"/>
  <c r="B37"/>
  <c r="B34"/>
  <c r="F8" i="5" l="1"/>
  <c r="E8"/>
  <c r="D8"/>
  <c r="F7"/>
  <c r="E7"/>
  <c r="D7"/>
  <c r="B41" i="6" l="1"/>
  <c r="B31" i="3" l="1"/>
  <c r="B31" i="6"/>
  <c r="C8" i="3" l="1"/>
  <c r="B10"/>
  <c r="B10" i="6"/>
  <c r="B11" i="5"/>
  <c r="B3" i="3"/>
  <c r="B1"/>
  <c r="B3" i="6"/>
  <c r="B1"/>
  <c r="F10" i="5" l="1"/>
  <c r="B11" i="6"/>
  <c r="B12" i="5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2" s="1"/>
  <c r="B11" i="3"/>
  <c r="C10" i="5" l="1"/>
  <c r="D10"/>
  <c r="G10"/>
  <c r="C10" i="6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2" s="1"/>
  <c r="B12" i="3"/>
  <c r="C11" i="5" l="1"/>
  <c r="H10"/>
  <c r="B13" i="3"/>
  <c r="C12" i="5" l="1"/>
  <c r="F11"/>
  <c r="D11"/>
  <c r="C11" i="6" s="1"/>
  <c r="F13" i="5"/>
  <c r="B14" i="3"/>
  <c r="G13" i="5" l="1"/>
  <c r="F12"/>
  <c r="D12"/>
  <c r="C12" i="6" s="1"/>
  <c r="C13" i="5"/>
  <c r="D13"/>
  <c r="C13" i="6" s="1"/>
  <c r="G11" i="5"/>
  <c r="F14"/>
  <c r="B15" i="3"/>
  <c r="G14" i="5" l="1"/>
  <c r="C14"/>
  <c r="D14"/>
  <c r="H11"/>
  <c r="G12"/>
  <c r="H13"/>
  <c r="F15"/>
  <c r="C14" i="6"/>
  <c r="B16" i="3"/>
  <c r="G15" i="5" l="1"/>
  <c r="C15"/>
  <c r="D15"/>
  <c r="H12"/>
  <c r="H14"/>
  <c r="F16"/>
  <c r="C15" i="6"/>
  <c r="B17" i="3"/>
  <c r="G16" i="5" l="1"/>
  <c r="C16"/>
  <c r="D16"/>
  <c r="C16" i="6" s="1"/>
  <c r="H15" i="5"/>
  <c r="F17"/>
  <c r="B18" i="3"/>
  <c r="G17" i="5" l="1"/>
  <c r="C17"/>
  <c r="D17"/>
  <c r="C17" i="6" s="1"/>
  <c r="H16" i="5"/>
  <c r="F18"/>
  <c r="B19" i="3"/>
  <c r="G18" i="5" l="1"/>
  <c r="C18"/>
  <c r="D18"/>
  <c r="C18" i="6" s="1"/>
  <c r="H17" i="5"/>
  <c r="F19"/>
  <c r="B20" i="3"/>
  <c r="C19" i="5" l="1"/>
  <c r="D19"/>
  <c r="E19"/>
  <c r="G19"/>
  <c r="H18"/>
  <c r="C19" i="6"/>
  <c r="D19"/>
  <c r="B21" i="3"/>
  <c r="H19" i="5" l="1"/>
  <c r="C20"/>
  <c r="B22" i="3"/>
  <c r="F20" i="5" l="1"/>
  <c r="D20"/>
  <c r="C20" i="6" s="1"/>
  <c r="C21" i="5"/>
  <c r="B23" i="3"/>
  <c r="F21" i="5" l="1"/>
  <c r="D21"/>
  <c r="C21" i="6" s="1"/>
  <c r="C22" i="5"/>
  <c r="G20"/>
  <c r="B24" i="3"/>
  <c r="F22" i="5" l="1"/>
  <c r="D22"/>
  <c r="C22" i="6" s="1"/>
  <c r="C23" i="5"/>
  <c r="H20"/>
  <c r="G21"/>
  <c r="B25" i="3"/>
  <c r="F23" i="5" l="1"/>
  <c r="D23"/>
  <c r="C23" i="6" s="1"/>
  <c r="C24" i="5"/>
  <c r="H21"/>
  <c r="G22"/>
  <c r="B26" i="3"/>
  <c r="F24" i="5" l="1"/>
  <c r="D24"/>
  <c r="C24" i="6" s="1"/>
  <c r="C25" i="5"/>
  <c r="H22"/>
  <c r="G23"/>
  <c r="B27" i="3"/>
  <c r="F25" i="5" l="1"/>
  <c r="D25"/>
  <c r="C25" i="6" s="1"/>
  <c r="C26" i="5"/>
  <c r="H23"/>
  <c r="G24"/>
  <c r="B28" i="3"/>
  <c r="B29"/>
  <c r="C27" i="5" l="1"/>
  <c r="F26"/>
  <c r="D26"/>
  <c r="C26" i="6" s="1"/>
  <c r="H24" i="5"/>
  <c r="G25"/>
  <c r="B32" i="3"/>
  <c r="C28" i="5" l="1"/>
  <c r="F27"/>
  <c r="D27"/>
  <c r="C27" i="6" s="1"/>
  <c r="C29" i="5"/>
  <c r="H25"/>
  <c r="G26"/>
  <c r="C32" i="3"/>
  <c r="F29" i="5" l="1"/>
  <c r="D29"/>
  <c r="C29" i="6" s="1"/>
  <c r="F28" i="5"/>
  <c r="D28"/>
  <c r="C28" i="6" s="1"/>
  <c r="H26" i="5"/>
  <c r="G27"/>
  <c r="F32" i="3"/>
  <c r="D32"/>
  <c r="H27" i="5" l="1"/>
  <c r="G28"/>
  <c r="G29"/>
  <c r="B35"/>
  <c r="H29" l="1"/>
  <c r="H32" s="1"/>
  <c r="H28"/>
  <c r="B35" i="6"/>
  <c r="B36" i="3"/>
  <c r="D32" i="5" l="1"/>
  <c r="C32"/>
  <c r="C32" i="6" l="1"/>
  <c r="E21" i="5" l="1"/>
  <c r="E22"/>
  <c r="E20"/>
  <c r="D20" i="6" l="1"/>
  <c r="D22"/>
  <c r="D21"/>
  <c r="E23" i="5"/>
  <c r="D23" i="6" l="1"/>
  <c r="E24" i="5"/>
  <c r="E27"/>
  <c r="E25"/>
  <c r="E26"/>
  <c r="E28" l="1"/>
  <c r="E29"/>
  <c r="D27" i="6"/>
  <c r="D26"/>
  <c r="D25"/>
  <c r="D24"/>
  <c r="D29" l="1"/>
  <c r="D28"/>
  <c r="E11" i="5" l="1"/>
  <c r="E12"/>
  <c r="E10"/>
  <c r="D10" i="6" l="1"/>
  <c r="D12"/>
  <c r="D11"/>
  <c r="E13" i="5"/>
  <c r="D13" i="6" l="1"/>
  <c r="E15" i="5"/>
  <c r="E14"/>
  <c r="E18"/>
  <c r="E17"/>
  <c r="E16"/>
  <c r="D17" i="6" l="1"/>
  <c r="D14"/>
  <c r="D16"/>
  <c r="D18"/>
  <c r="D15"/>
  <c r="E32" i="3"/>
  <c r="E32" i="5" l="1"/>
  <c r="D32" i="6" l="1"/>
  <c r="G11" l="1"/>
  <c r="G10"/>
  <c r="G12"/>
  <c r="G13"/>
  <c r="H13" l="1"/>
  <c r="H12"/>
  <c r="H11"/>
  <c r="G19"/>
  <c r="G14"/>
  <c r="G17"/>
  <c r="G15"/>
  <c r="G18"/>
  <c r="G16"/>
  <c r="H10" l="1"/>
  <c r="H16"/>
  <c r="H15"/>
  <c r="H14"/>
  <c r="H18"/>
  <c r="H17"/>
  <c r="H19"/>
  <c r="G32" i="5" l="1"/>
  <c r="H21" i="6"/>
  <c r="H22"/>
  <c r="H23"/>
  <c r="H20"/>
  <c r="H24"/>
  <c r="H26"/>
  <c r="H25"/>
  <c r="G32" i="3"/>
  <c r="H29" i="6"/>
  <c r="H28"/>
  <c r="H27"/>
  <c r="E11" l="1"/>
  <c r="F11"/>
  <c r="E10" l="1"/>
  <c r="F10"/>
  <c r="E12"/>
  <c r="F12"/>
  <c r="E14" l="1"/>
  <c r="F14"/>
  <c r="E13" l="1"/>
  <c r="F13"/>
  <c r="E26" l="1"/>
  <c r="F26"/>
  <c r="E20"/>
  <c r="F20"/>
  <c r="E23"/>
  <c r="F23"/>
  <c r="E27"/>
  <c r="F27"/>
  <c r="E19"/>
  <c r="F19"/>
  <c r="E24"/>
  <c r="F24"/>
  <c r="E28"/>
  <c r="F28"/>
  <c r="E16"/>
  <c r="F16"/>
  <c r="E21"/>
  <c r="F21"/>
  <c r="E25"/>
  <c r="F25"/>
  <c r="E29"/>
  <c r="F29"/>
  <c r="E17"/>
  <c r="F17"/>
  <c r="E18"/>
  <c r="F18"/>
  <c r="E22"/>
  <c r="F22"/>
  <c r="E15" l="1"/>
  <c r="F15"/>
  <c r="F32" i="5"/>
  <c r="E32" i="6" l="1"/>
  <c r="F32"/>
  <c r="G22" l="1"/>
  <c r="G21"/>
  <c r="H32" i="3" l="1"/>
  <c r="G29" i="6"/>
  <c r="G24"/>
  <c r="G28"/>
  <c r="G25"/>
  <c r="H32"/>
  <c r="G20"/>
  <c r="G26"/>
  <c r="G27"/>
  <c r="G23"/>
  <c r="G32" l="1"/>
  <c r="C8" i="10" l="1"/>
  <c r="F8" s="1"/>
  <c r="C7" i="5"/>
  <c r="B4" i="10" l="1"/>
  <c r="B4" i="3" l="1"/>
  <c r="B4" i="5"/>
  <c r="B4" i="6"/>
</calcChain>
</file>

<file path=xl/sharedStrings.xml><?xml version="1.0" encoding="utf-8"?>
<sst xmlns="http://schemas.openxmlformats.org/spreadsheetml/2006/main" count="39" uniqueCount="33">
  <si>
    <t>Year</t>
  </si>
  <si>
    <t>Utah Quarterly Compliance Filing</t>
  </si>
  <si>
    <t>$/kW-Year</t>
  </si>
  <si>
    <t xml:space="preserve">(1)   Capacity costs are allocated assuming an 85% capacity factor. </t>
  </si>
  <si>
    <t>Appendix C</t>
  </si>
  <si>
    <t>(1)   Studies are sequential.  The order of the studies would effect the price impact.</t>
  </si>
  <si>
    <t>Total</t>
  </si>
  <si>
    <t>Change</t>
  </si>
  <si>
    <t>GRID Calculated Energy Avoided Cost Prices $/MWH (1)</t>
  </si>
  <si>
    <t>As Filed</t>
  </si>
  <si>
    <t>$/MWH  (1)</t>
  </si>
  <si>
    <t>Capacity Avoided Cost Prices</t>
  </si>
  <si>
    <t>Official Forward</t>
  </si>
  <si>
    <t>Price Curve (2)</t>
  </si>
  <si>
    <t xml:space="preserve">(4)   Capacity costs are allocated assuming an 85% capacity factor. </t>
  </si>
  <si>
    <t>Total Avoided Cost Prices $/MWH (1) (4)</t>
  </si>
  <si>
    <t>Avoided Cost Impact of Changing Assumptions $/MWH (1) (4)</t>
  </si>
  <si>
    <t>Other</t>
  </si>
  <si>
    <t>OFPC Date</t>
  </si>
  <si>
    <t>2013.Q1</t>
  </si>
  <si>
    <t>(x)  Extrapolated</t>
  </si>
  <si>
    <t>Discount Rate - 2013 IRP Page 164</t>
  </si>
  <si>
    <t>QF</t>
  </si>
  <si>
    <t>Queue</t>
  </si>
  <si>
    <t>2013 IRP</t>
  </si>
  <si>
    <t>2013.Q2</t>
  </si>
  <si>
    <t>Load Forecast</t>
  </si>
  <si>
    <t>Changes</t>
  </si>
  <si>
    <t>(3)  Capacity costs reflect  2024 CCCT Dry "J" Adv 1x1 as listed in 2013 IRP Table 6.1 &amp; 6.2</t>
  </si>
  <si>
    <t xml:space="preserve">Adjust levelized prices from calculated  </t>
  </si>
  <si>
    <t>annually to calculated monthly</t>
  </si>
  <si>
    <t>Resources</t>
  </si>
  <si>
    <t>June 2013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</si>
</sst>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* #,##0.00_);[Red]_(&quot;$&quot;* \(#,##0.00\);_(&quot;$&quot;* &quot;-&quot;?_);_(@_)"/>
    <numFmt numFmtId="167" formatCode="_(* #,##0.00_);[Red]_(* \(#,##0.00\);_(* &quot;-&quot;_);_(@_)"/>
    <numFmt numFmtId="168" formatCode="_(&quot;$&quot;\ #,##0.00_);[Red]_(&quot;$&quot;\ \(#,##0.00\);_(\ &quot;-&quot;?_);_(@_)"/>
    <numFmt numFmtId="169" formatCode="0.000%"/>
    <numFmt numFmtId="170" formatCode="_(* #,##0.000_);[Red]_(* \(#,##0.000\);_(* &quot;-&quot;_);_(@_)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165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43" fontId="8" fillId="0" borderId="0" applyFont="0" applyFill="0" applyBorder="0" applyAlignment="0" applyProtection="0"/>
  </cellStyleXfs>
  <cellXfs count="55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4" fillId="0" borderId="0" xfId="0" applyFont="1" applyFill="1"/>
    <xf numFmtId="7" fontId="4" fillId="0" borderId="0" xfId="0" applyNumberFormat="1" applyFont="1" applyFill="1" applyBorder="1" applyAlignment="1">
      <alignment horizontal="center"/>
    </xf>
    <xf numFmtId="1" fontId="1" fillId="0" borderId="0" xfId="2" applyNumberFormat="1" applyFill="1" applyAlignment="1" applyProtection="1">
      <alignment horizontal="center"/>
      <protection locked="0"/>
    </xf>
    <xf numFmtId="165" fontId="3" fillId="0" borderId="0" xfId="0" applyFont="1" applyAlignment="1">
      <alignment horizontal="centerContinuous"/>
    </xf>
    <xf numFmtId="165" fontId="3" fillId="0" borderId="3" xfId="0" applyFont="1" applyBorder="1"/>
    <xf numFmtId="165" fontId="3" fillId="0" borderId="4" xfId="0" applyFont="1" applyBorder="1" applyAlignment="1">
      <alignment horizontal="center"/>
    </xf>
    <xf numFmtId="165" fontId="3" fillId="0" borderId="5" xfId="0" applyFont="1" applyBorder="1" applyAlignment="1">
      <alignment horizontal="center"/>
    </xf>
    <xf numFmtId="10" fontId="4" fillId="0" borderId="0" xfId="0" applyNumberFormat="1" applyFont="1"/>
    <xf numFmtId="165" fontId="4" fillId="0" borderId="0" xfId="0" quotePrefix="1" applyFont="1"/>
    <xf numFmtId="165" fontId="4" fillId="0" borderId="0" xfId="0" applyFont="1" applyAlignment="1">
      <alignment horizontal="center"/>
    </xf>
    <xf numFmtId="166" fontId="4" fillId="0" borderId="0" xfId="0" applyNumberFormat="1" applyFont="1"/>
    <xf numFmtId="164" fontId="4" fillId="0" borderId="0" xfId="0" applyNumberFormat="1" applyFont="1"/>
    <xf numFmtId="165" fontId="3" fillId="0" borderId="5" xfId="0" applyFont="1" applyFill="1" applyBorder="1" applyAlignment="1">
      <alignment horizontal="center"/>
    </xf>
    <xf numFmtId="165" fontId="3" fillId="0" borderId="1" xfId="0" applyFont="1" applyFill="1" applyBorder="1" applyAlignment="1">
      <alignment horizontal="center"/>
    </xf>
    <xf numFmtId="165" fontId="4" fillId="0" borderId="0" xfId="0" applyFont="1" applyFill="1" applyAlignment="1"/>
    <xf numFmtId="165" fontId="3" fillId="0" borderId="3" xfId="0" applyFont="1" applyFill="1" applyBorder="1"/>
    <xf numFmtId="165" fontId="3" fillId="0" borderId="4" xfId="0" applyFont="1" applyFill="1" applyBorder="1" applyAlignment="1">
      <alignment horizontal="center"/>
    </xf>
    <xf numFmtId="165" fontId="4" fillId="0" borderId="0" xfId="0" quotePrefix="1" applyFont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/>
    <xf numFmtId="8" fontId="4" fillId="0" borderId="2" xfId="0" applyNumberFormat="1" applyFont="1" applyFill="1" applyBorder="1" applyAlignment="1">
      <alignment horizontal="center"/>
    </xf>
    <xf numFmtId="8" fontId="4" fillId="0" borderId="0" xfId="0" applyNumberFormat="1" applyFont="1" applyAlignment="1">
      <alignment horizontal="center"/>
    </xf>
    <xf numFmtId="8" fontId="4" fillId="0" borderId="0" xfId="0" applyNumberFormat="1" applyFont="1" applyFill="1" applyAlignment="1">
      <alignment horizontal="center"/>
    </xf>
    <xf numFmtId="167" fontId="4" fillId="0" borderId="0" xfId="0" applyNumberFormat="1" applyFont="1" applyAlignment="1">
      <alignment horizontal="center"/>
    </xf>
    <xf numFmtId="165" fontId="3" fillId="0" borderId="6" xfId="0" applyFont="1" applyBorder="1"/>
    <xf numFmtId="165" fontId="3" fillId="0" borderId="7" xfId="0" applyFont="1" applyBorder="1" applyAlignment="1">
      <alignment horizontal="center"/>
    </xf>
    <xf numFmtId="165" fontId="3" fillId="0" borderId="0" xfId="0" applyFont="1" applyFill="1" applyBorder="1" applyAlignment="1">
      <alignment horizontal="centerContinuous"/>
    </xf>
    <xf numFmtId="165" fontId="3" fillId="0" borderId="0" xfId="0" applyFont="1" applyFill="1" applyBorder="1" applyAlignment="1">
      <alignment horizontal="center"/>
    </xf>
    <xf numFmtId="165" fontId="4" fillId="0" borderId="0" xfId="0" applyFont="1" applyFill="1" applyBorder="1"/>
    <xf numFmtId="170" fontId="4" fillId="0" borderId="0" xfId="0" applyNumberFormat="1" applyFont="1"/>
    <xf numFmtId="169" fontId="4" fillId="0" borderId="0" xfId="0" applyNumberFormat="1" applyFont="1"/>
    <xf numFmtId="165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5" fontId="3" fillId="0" borderId="0" xfId="4" applyFont="1" applyAlignment="1">
      <alignment horizontal="centerContinuous"/>
    </xf>
    <xf numFmtId="165" fontId="4" fillId="0" borderId="0" xfId="4" applyFont="1" applyAlignment="1">
      <alignment horizontal="centerContinuous"/>
    </xf>
    <xf numFmtId="165" fontId="4" fillId="0" borderId="0" xfId="4" applyFont="1"/>
    <xf numFmtId="165" fontId="3" fillId="0" borderId="3" xfId="4" applyFont="1" applyBorder="1"/>
    <xf numFmtId="165" fontId="3" fillId="0" borderId="3" xfId="4" applyFont="1" applyBorder="1" applyAlignment="1">
      <alignment horizontal="centerContinuous"/>
    </xf>
    <xf numFmtId="165" fontId="3" fillId="0" borderId="4" xfId="4" applyFont="1" applyBorder="1" applyAlignment="1">
      <alignment horizontal="center"/>
    </xf>
    <xf numFmtId="165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8" fontId="4" fillId="0" borderId="0" xfId="4" applyNumberFormat="1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/>
    </xf>
    <xf numFmtId="165" fontId="4" fillId="0" borderId="0" xfId="4" applyFont="1" applyFill="1"/>
    <xf numFmtId="165" fontId="4" fillId="0" borderId="0" xfId="4" quotePrefix="1" applyFont="1"/>
    <xf numFmtId="7" fontId="4" fillId="0" borderId="2" xfId="4" applyNumberFormat="1" applyFont="1" applyFill="1" applyBorder="1" applyAlignment="1">
      <alignment horizontal="center"/>
    </xf>
    <xf numFmtId="165" fontId="4" fillId="0" borderId="0" xfId="4" applyFont="1" applyAlignment="1"/>
    <xf numFmtId="169" fontId="4" fillId="0" borderId="0" xfId="4" applyNumberFormat="1" applyFont="1" applyAlignment="1">
      <alignment horizontal="center"/>
    </xf>
    <xf numFmtId="169" fontId="4" fillId="0" borderId="0" xfId="3" applyNumberFormat="1" applyFont="1"/>
    <xf numFmtId="165" fontId="3" fillId="0" borderId="1" xfId="0" quotePrefix="1" applyFont="1" applyBorder="1" applyAlignment="1">
      <alignment horizontal="center"/>
    </xf>
    <xf numFmtId="43" fontId="4" fillId="0" borderId="0" xfId="6" applyFont="1"/>
  </cellXfs>
  <cellStyles count="7">
    <cellStyle name="Comma" xfId="6" builtinId="3"/>
    <cellStyle name="Input" xfId="1" builtinId="20" customBuiltin="1"/>
    <cellStyle name="Normal" xfId="0" builtinId="0" customBuiltin="1"/>
    <cellStyle name="Normal 2" xfId="4"/>
    <cellStyle name="Normal 5" xfId="5"/>
    <cellStyle name="Normal_T-INF-10-15-04-TEMPLATE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42"/>
    <pageSetUpPr fitToPage="1"/>
  </sheetPr>
  <dimension ref="B1:I41"/>
  <sheetViews>
    <sheetView tabSelected="1" zoomScale="70" zoomScaleNormal="70" workbookViewId="0">
      <pane xSplit="2" ySplit="9" topLeftCell="C10" activePane="bottomRight" state="frozen"/>
      <selection activeCell="G25" sqref="G25"/>
      <selection pane="topRight" activeCell="G25" sqref="G25"/>
      <selection pane="bottomLeft" activeCell="G25" sqref="G25"/>
      <selection pane="bottomRight" activeCell="C8" sqref="C8"/>
    </sheetView>
  </sheetViews>
  <sheetFormatPr defaultRowHeight="15"/>
  <cols>
    <col min="1" max="1" width="1.85546875" style="1" customWidth="1"/>
    <col min="2" max="2" width="13.85546875" style="1" customWidth="1"/>
    <col min="3" max="8" width="18.85546875" style="1" customWidth="1"/>
    <col min="9" max="9" width="2.28515625" style="1" customWidth="1"/>
    <col min="10" max="16384" width="9.140625" style="1"/>
  </cols>
  <sheetData>
    <row r="1" spans="2:9" ht="15.75">
      <c r="B1" s="7" t="str">
        <f ca="1">Total!B1</f>
        <v>Appendix C</v>
      </c>
      <c r="C1" s="7"/>
      <c r="D1" s="7"/>
      <c r="E1" s="7"/>
      <c r="F1" s="7"/>
      <c r="G1" s="7"/>
      <c r="H1" s="7"/>
    </row>
    <row r="2" spans="2:9" ht="8.25" customHeight="1">
      <c r="B2" s="7"/>
      <c r="C2" s="7"/>
      <c r="D2" s="7"/>
      <c r="E2" s="7"/>
      <c r="F2" s="7"/>
      <c r="G2" s="7"/>
      <c r="H2" s="7"/>
    </row>
    <row r="3" spans="2:9" ht="15.75">
      <c r="B3" s="7" t="str">
        <f ca="1">Total!B3</f>
        <v>Utah Quarterly Compliance Filing</v>
      </c>
      <c r="C3" s="7"/>
      <c r="D3" s="7"/>
      <c r="E3" s="7"/>
      <c r="F3" s="7"/>
      <c r="G3" s="7"/>
      <c r="H3" s="7"/>
    </row>
    <row r="4" spans="2:9" ht="15.75">
      <c r="B4" s="7" t="str">
        <f ca="1">Capacity!$B$4</f>
        <v>Step Study between 2013.Q2 and 2013.Q1 Compliance Filing</v>
      </c>
      <c r="C4" s="7"/>
      <c r="D4" s="7"/>
      <c r="E4" s="7"/>
      <c r="F4" s="7"/>
      <c r="G4" s="7"/>
      <c r="H4" s="7"/>
    </row>
    <row r="5" spans="2:9" ht="15.75">
      <c r="B5" s="7" t="s">
        <v>16</v>
      </c>
      <c r="C5" s="7"/>
      <c r="D5" s="7"/>
      <c r="E5" s="7"/>
      <c r="F5" s="7"/>
      <c r="G5" s="7"/>
      <c r="H5" s="7"/>
    </row>
    <row r="6" spans="2:9">
      <c r="C6" s="13"/>
      <c r="D6" s="13"/>
      <c r="E6" s="13"/>
      <c r="F6" s="13"/>
      <c r="G6" s="13"/>
    </row>
    <row r="7" spans="2:9" s="4" customFormat="1" ht="15.75">
      <c r="B7" s="19"/>
      <c r="C7" s="16" t="str">
        <f ca="1">Energy!D7</f>
        <v>Load Forecast</v>
      </c>
      <c r="D7" s="16" t="str">
        <f ca="1">Energy!E7</f>
        <v>Official Forward</v>
      </c>
      <c r="E7" s="16" t="str">
        <f ca="1">Energy!F7</f>
        <v>2013 IRP</v>
      </c>
      <c r="F7" s="16" t="str">
        <f ca="1">Energy!G7</f>
        <v>QF</v>
      </c>
      <c r="G7" s="16" t="str">
        <f ca="1">Energy!H7</f>
        <v>Other</v>
      </c>
      <c r="H7" s="16" t="s">
        <v>6</v>
      </c>
      <c r="I7" s="1"/>
    </row>
    <row r="8" spans="2:9" s="4" customFormat="1" ht="15.75">
      <c r="B8" s="20" t="s">
        <v>0</v>
      </c>
      <c r="C8" s="17" t="str">
        <f ca="1">Energy!D8</f>
        <v>June 2013</v>
      </c>
      <c r="D8" s="17" t="str">
        <f ca="1">Energy!E8</f>
        <v>Price Curve (2)</v>
      </c>
      <c r="E8" s="17" t="str">
        <f ca="1">Energy!F8</f>
        <v>Resources</v>
      </c>
      <c r="F8" s="17" t="str">
        <f ca="1">Energy!G8</f>
        <v>Queue</v>
      </c>
      <c r="G8" s="17" t="str">
        <f ca="1">Energy!H8</f>
        <v>Changes</v>
      </c>
      <c r="H8" s="17" t="s">
        <v>7</v>
      </c>
      <c r="I8" s="1"/>
    </row>
    <row r="9" spans="2:9" ht="4.5" customHeight="1"/>
    <row r="10" spans="2:9" ht="15.75">
      <c r="B10" s="3">
        <f ca="1">Total!B10</f>
        <v>2014</v>
      </c>
      <c r="C10" s="25">
        <f ca="1">ROUND(Total!D10-Total!C10,2)</f>
        <v>-0.26</v>
      </c>
      <c r="D10" s="25">
        <f ca="1">ROUND(Total!E10-Total!D10,2)</f>
        <v>1.08</v>
      </c>
      <c r="E10" s="25">
        <f ca="1">ROUND(Total!F10-Total!E10,2)</f>
        <v>-0.24</v>
      </c>
      <c r="F10" s="25">
        <f ca="1">ROUND(Total!G10-Total!F10,2)</f>
        <v>1.78</v>
      </c>
      <c r="G10" s="25">
        <f ca="1">ROUND(Total!H10-Total!G10,2)</f>
        <v>0.89</v>
      </c>
      <c r="H10" s="25">
        <f ca="1">OFFSET(Total!B10,0,COLUMN(Incremental!H10)-2)-Total!C10</f>
        <v>3.2500000000000036</v>
      </c>
    </row>
    <row r="11" spans="2:9" ht="15.75">
      <c r="B11" s="3">
        <f t="shared" ref="B11:B29" ca="1" si="0">B10+1</f>
        <v>2015</v>
      </c>
      <c r="C11" s="25">
        <f ca="1">ROUND(Total!D11-Total!C11,2)</f>
        <v>0.57999999999999996</v>
      </c>
      <c r="D11" s="25">
        <f ca="1">ROUND(Total!E11-Total!D11,2)</f>
        <v>-0.35</v>
      </c>
      <c r="E11" s="25">
        <f ca="1">ROUND(Total!F11-Total!E11,2)</f>
        <v>0.22</v>
      </c>
      <c r="F11" s="25">
        <f ca="1">ROUND(Total!G11-Total!F11,2)</f>
        <v>1.95</v>
      </c>
      <c r="G11" s="25">
        <f ca="1">ROUND(Total!H11-Total!G11,2)</f>
        <v>1.24</v>
      </c>
      <c r="H11" s="25">
        <f ca="1">OFFSET(Total!B11,0,COLUMN(Incremental!H11)-2)-Total!C11</f>
        <v>3.6400000000000006</v>
      </c>
    </row>
    <row r="12" spans="2:9" ht="15.75">
      <c r="B12" s="3">
        <f t="shared" ca="1" si="0"/>
        <v>2016</v>
      </c>
      <c r="C12" s="25">
        <f ca="1">ROUND(Total!D12-Total!C12,2)</f>
        <v>1.27</v>
      </c>
      <c r="D12" s="25">
        <f ca="1">ROUND(Total!E12-Total!D12,2)</f>
        <v>-0.61</v>
      </c>
      <c r="E12" s="25">
        <f ca="1">ROUND(Total!F12-Total!E12,2)</f>
        <v>-0.5</v>
      </c>
      <c r="F12" s="25">
        <f ca="1">ROUND(Total!G12-Total!F12,2)</f>
        <v>2.15</v>
      </c>
      <c r="G12" s="25">
        <f ca="1">ROUND(Total!H12-Total!G12,2)</f>
        <v>1.03</v>
      </c>
      <c r="H12" s="25">
        <f ca="1">OFFSET(Total!B12,0,COLUMN(Incremental!H12)-2)-Total!C12</f>
        <v>3.34</v>
      </c>
    </row>
    <row r="13" spans="2:9" ht="15.75">
      <c r="B13" s="3">
        <f t="shared" ca="1" si="0"/>
        <v>2017</v>
      </c>
      <c r="C13" s="25">
        <f ca="1">ROUND(Total!D13-Total!C13,2)</f>
        <v>0.98</v>
      </c>
      <c r="D13" s="25">
        <f ca="1">ROUND(Total!E13-Total!D13,2)</f>
        <v>-0.73</v>
      </c>
      <c r="E13" s="25">
        <f ca="1">ROUND(Total!F13-Total!E13,2)</f>
        <v>-0.24</v>
      </c>
      <c r="F13" s="25">
        <f ca="1">ROUND(Total!G13-Total!F13,2)</f>
        <v>1.74</v>
      </c>
      <c r="G13" s="25">
        <f ca="1">ROUND(Total!H13-Total!G13,2)</f>
        <v>0.17</v>
      </c>
      <c r="H13" s="25">
        <f ca="1">OFFSET(Total!B13,0,COLUMN(Incremental!H13)-2)-Total!C13</f>
        <v>1.9200000000000017</v>
      </c>
    </row>
    <row r="14" spans="2:9" ht="15.75">
      <c r="B14" s="3">
        <f t="shared" ca="1" si="0"/>
        <v>2018</v>
      </c>
      <c r="C14" s="25">
        <f ca="1">ROUND(Total!D14-Total!C14,2)</f>
        <v>1.83</v>
      </c>
      <c r="D14" s="25">
        <f ca="1">ROUND(Total!E14-Total!D14,2)</f>
        <v>-1.95</v>
      </c>
      <c r="E14" s="25">
        <f ca="1">ROUND(Total!F14-Total!E14,2)</f>
        <v>-0.9</v>
      </c>
      <c r="F14" s="25">
        <f ca="1">ROUND(Total!G14-Total!F14,2)</f>
        <v>1.28</v>
      </c>
      <c r="G14" s="25">
        <f ca="1">ROUND(Total!H14-Total!G14,2)</f>
        <v>0.92</v>
      </c>
      <c r="H14" s="25">
        <f ca="1">OFFSET(Total!B14,0,COLUMN(Incremental!H14)-2)-Total!C14</f>
        <v>1.1799999999999997</v>
      </c>
    </row>
    <row r="15" spans="2:9" ht="15.75">
      <c r="B15" s="3">
        <f t="shared" ca="1" si="0"/>
        <v>2019</v>
      </c>
      <c r="C15" s="25">
        <f ca="1">ROUND(Total!D15-Total!C15,2)</f>
        <v>1.97</v>
      </c>
      <c r="D15" s="25">
        <f ca="1">ROUND(Total!E15-Total!D15,2)</f>
        <v>-1.35</v>
      </c>
      <c r="E15" s="25">
        <f ca="1">ROUND(Total!F15-Total!E15,2)</f>
        <v>-1.1000000000000001</v>
      </c>
      <c r="F15" s="25">
        <f ca="1">ROUND(Total!G15-Total!F15,2)</f>
        <v>2.85</v>
      </c>
      <c r="G15" s="25">
        <f ca="1">ROUND(Total!H15-Total!G15,2)</f>
        <v>0.56000000000000005</v>
      </c>
      <c r="H15" s="25">
        <f ca="1">OFFSET(Total!B15,0,COLUMN(Incremental!H15)-2)-Total!C15</f>
        <v>2.9299999999999997</v>
      </c>
    </row>
    <row r="16" spans="2:9" ht="15.75">
      <c r="B16" s="3">
        <f t="shared" ca="1" si="0"/>
        <v>2020</v>
      </c>
      <c r="C16" s="25">
        <f ca="1">ROUND(Total!D16-Total!C16,2)</f>
        <v>2.75</v>
      </c>
      <c r="D16" s="25">
        <f ca="1">ROUND(Total!E16-Total!D16,2)</f>
        <v>-1.94</v>
      </c>
      <c r="E16" s="25">
        <f ca="1">ROUND(Total!F16-Total!E16,2)</f>
        <v>-1.5</v>
      </c>
      <c r="F16" s="25">
        <f ca="1">ROUND(Total!G16-Total!F16,2)</f>
        <v>5.61</v>
      </c>
      <c r="G16" s="25">
        <f ca="1">ROUND(Total!H16-Total!G16,2)</f>
        <v>0.9</v>
      </c>
      <c r="H16" s="25">
        <f ca="1">OFFSET(Total!B16,0,COLUMN(Incremental!H16)-2)-Total!C16</f>
        <v>5.82</v>
      </c>
    </row>
    <row r="17" spans="2:8" ht="15.75">
      <c r="B17" s="3">
        <f t="shared" ca="1" si="0"/>
        <v>2021</v>
      </c>
      <c r="C17" s="25">
        <f ca="1">ROUND(Total!D17-Total!C17,2)</f>
        <v>2.99</v>
      </c>
      <c r="D17" s="25">
        <f ca="1">ROUND(Total!E17-Total!D17,2)</f>
        <v>-0.93</v>
      </c>
      <c r="E17" s="25">
        <f ca="1">ROUND(Total!F17-Total!E17,2)</f>
        <v>-0.28999999999999998</v>
      </c>
      <c r="F17" s="25">
        <f ca="1">ROUND(Total!G17-Total!F17,2)</f>
        <v>2.77</v>
      </c>
      <c r="G17" s="25">
        <f ca="1">ROUND(Total!H17-Total!G17,2)</f>
        <v>1.02</v>
      </c>
      <c r="H17" s="25">
        <f ca="1">OFFSET(Total!B17,0,COLUMN(Incremental!H17)-2)-Total!C17</f>
        <v>5.5600000000000023</v>
      </c>
    </row>
    <row r="18" spans="2:8" ht="15.75">
      <c r="B18" s="3">
        <f t="shared" ca="1" si="0"/>
        <v>2022</v>
      </c>
      <c r="C18" s="25">
        <f ca="1">ROUND(Total!D18-Total!C18,2)</f>
        <v>3.2</v>
      </c>
      <c r="D18" s="25">
        <f ca="1">ROUND(Total!E18-Total!D18,2)</f>
        <v>-0.28999999999999998</v>
      </c>
      <c r="E18" s="25">
        <f ca="1">ROUND(Total!F18-Total!E18,2)</f>
        <v>-0.26</v>
      </c>
      <c r="F18" s="25">
        <f ca="1">ROUND(Total!G18-Total!F18,2)</f>
        <v>3.22</v>
      </c>
      <c r="G18" s="25">
        <f ca="1">ROUND(Total!H18-Total!G18,2)</f>
        <v>1.41</v>
      </c>
      <c r="H18" s="25">
        <f ca="1">OFFSET(Total!B18,0,COLUMN(Incremental!H18)-2)-Total!C18</f>
        <v>7.2800000000000011</v>
      </c>
    </row>
    <row r="19" spans="2:8" ht="15.75">
      <c r="B19" s="3">
        <f t="shared" ca="1" si="0"/>
        <v>2023</v>
      </c>
      <c r="C19" s="25">
        <f ca="1">ROUND(Total!D19-Total!C19,2)</f>
        <v>3.85</v>
      </c>
      <c r="D19" s="25">
        <f ca="1">ROUND(Total!E19-Total!D19,2)</f>
        <v>-0.41</v>
      </c>
      <c r="E19" s="25">
        <f ca="1">ROUND(Total!F19-Total!E19,2)</f>
        <v>0.05</v>
      </c>
      <c r="F19" s="25">
        <f ca="1">ROUND(Total!G19-Total!F19,2)</f>
        <v>4.5</v>
      </c>
      <c r="G19" s="25">
        <f ca="1">ROUND(Total!H19-Total!G19,2)</f>
        <v>1.73</v>
      </c>
      <c r="H19" s="25">
        <f ca="1">OFFSET(Total!B19,0,COLUMN(Incremental!H19)-2)-Total!C19</f>
        <v>9.7199999999999989</v>
      </c>
    </row>
    <row r="20" spans="2:8" ht="15.75">
      <c r="B20" s="3">
        <f t="shared" ca="1" si="0"/>
        <v>2024</v>
      </c>
      <c r="C20" s="25">
        <f ca="1">ROUND(Total!D20-Total!C20,2)</f>
        <v>-0.17</v>
      </c>
      <c r="D20" s="25">
        <f ca="1">ROUND(Total!E20-Total!D20,2)</f>
        <v>0</v>
      </c>
      <c r="E20" s="25">
        <f ca="1">ROUND(Total!F20-Total!E20,2)</f>
        <v>1.64</v>
      </c>
      <c r="F20" s="25">
        <f ca="1">ROUND(Total!G20-Total!F20,2)</f>
        <v>3.13</v>
      </c>
      <c r="G20" s="25">
        <f ca="1">ROUND(Total!H20-Total!G20,2)</f>
        <v>-0.05</v>
      </c>
      <c r="H20" s="25">
        <f ca="1">OFFSET(Total!B20,0,COLUMN(Incremental!H20)-2)-Total!C20</f>
        <v>4.5500000000000043</v>
      </c>
    </row>
    <row r="21" spans="2:8" ht="15.75">
      <c r="B21" s="3">
        <f t="shared" ca="1" si="0"/>
        <v>2025</v>
      </c>
      <c r="C21" s="25">
        <f ca="1">ROUND(Total!D21-Total!C21,2)</f>
        <v>-0.17</v>
      </c>
      <c r="D21" s="25">
        <f ca="1">ROUND(Total!E21-Total!D21,2)</f>
        <v>-0.46</v>
      </c>
      <c r="E21" s="25">
        <f ca="1">ROUND(Total!F21-Total!E21,2)</f>
        <v>2.25</v>
      </c>
      <c r="F21" s="25">
        <f ca="1">ROUND(Total!G21-Total!F21,2)</f>
        <v>-1.1599999999999999</v>
      </c>
      <c r="G21" s="25">
        <f ca="1">ROUND(Total!H21-Total!G21,2)</f>
        <v>0.28000000000000003</v>
      </c>
      <c r="H21" s="25">
        <f ca="1">OFFSET(Total!B21,0,COLUMN(Incremental!H21)-2)-Total!C21</f>
        <v>0.74000000000000199</v>
      </c>
    </row>
    <row r="22" spans="2:8" ht="15.75">
      <c r="B22" s="3">
        <f t="shared" ca="1" si="0"/>
        <v>2026</v>
      </c>
      <c r="C22" s="25">
        <f ca="1">ROUND(Total!D22-Total!C22,2)</f>
        <v>-0.05</v>
      </c>
      <c r="D22" s="25">
        <f ca="1">ROUND(Total!E22-Total!D22,2)</f>
        <v>-0.11</v>
      </c>
      <c r="E22" s="25">
        <f ca="1">ROUND(Total!F22-Total!E22,2)</f>
        <v>1.46</v>
      </c>
      <c r="F22" s="25">
        <f ca="1">ROUND(Total!G22-Total!F22,2)</f>
        <v>-1.26</v>
      </c>
      <c r="G22" s="25">
        <f ca="1">ROUND(Total!H22-Total!G22,2)</f>
        <v>0.23</v>
      </c>
      <c r="H22" s="25">
        <f ca="1">OFFSET(Total!B22,0,COLUMN(Incremental!H22)-2)-Total!C22</f>
        <v>0.27000000000000313</v>
      </c>
    </row>
    <row r="23" spans="2:8" ht="15.75">
      <c r="B23" s="3">
        <f t="shared" ca="1" si="0"/>
        <v>2027</v>
      </c>
      <c r="C23" s="25">
        <f ca="1">ROUND(Total!D23-Total!C23,2)</f>
        <v>-0.05</v>
      </c>
      <c r="D23" s="25">
        <f ca="1">ROUND(Total!E23-Total!D23,2)</f>
        <v>0.08</v>
      </c>
      <c r="E23" s="25">
        <f ca="1">ROUND(Total!F23-Total!E23,2)</f>
        <v>1.57</v>
      </c>
      <c r="F23" s="25">
        <f ca="1">ROUND(Total!G23-Total!F23,2)</f>
        <v>-2.95</v>
      </c>
      <c r="G23" s="25">
        <f ca="1">ROUND(Total!H23-Total!G23,2)</f>
        <v>0.36</v>
      </c>
      <c r="H23" s="25">
        <f ca="1">OFFSET(Total!B23,0,COLUMN(Incremental!H23)-2)-Total!C23</f>
        <v>-0.98999999999999488</v>
      </c>
    </row>
    <row r="24" spans="2:8" ht="15.75">
      <c r="B24" s="3">
        <f t="shared" ca="1" si="0"/>
        <v>2028</v>
      </c>
      <c r="C24" s="25">
        <f ca="1">ROUND(Total!D24-Total!C24,2)</f>
        <v>-0.22</v>
      </c>
      <c r="D24" s="25">
        <f ca="1">ROUND(Total!E24-Total!D24,2)</f>
        <v>0.01</v>
      </c>
      <c r="E24" s="25">
        <f ca="1">ROUND(Total!F24-Total!E24,2)</f>
        <v>1.67</v>
      </c>
      <c r="F24" s="25">
        <f ca="1">ROUND(Total!G24-Total!F24,2)</f>
        <v>-6.34</v>
      </c>
      <c r="G24" s="25">
        <f ca="1">ROUND(Total!H24-Total!G24,2)</f>
        <v>0.2</v>
      </c>
      <c r="H24" s="25">
        <f ca="1">OFFSET(Total!B24,0,COLUMN(Incremental!H24)-2)-Total!C24</f>
        <v>-4.6800000000000068</v>
      </c>
    </row>
    <row r="25" spans="2:8" ht="15.75">
      <c r="B25" s="3">
        <f t="shared" ca="1" si="0"/>
        <v>2029</v>
      </c>
      <c r="C25" s="25">
        <f ca="1">ROUND(Total!D25-Total!C25,2)</f>
        <v>-0.09</v>
      </c>
      <c r="D25" s="25">
        <f ca="1">ROUND(Total!E25-Total!D25,2)</f>
        <v>-0.09</v>
      </c>
      <c r="E25" s="25">
        <f ca="1">ROUND(Total!F25-Total!E25,2)</f>
        <v>0.79</v>
      </c>
      <c r="F25" s="25">
        <f ca="1">ROUND(Total!G25-Total!F25,2)</f>
        <v>-6.23</v>
      </c>
      <c r="G25" s="25">
        <f ca="1">ROUND(Total!H25-Total!G25,2)</f>
        <v>0.44</v>
      </c>
      <c r="H25" s="25">
        <f ca="1">OFFSET(Total!B25,0,COLUMN(Incremental!H25)-2)-Total!C25</f>
        <v>-5.1799999999999926</v>
      </c>
    </row>
    <row r="26" spans="2:8" ht="15.75">
      <c r="B26" s="3">
        <f t="shared" ca="1" si="0"/>
        <v>2030</v>
      </c>
      <c r="C26" s="25">
        <f ca="1">ROUND(Total!D26-Total!C26,2)</f>
        <v>-0.53</v>
      </c>
      <c r="D26" s="25">
        <f ca="1">ROUND(Total!E26-Total!D26,2)</f>
        <v>-0.11</v>
      </c>
      <c r="E26" s="25">
        <f ca="1">ROUND(Total!F26-Total!E26,2)</f>
        <v>0.89</v>
      </c>
      <c r="F26" s="25">
        <f ca="1">ROUND(Total!G26-Total!F26,2)</f>
        <v>-6.27</v>
      </c>
      <c r="G26" s="25">
        <f ca="1">ROUND(Total!H26-Total!G26,2)</f>
        <v>0.7</v>
      </c>
      <c r="H26" s="25">
        <f ca="1">OFFSET(Total!B26,0,COLUMN(Incremental!H26)-2)-Total!C26</f>
        <v>-5.3200000000000074</v>
      </c>
    </row>
    <row r="27" spans="2:8" ht="15.75">
      <c r="B27" s="3">
        <f t="shared" ca="1" si="0"/>
        <v>2031</v>
      </c>
      <c r="C27" s="25">
        <f ca="1">ROUND(Total!D27-Total!C27,2)</f>
        <v>-0.54</v>
      </c>
      <c r="D27" s="25">
        <f ca="1">ROUND(Total!E27-Total!D27,2)</f>
        <v>0.03</v>
      </c>
      <c r="E27" s="25">
        <f ca="1">ROUND(Total!F27-Total!E27,2)</f>
        <v>1.66</v>
      </c>
      <c r="F27" s="25">
        <f ca="1">ROUND(Total!G27-Total!F27,2)</f>
        <v>-6.74</v>
      </c>
      <c r="G27" s="25">
        <f ca="1">ROUND(Total!H27-Total!G27,2)</f>
        <v>0.28999999999999998</v>
      </c>
      <c r="H27" s="25">
        <f ca="1">OFFSET(Total!B27,0,COLUMN(Incremental!H27)-2)-Total!C27</f>
        <v>-5.2999999999999972</v>
      </c>
    </row>
    <row r="28" spans="2:8" ht="15.75">
      <c r="B28" s="3">
        <f t="shared" ca="1" si="0"/>
        <v>2032</v>
      </c>
      <c r="C28" s="25">
        <f ca="1">ROUND(Total!D28-Total!C28,2)</f>
        <v>-0.42</v>
      </c>
      <c r="D28" s="25">
        <f ca="1">ROUND(Total!E28-Total!D28,2)</f>
        <v>-0.17</v>
      </c>
      <c r="E28" s="25">
        <f ca="1">ROUND(Total!F28-Total!E28,2)</f>
        <v>1.69</v>
      </c>
      <c r="F28" s="25">
        <f ca="1">ROUND(Total!G28-Total!F28,2)</f>
        <v>-6.78</v>
      </c>
      <c r="G28" s="25">
        <f ca="1">ROUND(Total!H28-Total!G28,2)</f>
        <v>0.19</v>
      </c>
      <c r="H28" s="25">
        <f ca="1">OFFSET(Total!B28,0,COLUMN(Incremental!H28)-2)-Total!C28</f>
        <v>-5.4899999999999949</v>
      </c>
    </row>
    <row r="29" spans="2:8" ht="15.75">
      <c r="B29" s="3">
        <f t="shared" ca="1" si="0"/>
        <v>2033</v>
      </c>
      <c r="C29" s="25">
        <f ca="1">ROUND(Total!D29-Total!C29,2)</f>
        <v>-0.43</v>
      </c>
      <c r="D29" s="25">
        <f ca="1">ROUND(Total!E29-Total!D29,2)</f>
        <v>-0.12</v>
      </c>
      <c r="E29" s="25">
        <f ca="1">ROUND(Total!F29-Total!E29,2)</f>
        <v>1.92</v>
      </c>
      <c r="F29" s="25">
        <f ca="1">ROUND(Total!G29-Total!F29,2)</f>
        <v>-6.93</v>
      </c>
      <c r="G29" s="25">
        <f ca="1">ROUND(Total!H29-Total!G29,2)</f>
        <v>0.22</v>
      </c>
      <c r="H29" s="25">
        <f ca="1">OFFSET(Total!B29,0,COLUMN(Incremental!H29)-2)-Total!C29</f>
        <v>-5.3400000000000034</v>
      </c>
    </row>
    <row r="30" spans="2:8">
      <c r="C30" s="23"/>
      <c r="D30" s="23"/>
      <c r="E30" s="23"/>
      <c r="F30" s="23"/>
      <c r="G30" s="23"/>
      <c r="H30" s="23"/>
    </row>
    <row r="31" spans="2:8">
      <c r="B31" s="18" t="str">
        <f ca="1">Total!B31</f>
        <v>Nominal Levelized Payment at 6.882% Discount Rate (3)</v>
      </c>
      <c r="C31" s="26"/>
      <c r="D31" s="26"/>
      <c r="E31" s="26"/>
      <c r="F31" s="26"/>
      <c r="G31" s="26"/>
      <c r="H31" s="25"/>
    </row>
    <row r="32" spans="2:8">
      <c r="B32" s="12" t="str">
        <f ca="1">B10&amp;" - "&amp;B29</f>
        <v>2014 - 2033</v>
      </c>
      <c r="C32" s="24">
        <f ca="1">ROUND(Total!D32-Total!C32,2)</f>
        <v>1.03</v>
      </c>
      <c r="D32" s="24">
        <f ca="1">ROUND(Total!E32-Total!D32,2)</f>
        <v>-0.48</v>
      </c>
      <c r="E32" s="24">
        <f ca="1">ROUND(Total!F32-Total!E32,2)</f>
        <v>0.23</v>
      </c>
      <c r="F32" s="24">
        <f ca="1">ROUND(Total!G32-Total!F32,2)</f>
        <v>0.52</v>
      </c>
      <c r="G32" s="24">
        <f ca="1">ROUND(Total!H32-Total!G32,2)</f>
        <v>0.69</v>
      </c>
      <c r="H32" s="24">
        <f ca="1">OFFSET(Total!B32,0,COLUMN(Incremental!H32)-2)-Total!C32</f>
        <v>1.9899999999999949</v>
      </c>
    </row>
    <row r="33" spans="2:8">
      <c r="H33" s="21"/>
    </row>
    <row r="34" spans="2:8">
      <c r="B34" s="1" t="str">
        <f ca="1">Total!B34</f>
        <v>(1)   Studies are sequential.  The order of the studies would effect the price impact.</v>
      </c>
    </row>
    <row r="35" spans="2:8">
      <c r="B35" s="1" t="str">
        <f ca="1">Total!B35</f>
        <v>(2)   Official Forward Price Curve Dated March 2013</v>
      </c>
    </row>
    <row r="36" spans="2:8">
      <c r="B36" s="1" t="str">
        <f ca="1">Total!B36</f>
        <v>(3)   Discount Rate - 2013 IRP Page 164</v>
      </c>
      <c r="C36" s="12"/>
    </row>
    <row r="37" spans="2:8">
      <c r="B37" s="1" t="str">
        <f ca="1">Total!B37</f>
        <v xml:space="preserve">(4)   Capacity costs are allocated assuming an 85% capacity factor. </v>
      </c>
    </row>
    <row r="40" spans="2:8" hidden="1">
      <c r="B40" s="27" t="s">
        <v>21</v>
      </c>
    </row>
    <row r="41" spans="2:8" hidden="1">
      <c r="B41" s="52">
        <f ca="1">Discount_Rate</f>
        <v>6.8820000000000006E-2</v>
      </c>
    </row>
  </sheetData>
  <phoneticPr fontId="2" type="noConversion"/>
  <printOptions horizontalCentered="1"/>
  <pageMargins left="0.25" right="0.25" top="0.75" bottom="0.75" header="0.3" footer="0.2"/>
  <pageSetup scale="93" orientation="landscape" r:id="rId1"/>
  <headerFooter alignWithMargins="0">
    <oddFooter>&amp;L&amp;8NPC Group - &amp;F   ( &amp;A )&amp;C&amp;8Page &amp;P of &amp;N&amp;R&amp;8&amp;D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2"/>
    <pageSetUpPr fitToPage="1"/>
  </sheetPr>
  <dimension ref="B1:O44"/>
  <sheetViews>
    <sheetView tabSelected="1" zoomScale="70" zoomScaleNormal="70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5"/>
  <cols>
    <col min="1" max="1" width="1.85546875" style="1" customWidth="1"/>
    <col min="2" max="2" width="14.42578125" style="1" customWidth="1"/>
    <col min="3" max="8" width="18.85546875" style="1" customWidth="1"/>
    <col min="9" max="9" width="2.42578125" style="1" customWidth="1"/>
    <col min="10" max="10" width="16.28515625" style="1" customWidth="1"/>
    <col min="11" max="13" width="9.140625" style="1"/>
    <col min="14" max="14" width="10.28515625" style="1" customWidth="1"/>
    <col min="15" max="16384" width="9.140625" style="1"/>
  </cols>
  <sheetData>
    <row r="1" spans="2:15" ht="15.75">
      <c r="B1" s="7" t="s">
        <v>4</v>
      </c>
      <c r="C1" s="7"/>
      <c r="D1" s="7"/>
      <c r="E1" s="7"/>
      <c r="F1" s="7"/>
      <c r="G1" s="7"/>
      <c r="H1" s="7"/>
    </row>
    <row r="2" spans="2:15" ht="8.25" customHeight="1">
      <c r="B2" s="7"/>
      <c r="C2" s="7"/>
      <c r="D2" s="7"/>
      <c r="E2" s="7"/>
      <c r="F2" s="7"/>
      <c r="G2" s="7"/>
      <c r="H2" s="7"/>
    </row>
    <row r="3" spans="2:15" ht="15.75">
      <c r="B3" s="7" t="s">
        <v>1</v>
      </c>
      <c r="C3" s="7"/>
      <c r="D3" s="7"/>
      <c r="E3" s="7"/>
      <c r="F3" s="7"/>
      <c r="G3" s="7"/>
      <c r="H3" s="7"/>
    </row>
    <row r="4" spans="2:15" ht="15.75">
      <c r="B4" s="7" t="str">
        <f ca="1">Capacity!$B$4</f>
        <v>Step Study between 2013.Q2 and 2013.Q1 Compliance Filing</v>
      </c>
      <c r="C4" s="7"/>
      <c r="D4" s="7"/>
      <c r="E4" s="7"/>
      <c r="F4" s="7"/>
      <c r="G4" s="7"/>
      <c r="H4" s="7"/>
    </row>
    <row r="5" spans="2:15" ht="15.75">
      <c r="B5" s="7" t="s">
        <v>15</v>
      </c>
      <c r="C5" s="7"/>
      <c r="D5" s="7"/>
      <c r="E5" s="7"/>
      <c r="F5" s="7"/>
      <c r="G5" s="7"/>
      <c r="H5" s="7"/>
    </row>
    <row r="6" spans="2:15" s="32" customFormat="1" ht="15.75">
      <c r="B6" s="30"/>
      <c r="C6" s="30"/>
      <c r="D6" s="31"/>
      <c r="E6" s="31"/>
      <c r="F6" s="30"/>
      <c r="G6" s="31"/>
      <c r="H6" s="31"/>
    </row>
    <row r="7" spans="2:15" ht="15.75">
      <c r="B7" s="28"/>
      <c r="C7" s="29" t="str">
        <f ca="1">Energy!C7</f>
        <v>2013.Q1</v>
      </c>
      <c r="D7" s="29" t="str">
        <f ca="1">Energy!D7</f>
        <v>Load Forecast</v>
      </c>
      <c r="E7" s="29" t="str">
        <f ca="1">Energy!E7</f>
        <v>Official Forward</v>
      </c>
      <c r="F7" s="29" t="str">
        <f ca="1">Energy!F7</f>
        <v>2013 IRP</v>
      </c>
      <c r="G7" s="29" t="str">
        <f ca="1">Energy!G7</f>
        <v>QF</v>
      </c>
      <c r="H7" s="29" t="str">
        <f ca="1">Energy!H7</f>
        <v>Other</v>
      </c>
    </row>
    <row r="8" spans="2:15" ht="15.75">
      <c r="B8" s="9" t="s">
        <v>0</v>
      </c>
      <c r="C8" s="2" t="s">
        <v>9</v>
      </c>
      <c r="D8" s="2" t="str">
        <f ca="1">Energy!D8</f>
        <v>June 2013</v>
      </c>
      <c r="E8" s="2" t="str">
        <f ca="1">Energy!E8</f>
        <v>Price Curve (2)</v>
      </c>
      <c r="F8" s="2" t="str">
        <f ca="1">Energy!F8</f>
        <v>Resources</v>
      </c>
      <c r="G8" s="2" t="str">
        <f ca="1">Energy!G8</f>
        <v>Queue</v>
      </c>
      <c r="H8" s="2" t="str">
        <f ca="1">Energy!H8</f>
        <v>Changes</v>
      </c>
    </row>
    <row r="9" spans="2:15" ht="4.5" customHeight="1"/>
    <row r="10" spans="2:15" ht="15.75">
      <c r="B10" s="3">
        <v>2014</v>
      </c>
      <c r="C10" s="22">
        <f ca="1">ROUND(Capacity!$F10+Energy!C10,2)</f>
        <v>29.31</v>
      </c>
      <c r="D10" s="22">
        <f ca="1">ROUND(Capacity!$F10+Energy!D10,2)</f>
        <v>29.05</v>
      </c>
      <c r="E10" s="22">
        <f ca="1">ROUND(Capacity!$F10+Energy!E10,2)</f>
        <v>30.13</v>
      </c>
      <c r="F10" s="22">
        <f ca="1">ROUND(Capacity!$G10+Energy!F10,2)</f>
        <v>29.89</v>
      </c>
      <c r="G10" s="22">
        <f ca="1">ROUND(Capacity!$G10+Energy!G10,2)</f>
        <v>31.67</v>
      </c>
      <c r="H10" s="22">
        <f ca="1">ROUND(Capacity!$G10+Energy!H10,2)</f>
        <v>32.56</v>
      </c>
    </row>
    <row r="11" spans="2:15" ht="15.75">
      <c r="B11" s="3">
        <f t="shared" ref="B11:B29" si="0">B10+1</f>
        <v>2015</v>
      </c>
      <c r="C11" s="22">
        <f ca="1">ROUND(Capacity!$F11+Energy!C11,2)</f>
        <v>29.36</v>
      </c>
      <c r="D11" s="22">
        <f ca="1">ROUND(Capacity!$F11+Energy!D11,2)</f>
        <v>29.94</v>
      </c>
      <c r="E11" s="22">
        <f ca="1">ROUND(Capacity!$F11+Energy!E11,2)</f>
        <v>29.59</v>
      </c>
      <c r="F11" s="22">
        <f ca="1">ROUND(Capacity!$G11+Energy!F11,2)</f>
        <v>29.81</v>
      </c>
      <c r="G11" s="22">
        <f ca="1">ROUND(Capacity!$G11+Energy!G11,2)</f>
        <v>31.76</v>
      </c>
      <c r="H11" s="22">
        <f ca="1">ROUND(Capacity!$G11+Energy!H11,2)</f>
        <v>33</v>
      </c>
    </row>
    <row r="12" spans="2:15" ht="15.75">
      <c r="B12" s="3">
        <f t="shared" si="0"/>
        <v>2016</v>
      </c>
      <c r="C12" s="22">
        <f ca="1">ROUND(Capacity!$F12+Energy!C12,2)</f>
        <v>30.49</v>
      </c>
      <c r="D12" s="22">
        <f ca="1">ROUND(Capacity!$F12+Energy!D12,2)</f>
        <v>31.76</v>
      </c>
      <c r="E12" s="22">
        <f ca="1">ROUND(Capacity!$F12+Energy!E12,2)</f>
        <v>31.15</v>
      </c>
      <c r="F12" s="22">
        <f ca="1">ROUND(Capacity!$G12+Energy!F12,2)</f>
        <v>30.65</v>
      </c>
      <c r="G12" s="22">
        <f ca="1">ROUND(Capacity!$G12+Energy!G12,2)</f>
        <v>32.799999999999997</v>
      </c>
      <c r="H12" s="22">
        <f ca="1">ROUND(Capacity!$G12+Energy!H12,2)</f>
        <v>33.83</v>
      </c>
    </row>
    <row r="13" spans="2:15" ht="15.75">
      <c r="B13" s="3">
        <f t="shared" si="0"/>
        <v>2017</v>
      </c>
      <c r="C13" s="22">
        <f ca="1">ROUND(Capacity!$F13+Energy!C13,2)</f>
        <v>32.53</v>
      </c>
      <c r="D13" s="22">
        <f ca="1">ROUND(Capacity!$F13+Energy!D13,2)</f>
        <v>33.51</v>
      </c>
      <c r="E13" s="22">
        <f ca="1">ROUND(Capacity!$F13+Energy!E13,2)</f>
        <v>32.78</v>
      </c>
      <c r="F13" s="22">
        <f ca="1">ROUND(Capacity!$G13+Energy!F13,2)</f>
        <v>32.54</v>
      </c>
      <c r="G13" s="22">
        <f ca="1">ROUND(Capacity!$G13+Energy!G13,2)</f>
        <v>34.28</v>
      </c>
      <c r="H13" s="22">
        <f ca="1">ROUND(Capacity!$G13+Energy!H13,2)</f>
        <v>34.450000000000003</v>
      </c>
      <c r="O13" s="6"/>
    </row>
    <row r="14" spans="2:15" ht="15.75">
      <c r="B14" s="3">
        <f t="shared" si="0"/>
        <v>2018</v>
      </c>
      <c r="C14" s="22">
        <f ca="1">ROUND(Capacity!$F14+Energy!C14,2)</f>
        <v>35.090000000000003</v>
      </c>
      <c r="D14" s="22">
        <f ca="1">ROUND(Capacity!$F14+Energy!D14,2)</f>
        <v>36.92</v>
      </c>
      <c r="E14" s="22">
        <f ca="1">ROUND(Capacity!$F14+Energy!E14,2)</f>
        <v>34.97</v>
      </c>
      <c r="F14" s="22">
        <f ca="1">ROUND(Capacity!$G14+Energy!F14,2)</f>
        <v>34.07</v>
      </c>
      <c r="G14" s="22">
        <f ca="1">ROUND(Capacity!$G14+Energy!G14,2)</f>
        <v>35.35</v>
      </c>
      <c r="H14" s="22">
        <f ca="1">ROUND(Capacity!$G14+Energy!H14,2)</f>
        <v>36.270000000000003</v>
      </c>
    </row>
    <row r="15" spans="2:15" ht="15.75">
      <c r="B15" s="3">
        <f t="shared" si="0"/>
        <v>2019</v>
      </c>
      <c r="C15" s="22">
        <f ca="1">ROUND(Capacity!$F15+Energy!C15,2)</f>
        <v>35.54</v>
      </c>
      <c r="D15" s="22">
        <f ca="1">ROUND(Capacity!$F15+Energy!D15,2)</f>
        <v>37.51</v>
      </c>
      <c r="E15" s="22">
        <f ca="1">ROUND(Capacity!$F15+Energy!E15,2)</f>
        <v>36.159999999999997</v>
      </c>
      <c r="F15" s="22">
        <f ca="1">ROUND(Capacity!$G15+Energy!F15,2)</f>
        <v>35.06</v>
      </c>
      <c r="G15" s="22">
        <f ca="1">ROUND(Capacity!$G15+Energy!G15,2)</f>
        <v>37.909999999999997</v>
      </c>
      <c r="H15" s="22">
        <f ca="1">ROUND(Capacity!$G15+Energy!H15,2)</f>
        <v>38.47</v>
      </c>
    </row>
    <row r="16" spans="2:15" ht="15.75">
      <c r="B16" s="3">
        <f t="shared" si="0"/>
        <v>2020</v>
      </c>
      <c r="C16" s="22">
        <f ca="1">ROUND(Capacity!$F16+Energy!C16,2)</f>
        <v>38.29</v>
      </c>
      <c r="D16" s="22">
        <f ca="1">ROUND(Capacity!$F16+Energy!D16,2)</f>
        <v>41.04</v>
      </c>
      <c r="E16" s="22">
        <f ca="1">ROUND(Capacity!$F16+Energy!E16,2)</f>
        <v>39.1</v>
      </c>
      <c r="F16" s="22">
        <f ca="1">ROUND(Capacity!$G16+Energy!F16,2)</f>
        <v>37.6</v>
      </c>
      <c r="G16" s="22">
        <f ca="1">ROUND(Capacity!$G16+Energy!G16,2)</f>
        <v>43.21</v>
      </c>
      <c r="H16" s="22">
        <f ca="1">ROUND(Capacity!$G16+Energy!H16,2)</f>
        <v>44.11</v>
      </c>
    </row>
    <row r="17" spans="2:10" ht="15.75">
      <c r="B17" s="3">
        <f t="shared" si="0"/>
        <v>2021</v>
      </c>
      <c r="C17" s="22">
        <f ca="1">ROUND(Capacity!$F17+Energy!C17,2)</f>
        <v>42.86</v>
      </c>
      <c r="D17" s="22">
        <f ca="1">ROUND(Capacity!$F17+Energy!D17,2)</f>
        <v>45.85</v>
      </c>
      <c r="E17" s="22">
        <f ca="1">ROUND(Capacity!$F17+Energy!E17,2)</f>
        <v>44.92</v>
      </c>
      <c r="F17" s="22">
        <f ca="1">ROUND(Capacity!$G17+Energy!F17,2)</f>
        <v>44.63</v>
      </c>
      <c r="G17" s="22">
        <f ca="1">ROUND(Capacity!$G17+Energy!G17,2)</f>
        <v>47.4</v>
      </c>
      <c r="H17" s="22">
        <f ca="1">ROUND(Capacity!$G17+Energy!H17,2)</f>
        <v>48.42</v>
      </c>
    </row>
    <row r="18" spans="2:10" ht="15.75">
      <c r="B18" s="3">
        <f t="shared" si="0"/>
        <v>2022</v>
      </c>
      <c r="C18" s="22">
        <f ca="1">ROUND(Capacity!$F18+Energy!C18,2)</f>
        <v>48.4</v>
      </c>
      <c r="D18" s="22">
        <f ca="1">ROUND(Capacity!$F18+Energy!D18,2)</f>
        <v>51.6</v>
      </c>
      <c r="E18" s="22">
        <f ca="1">ROUND(Capacity!$F18+Energy!E18,2)</f>
        <v>51.31</v>
      </c>
      <c r="F18" s="22">
        <f ca="1">ROUND(Capacity!$G18+Energy!F18,2)</f>
        <v>51.05</v>
      </c>
      <c r="G18" s="22">
        <f ca="1">ROUND(Capacity!$G18+Energy!G18,2)</f>
        <v>54.27</v>
      </c>
      <c r="H18" s="22">
        <f ca="1">ROUND(Capacity!$G18+Energy!H18,2)</f>
        <v>55.68</v>
      </c>
    </row>
    <row r="19" spans="2:10" ht="15.75">
      <c r="B19" s="3">
        <f t="shared" si="0"/>
        <v>2023</v>
      </c>
      <c r="C19" s="22">
        <f ca="1">ROUND(Capacity!$F19+Energy!C19,2)</f>
        <v>52.57</v>
      </c>
      <c r="D19" s="22">
        <f ca="1">ROUND(Capacity!$F19+Energy!D19,2)</f>
        <v>56.42</v>
      </c>
      <c r="E19" s="22">
        <f ca="1">ROUND(Capacity!$F19+Energy!E19,2)</f>
        <v>56.01</v>
      </c>
      <c r="F19" s="22">
        <f ca="1">ROUND(Capacity!$G19+Energy!F19,2)</f>
        <v>56.06</v>
      </c>
      <c r="G19" s="22">
        <f ca="1">ROUND(Capacity!$G19+Energy!G19,2)</f>
        <v>60.56</v>
      </c>
      <c r="H19" s="22">
        <f ca="1">ROUND(Capacity!$G19+Energy!H19,2)</f>
        <v>62.29</v>
      </c>
    </row>
    <row r="20" spans="2:10" ht="15.75">
      <c r="B20" s="3">
        <f t="shared" si="0"/>
        <v>2024</v>
      </c>
      <c r="C20" s="22">
        <f ca="1">ROUND(Capacity!$F20+Energy!C20,2)</f>
        <v>55.04</v>
      </c>
      <c r="D20" s="22">
        <f ca="1">ROUND(Capacity!$F20+Energy!D20,2)</f>
        <v>54.87</v>
      </c>
      <c r="E20" s="22">
        <f ca="1">ROUND(Capacity!$F20+Energy!E20,2)</f>
        <v>54.87</v>
      </c>
      <c r="F20" s="22">
        <f ca="1">ROUND(Capacity!$G20+Energy!F20,2)</f>
        <v>56.51</v>
      </c>
      <c r="G20" s="22">
        <f ca="1">ROUND(Capacity!$G20+Energy!G20,2)</f>
        <v>59.64</v>
      </c>
      <c r="H20" s="22">
        <f ca="1">ROUND(Capacity!$G20+Energy!H20,2)</f>
        <v>59.59</v>
      </c>
    </row>
    <row r="21" spans="2:10" ht="15.75">
      <c r="B21" s="3">
        <f t="shared" si="0"/>
        <v>2025</v>
      </c>
      <c r="C21" s="22">
        <f ca="1">ROUND(Capacity!$F21+Energy!C21,2)</f>
        <v>59.33</v>
      </c>
      <c r="D21" s="22">
        <f ca="1">ROUND(Capacity!$F21+Energy!D21,2)</f>
        <v>59.16</v>
      </c>
      <c r="E21" s="22">
        <f ca="1">ROUND(Capacity!$F21+Energy!E21,2)</f>
        <v>58.7</v>
      </c>
      <c r="F21" s="22">
        <f ca="1">ROUND(Capacity!$G21+Energy!F21,2)</f>
        <v>60.95</v>
      </c>
      <c r="G21" s="22">
        <f ca="1">ROUND(Capacity!$G21+Energy!G21,2)</f>
        <v>59.79</v>
      </c>
      <c r="H21" s="22">
        <f ca="1">ROUND(Capacity!$G21+Energy!H21,2)</f>
        <v>60.07</v>
      </c>
    </row>
    <row r="22" spans="2:10" ht="15.75">
      <c r="B22" s="3">
        <f t="shared" si="0"/>
        <v>2026</v>
      </c>
      <c r="C22" s="22">
        <f ca="1">ROUND(Capacity!$F22+Energy!C22,2)</f>
        <v>61.5</v>
      </c>
      <c r="D22" s="22">
        <f ca="1">ROUND(Capacity!$F22+Energy!D22,2)</f>
        <v>61.45</v>
      </c>
      <c r="E22" s="22">
        <f ca="1">ROUND(Capacity!$F22+Energy!E22,2)</f>
        <v>61.34</v>
      </c>
      <c r="F22" s="22">
        <f ca="1">ROUND(Capacity!$G22+Energy!F22,2)</f>
        <v>62.8</v>
      </c>
      <c r="G22" s="22">
        <f ca="1">ROUND(Capacity!$G22+Energy!G22,2)</f>
        <v>61.54</v>
      </c>
      <c r="H22" s="22">
        <f ca="1">ROUND(Capacity!$G22+Energy!H22,2)</f>
        <v>61.77</v>
      </c>
    </row>
    <row r="23" spans="2:10" ht="15.75">
      <c r="B23" s="3">
        <f t="shared" si="0"/>
        <v>2027</v>
      </c>
      <c r="C23" s="22">
        <f ca="1">ROUND(Capacity!$F23+Energy!C23,2)</f>
        <v>63.23</v>
      </c>
      <c r="D23" s="22">
        <f ca="1">ROUND(Capacity!$F23+Energy!D23,2)</f>
        <v>63.18</v>
      </c>
      <c r="E23" s="22">
        <f ca="1">ROUND(Capacity!$F23+Energy!E23,2)</f>
        <v>63.26</v>
      </c>
      <c r="F23" s="22">
        <f ca="1">ROUND(Capacity!$G23+Energy!F23,2)</f>
        <v>64.83</v>
      </c>
      <c r="G23" s="22">
        <f ca="1">ROUND(Capacity!$G23+Energy!G23,2)</f>
        <v>61.88</v>
      </c>
      <c r="H23" s="22">
        <f ca="1">ROUND(Capacity!$G23+Energy!H23,2)</f>
        <v>62.24</v>
      </c>
    </row>
    <row r="24" spans="2:10" ht="15.75">
      <c r="B24" s="3">
        <f t="shared" si="0"/>
        <v>2028</v>
      </c>
      <c r="C24" s="22">
        <f ca="1">ROUND(Capacity!$F24+Energy!C24,2)</f>
        <v>69.510000000000005</v>
      </c>
      <c r="D24" s="22">
        <f ca="1">ROUND(Capacity!$F24+Energy!D24,2)</f>
        <v>69.290000000000006</v>
      </c>
      <c r="E24" s="22">
        <f ca="1">ROUND(Capacity!$F24+Energy!E24,2)</f>
        <v>69.3</v>
      </c>
      <c r="F24" s="22">
        <f ca="1">ROUND(Capacity!$G24+Energy!F24,2)</f>
        <v>70.97</v>
      </c>
      <c r="G24" s="22">
        <f ca="1">ROUND(Capacity!$G24+Energy!G24,2)</f>
        <v>64.63</v>
      </c>
      <c r="H24" s="22">
        <f ca="1">ROUND(Capacity!$G24+Energy!H24,2)</f>
        <v>64.83</v>
      </c>
    </row>
    <row r="25" spans="2:10" ht="15.75">
      <c r="B25" s="3">
        <f t="shared" si="0"/>
        <v>2029</v>
      </c>
      <c r="C25" s="22">
        <f ca="1">ROUND(Capacity!$F25+Energy!C25,2)</f>
        <v>71.8</v>
      </c>
      <c r="D25" s="22">
        <f ca="1">ROUND(Capacity!$F25+Energy!D25,2)</f>
        <v>71.709999999999994</v>
      </c>
      <c r="E25" s="22">
        <f ca="1">ROUND(Capacity!$F25+Energy!E25,2)</f>
        <v>71.62</v>
      </c>
      <c r="F25" s="22">
        <f ca="1">ROUND(Capacity!$G25+Energy!F25,2)</f>
        <v>72.41</v>
      </c>
      <c r="G25" s="22">
        <f ca="1">ROUND(Capacity!$G25+Energy!G25,2)</f>
        <v>66.180000000000007</v>
      </c>
      <c r="H25" s="22">
        <f ca="1">ROUND(Capacity!$G25+Energy!H25,2)</f>
        <v>66.62</v>
      </c>
    </row>
    <row r="26" spans="2:10" ht="15.75">
      <c r="B26" s="3">
        <f t="shared" si="0"/>
        <v>2030</v>
      </c>
      <c r="C26" s="22">
        <f ca="1">ROUND(Capacity!$F26+Energy!C26,2)</f>
        <v>72.510000000000005</v>
      </c>
      <c r="D26" s="22">
        <f ca="1">ROUND(Capacity!$F26+Energy!D26,2)</f>
        <v>71.98</v>
      </c>
      <c r="E26" s="22">
        <f ca="1">ROUND(Capacity!$F26+Energy!E26,2)</f>
        <v>71.87</v>
      </c>
      <c r="F26" s="22">
        <f ca="1">ROUND(Capacity!$G26+Energy!F26,2)</f>
        <v>72.760000000000005</v>
      </c>
      <c r="G26" s="22">
        <f ca="1">ROUND(Capacity!$G26+Energy!G26,2)</f>
        <v>66.489999999999995</v>
      </c>
      <c r="H26" s="22">
        <f ca="1">ROUND(Capacity!$G26+Energy!H26,2)</f>
        <v>67.19</v>
      </c>
    </row>
    <row r="27" spans="2:10" ht="15.75">
      <c r="B27" s="3">
        <f t="shared" si="0"/>
        <v>2031</v>
      </c>
      <c r="C27" s="22">
        <f ca="1">ROUND(Capacity!$F27+Energy!C27,2)</f>
        <v>73.36</v>
      </c>
      <c r="D27" s="22">
        <f ca="1">ROUND(Capacity!$F27+Energy!D27,2)</f>
        <v>72.819999999999993</v>
      </c>
      <c r="E27" s="22">
        <f ca="1">ROUND(Capacity!$F27+Energy!E27,2)</f>
        <v>72.849999999999994</v>
      </c>
      <c r="F27" s="22">
        <f ca="1">ROUND(Capacity!$G27+Energy!F27,2)</f>
        <v>74.510000000000005</v>
      </c>
      <c r="G27" s="22">
        <f ca="1">ROUND(Capacity!$G27+Energy!G27,2)</f>
        <v>67.77</v>
      </c>
      <c r="H27" s="22">
        <f ca="1">ROUND(Capacity!$G27+Energy!H27,2)</f>
        <v>68.06</v>
      </c>
    </row>
    <row r="28" spans="2:10" ht="15.75">
      <c r="B28" s="3">
        <f t="shared" si="0"/>
        <v>2032</v>
      </c>
      <c r="C28" s="22">
        <f ca="1">ROUND(Capacity!$F28+Energy!C28,2)</f>
        <v>74.77</v>
      </c>
      <c r="D28" s="22">
        <f ca="1">ROUND(Capacity!$F28+Energy!D28,2)</f>
        <v>74.349999999999994</v>
      </c>
      <c r="E28" s="22">
        <f ca="1">ROUND(Capacity!$F28+Energy!E28,2)</f>
        <v>74.180000000000007</v>
      </c>
      <c r="F28" s="22">
        <f ca="1">ROUND(Capacity!$G28+Energy!F28,2)</f>
        <v>75.87</v>
      </c>
      <c r="G28" s="22">
        <f ca="1">ROUND(Capacity!$G28+Energy!G28,2)</f>
        <v>69.09</v>
      </c>
      <c r="H28" s="22">
        <f ca="1">ROUND(Capacity!$G28+Energy!H28,2)</f>
        <v>69.28</v>
      </c>
    </row>
    <row r="29" spans="2:10" ht="15.75">
      <c r="B29" s="3">
        <f t="shared" si="0"/>
        <v>2033</v>
      </c>
      <c r="C29" s="22">
        <f ca="1">ROUND(Capacity!$F29+Energy!C29,2)</f>
        <v>76.010000000000005</v>
      </c>
      <c r="D29" s="22">
        <f ca="1">ROUND(Capacity!$F29+Energy!D29,2)</f>
        <v>75.58</v>
      </c>
      <c r="E29" s="22">
        <f ca="1">ROUND(Capacity!$F29+Energy!E29,2)</f>
        <v>75.459999999999994</v>
      </c>
      <c r="F29" s="22">
        <f ca="1">ROUND(Capacity!$G29+Energy!F29,2)</f>
        <v>77.38</v>
      </c>
      <c r="G29" s="22">
        <f ca="1">ROUND(Capacity!$G29+Energy!G29,2)</f>
        <v>70.45</v>
      </c>
      <c r="H29" s="22">
        <f ca="1">ROUND(Capacity!$G29+Energy!H29,2)</f>
        <v>70.67</v>
      </c>
    </row>
    <row r="30" spans="2:10">
      <c r="C30" s="23"/>
      <c r="D30" s="23"/>
      <c r="E30" s="23"/>
      <c r="F30" s="23"/>
      <c r="G30" s="23"/>
      <c r="H30" s="23"/>
      <c r="J30" s="1" t="s">
        <v>29</v>
      </c>
    </row>
    <row r="31" spans="2:10">
      <c r="B31" s="4" t="str">
        <f ca="1">"Nominal Levelized Payment at "&amp;TEXT(Discount_Rate,"0.000%")&amp;" Discount Rate (3)"</f>
        <v>Nominal Levelized Payment at 6.882% Discount Rate (3)</v>
      </c>
      <c r="C31" s="23"/>
      <c r="D31" s="23"/>
      <c r="E31" s="23"/>
      <c r="F31" s="23"/>
      <c r="G31" s="23"/>
      <c r="H31" s="23"/>
      <c r="J31" s="1" t="s">
        <v>30</v>
      </c>
    </row>
    <row r="32" spans="2:10">
      <c r="B32" s="12" t="str">
        <f>B10&amp;" - "&amp;B29</f>
        <v>2014 - 2033</v>
      </c>
      <c r="C32" s="24">
        <f t="shared" ref="C32:G32" ca="1" si="1">ROUND(PMT(Discount_Rate,COUNT(C10:C29),-NPV(Discount_Rate,C10:C29)),2)</f>
        <v>46.38</v>
      </c>
      <c r="D32" s="24">
        <f t="shared" ca="1" si="1"/>
        <v>47.41</v>
      </c>
      <c r="E32" s="24">
        <f t="shared" ca="1" si="1"/>
        <v>46.93</v>
      </c>
      <c r="F32" s="24">
        <f t="shared" ca="1" si="1"/>
        <v>47.16</v>
      </c>
      <c r="G32" s="24">
        <f t="shared" ca="1" si="1"/>
        <v>47.68</v>
      </c>
      <c r="H32" s="24">
        <f ca="1">ROUND(PMT(Discount_Rate,COUNT(H10:H29),-NPV(Discount_Rate,H10:H29)),2)+J32</f>
        <v>48.37</v>
      </c>
      <c r="J32" s="54">
        <v>-0.03</v>
      </c>
    </row>
    <row r="33" spans="2:10">
      <c r="D33" s="15"/>
      <c r="E33" s="15"/>
      <c r="F33" s="15"/>
      <c r="G33" s="15"/>
      <c r="H33" s="15"/>
      <c r="J33" s="13"/>
    </row>
    <row r="34" spans="2:10">
      <c r="B34" s="12" t="s">
        <v>5</v>
      </c>
    </row>
    <row r="35" spans="2:10">
      <c r="B35" s="1" t="str">
        <f>"(2)   Official Forward Price Curve Dated "&amp;TEXT(B44,"MMMM YYYY")</f>
        <v>(2)   Official Forward Price Curve Dated March 2013</v>
      </c>
    </row>
    <row r="36" spans="2:10">
      <c r="B36" s="1" t="str">
        <f>"(3)   "&amp;B40</f>
        <v>(3)   Discount Rate - 2013 IRP Page 164</v>
      </c>
    </row>
    <row r="37" spans="2:10">
      <c r="B37" s="1" t="s">
        <v>14</v>
      </c>
      <c r="J37" s="11"/>
    </row>
    <row r="38" spans="2:10" hidden="1">
      <c r="B38" s="1" t="s">
        <v>20</v>
      </c>
    </row>
    <row r="39" spans="2:10" hidden="1">
      <c r="B39" s="35"/>
    </row>
    <row r="40" spans="2:10" hidden="1">
      <c r="B40" s="35" t="s">
        <v>21</v>
      </c>
      <c r="E40" s="33"/>
      <c r="F40" s="33"/>
      <c r="G40" s="33"/>
      <c r="H40" s="33"/>
    </row>
    <row r="41" spans="2:10" hidden="1">
      <c r="B41" s="34">
        <v>6.8820000000000006E-2</v>
      </c>
      <c r="E41" s="33"/>
      <c r="F41" s="33"/>
      <c r="G41" s="33"/>
      <c r="H41" s="33"/>
    </row>
    <row r="42" spans="2:10" hidden="1">
      <c r="D42" s="33"/>
      <c r="E42" s="33"/>
      <c r="F42" s="33"/>
      <c r="G42" s="33"/>
      <c r="H42" s="33"/>
    </row>
    <row r="43" spans="2:10" hidden="1">
      <c r="B43" s="1" t="s">
        <v>18</v>
      </c>
    </row>
    <row r="44" spans="2:10" hidden="1">
      <c r="B44" s="36">
        <v>41362</v>
      </c>
    </row>
  </sheetData>
  <phoneticPr fontId="2" type="noConversion"/>
  <printOptions horizontalCentered="1"/>
  <pageMargins left="0.25" right="0.25" top="0.75" bottom="0.75" header="0.3" footer="0.2"/>
  <pageSetup scale="93" orientation="landscape" r:id="rId1"/>
  <headerFooter alignWithMargins="0">
    <oddFooter>&amp;L&amp;8NPC Group - &amp;F   ( &amp;A 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42"/>
    <pageSetUpPr fitToPage="1"/>
  </sheetPr>
  <dimension ref="B1:H41"/>
  <sheetViews>
    <sheetView tabSelected="1" zoomScale="70" zoomScaleNormal="70" workbookViewId="0">
      <pane xSplit="2" ySplit="8" topLeftCell="C9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5"/>
  <cols>
    <col min="1" max="1" width="1.85546875" style="1" customWidth="1"/>
    <col min="2" max="2" width="14.140625" style="1" customWidth="1"/>
    <col min="3" max="4" width="18.85546875" style="1" customWidth="1"/>
    <col min="5" max="5" width="19.85546875" style="1" customWidth="1"/>
    <col min="6" max="8" width="18.85546875" style="1" customWidth="1"/>
    <col min="9" max="9" width="2.28515625" style="1" customWidth="1"/>
    <col min="10" max="10" width="9.28515625" style="1" bestFit="1" customWidth="1"/>
    <col min="11" max="16384" width="9.140625" style="1"/>
  </cols>
  <sheetData>
    <row r="1" spans="2:8" ht="15.75">
      <c r="B1" s="7" t="str">
        <f ca="1">Total!B1</f>
        <v>Appendix C</v>
      </c>
      <c r="C1" s="7"/>
      <c r="D1" s="7"/>
      <c r="E1" s="7"/>
      <c r="F1" s="7"/>
      <c r="G1" s="7"/>
      <c r="H1" s="7"/>
    </row>
    <row r="2" spans="2:8" ht="8.25" customHeight="1">
      <c r="B2" s="7"/>
      <c r="C2" s="7"/>
      <c r="D2" s="7"/>
      <c r="E2" s="7"/>
      <c r="F2" s="7"/>
      <c r="G2" s="7"/>
      <c r="H2" s="7"/>
    </row>
    <row r="3" spans="2:8" ht="15.75">
      <c r="B3" s="7" t="str">
        <f ca="1">Total!B3</f>
        <v>Utah Quarterly Compliance Filing</v>
      </c>
      <c r="C3" s="7"/>
      <c r="D3" s="7"/>
      <c r="E3" s="7"/>
      <c r="F3" s="7"/>
      <c r="G3" s="7"/>
      <c r="H3" s="7"/>
    </row>
    <row r="4" spans="2:8" ht="15.75">
      <c r="B4" s="7" t="str">
        <f ca="1">Capacity!$B$4</f>
        <v>Step Study between 2013.Q2 and 2013.Q1 Compliance Filing</v>
      </c>
      <c r="C4" s="7"/>
      <c r="D4" s="7"/>
      <c r="E4" s="7"/>
      <c r="F4" s="7"/>
      <c r="G4" s="7"/>
      <c r="H4" s="7"/>
    </row>
    <row r="5" spans="2:8" ht="15.75">
      <c r="B5" s="7" t="s">
        <v>8</v>
      </c>
      <c r="C5" s="7"/>
      <c r="D5" s="7"/>
      <c r="E5" s="7"/>
      <c r="F5" s="7"/>
      <c r="G5" s="7"/>
      <c r="H5" s="7"/>
    </row>
    <row r="6" spans="2:8" ht="15.75">
      <c r="B6" s="7"/>
      <c r="C6" s="7"/>
      <c r="D6" s="7"/>
      <c r="E6" s="7"/>
      <c r="F6" s="7"/>
      <c r="G6" s="7"/>
      <c r="H6" s="7"/>
    </row>
    <row r="7" spans="2:8" ht="15.75">
      <c r="B7" s="8"/>
      <c r="C7" s="10" t="s">
        <v>19</v>
      </c>
      <c r="D7" s="10" t="s">
        <v>26</v>
      </c>
      <c r="E7" s="10" t="s">
        <v>12</v>
      </c>
      <c r="F7" s="16" t="s">
        <v>24</v>
      </c>
      <c r="G7" s="10" t="s">
        <v>22</v>
      </c>
      <c r="H7" s="10" t="s">
        <v>17</v>
      </c>
    </row>
    <row r="8" spans="2:8" ht="15.75">
      <c r="B8" s="9" t="s">
        <v>0</v>
      </c>
      <c r="C8" s="2" t="str">
        <f ca="1">Total!C8</f>
        <v>As Filed</v>
      </c>
      <c r="D8" s="53" t="s">
        <v>32</v>
      </c>
      <c r="E8" s="2" t="s">
        <v>13</v>
      </c>
      <c r="F8" s="17" t="s">
        <v>31</v>
      </c>
      <c r="G8" s="2" t="s">
        <v>23</v>
      </c>
      <c r="H8" s="2" t="s">
        <v>27</v>
      </c>
    </row>
    <row r="9" spans="2:8" ht="4.5" customHeight="1"/>
    <row r="10" spans="2:8" ht="15.75">
      <c r="B10" s="3">
        <f ca="1">Total!B10</f>
        <v>2014</v>
      </c>
      <c r="C10" s="22">
        <v>29.31</v>
      </c>
      <c r="D10" s="22">
        <v>29.049999999999997</v>
      </c>
      <c r="E10" s="22">
        <v>30.129999999999995</v>
      </c>
      <c r="F10" s="22">
        <v>29.889999999999997</v>
      </c>
      <c r="G10" s="22">
        <v>31.669999999999998</v>
      </c>
      <c r="H10" s="22">
        <v>32.559999999999995</v>
      </c>
    </row>
    <row r="11" spans="2:8" ht="15.75">
      <c r="B11" s="3">
        <f t="shared" ref="B11:B29" ca="1" si="0">B10+1</f>
        <v>2015</v>
      </c>
      <c r="C11" s="22">
        <v>29.36</v>
      </c>
      <c r="D11" s="22">
        <v>29.939999999999998</v>
      </c>
      <c r="E11" s="22">
        <v>29.589999999999996</v>
      </c>
      <c r="F11" s="22">
        <v>29.809999999999995</v>
      </c>
      <c r="G11" s="22">
        <v>31.759999999999994</v>
      </c>
      <c r="H11" s="22">
        <v>32.999999999999993</v>
      </c>
    </row>
    <row r="12" spans="2:8" ht="15.75">
      <c r="B12" s="3">
        <f t="shared" ca="1" si="0"/>
        <v>2016</v>
      </c>
      <c r="C12" s="22">
        <v>30.49</v>
      </c>
      <c r="D12" s="22">
        <v>31.759999999999998</v>
      </c>
      <c r="E12" s="22">
        <v>31.15</v>
      </c>
      <c r="F12" s="22">
        <v>30.65</v>
      </c>
      <c r="G12" s="22">
        <v>32.799999999999997</v>
      </c>
      <c r="H12" s="22">
        <v>33.83</v>
      </c>
    </row>
    <row r="13" spans="2:8" ht="15.75">
      <c r="B13" s="3">
        <f t="shared" ca="1" si="0"/>
        <v>2017</v>
      </c>
      <c r="C13" s="22">
        <v>32.53</v>
      </c>
      <c r="D13" s="22">
        <v>33.51</v>
      </c>
      <c r="E13" s="22">
        <v>32.78</v>
      </c>
      <c r="F13" s="22">
        <v>32.54</v>
      </c>
      <c r="G13" s="22">
        <v>34.28</v>
      </c>
      <c r="H13" s="22">
        <v>34.450000000000003</v>
      </c>
    </row>
    <row r="14" spans="2:8" ht="15.75">
      <c r="B14" s="3">
        <f t="shared" ca="1" si="0"/>
        <v>2018</v>
      </c>
      <c r="C14" s="22">
        <v>35.090000000000003</v>
      </c>
      <c r="D14" s="22">
        <v>36.92</v>
      </c>
      <c r="E14" s="22">
        <v>34.97</v>
      </c>
      <c r="F14" s="22">
        <v>34.07</v>
      </c>
      <c r="G14" s="22">
        <v>35.35</v>
      </c>
      <c r="H14" s="22">
        <v>36.270000000000003</v>
      </c>
    </row>
    <row r="15" spans="2:8" ht="15.75">
      <c r="B15" s="3">
        <f t="shared" ca="1" si="0"/>
        <v>2019</v>
      </c>
      <c r="C15" s="22">
        <v>35.54</v>
      </c>
      <c r="D15" s="22">
        <v>37.51</v>
      </c>
      <c r="E15" s="22">
        <v>36.159999999999997</v>
      </c>
      <c r="F15" s="22">
        <v>35.059999999999995</v>
      </c>
      <c r="G15" s="22">
        <v>37.909999999999997</v>
      </c>
      <c r="H15" s="22">
        <v>38.47</v>
      </c>
    </row>
    <row r="16" spans="2:8" ht="15.75">
      <c r="B16" s="3">
        <f t="shared" ca="1" si="0"/>
        <v>2020</v>
      </c>
      <c r="C16" s="22">
        <v>38.29</v>
      </c>
      <c r="D16" s="22">
        <v>41.04</v>
      </c>
      <c r="E16" s="22">
        <v>39.1</v>
      </c>
      <c r="F16" s="22">
        <v>37.6</v>
      </c>
      <c r="G16" s="22">
        <v>43.21</v>
      </c>
      <c r="H16" s="22">
        <v>44.11</v>
      </c>
    </row>
    <row r="17" spans="2:8" ht="15.75">
      <c r="B17" s="3">
        <f t="shared" ca="1" si="0"/>
        <v>2021</v>
      </c>
      <c r="C17" s="22">
        <v>42.86</v>
      </c>
      <c r="D17" s="22">
        <v>45.85</v>
      </c>
      <c r="E17" s="22">
        <v>44.92</v>
      </c>
      <c r="F17" s="22">
        <v>44.63</v>
      </c>
      <c r="G17" s="22">
        <v>47.400000000000006</v>
      </c>
      <c r="H17" s="22">
        <v>48.420000000000009</v>
      </c>
    </row>
    <row r="18" spans="2:8" ht="15.75">
      <c r="B18" s="3">
        <f t="shared" ca="1" si="0"/>
        <v>2022</v>
      </c>
      <c r="C18" s="22">
        <v>48.4</v>
      </c>
      <c r="D18" s="22">
        <v>51.6</v>
      </c>
      <c r="E18" s="22">
        <v>51.31</v>
      </c>
      <c r="F18" s="22">
        <v>51.050000000000004</v>
      </c>
      <c r="G18" s="22">
        <v>54.27</v>
      </c>
      <c r="H18" s="22">
        <v>55.68</v>
      </c>
    </row>
    <row r="19" spans="2:8" ht="15.75">
      <c r="B19" s="3">
        <f t="shared" ca="1" si="0"/>
        <v>2023</v>
      </c>
      <c r="C19" s="22">
        <v>52.57</v>
      </c>
      <c r="D19" s="22">
        <v>56.42</v>
      </c>
      <c r="E19" s="22">
        <v>56.010000000000005</v>
      </c>
      <c r="F19" s="22">
        <v>56.06</v>
      </c>
      <c r="G19" s="22">
        <v>60.56</v>
      </c>
      <c r="H19" s="22">
        <v>62.29</v>
      </c>
    </row>
    <row r="20" spans="2:8" ht="15.75">
      <c r="B20" s="3">
        <f t="shared" ca="1" si="0"/>
        <v>2024</v>
      </c>
      <c r="C20" s="22">
        <v>55.04</v>
      </c>
      <c r="D20" s="22">
        <v>54.87</v>
      </c>
      <c r="E20" s="22">
        <v>54.87</v>
      </c>
      <c r="F20" s="22">
        <v>37.262437587056681</v>
      </c>
      <c r="G20" s="22">
        <v>40.392437587056683</v>
      </c>
      <c r="H20" s="22">
        <v>40.342437587056686</v>
      </c>
    </row>
    <row r="21" spans="2:8" ht="15.75">
      <c r="B21" s="3">
        <f t="shared" ca="1" si="0"/>
        <v>2025</v>
      </c>
      <c r="C21" s="22">
        <v>59.33</v>
      </c>
      <c r="D21" s="22">
        <v>59.16</v>
      </c>
      <c r="E21" s="22">
        <v>58.699999999999996</v>
      </c>
      <c r="F21" s="22">
        <v>41.284407735697016</v>
      </c>
      <c r="G21" s="22">
        <v>40.124407735697019</v>
      </c>
      <c r="H21" s="22">
        <v>40.404407735697021</v>
      </c>
    </row>
    <row r="22" spans="2:8" ht="15.75">
      <c r="B22" s="3">
        <f t="shared" ca="1" si="0"/>
        <v>2026</v>
      </c>
      <c r="C22" s="22">
        <v>61.5</v>
      </c>
      <c r="D22" s="22">
        <v>61.45</v>
      </c>
      <c r="E22" s="22">
        <v>61.34</v>
      </c>
      <c r="F22" s="22">
        <v>42.761052914316416</v>
      </c>
      <c r="G22" s="22">
        <v>41.501052914316418</v>
      </c>
      <c r="H22" s="22">
        <v>41.731052914316415</v>
      </c>
    </row>
    <row r="23" spans="2:8" ht="15.75">
      <c r="B23" s="3">
        <f t="shared" ca="1" si="0"/>
        <v>2027</v>
      </c>
      <c r="C23" s="22">
        <v>63.23</v>
      </c>
      <c r="D23" s="22">
        <v>63.18</v>
      </c>
      <c r="E23" s="22">
        <v>63.26</v>
      </c>
      <c r="F23" s="22">
        <v>44.431128122481866</v>
      </c>
      <c r="G23" s="22">
        <v>41.481128122481863</v>
      </c>
      <c r="H23" s="22">
        <v>41.841128122481862</v>
      </c>
    </row>
    <row r="24" spans="2:8" ht="15.75">
      <c r="B24" s="3">
        <f t="shared" ca="1" si="0"/>
        <v>2028</v>
      </c>
      <c r="C24" s="22">
        <v>43.64</v>
      </c>
      <c r="D24" s="22">
        <v>43.42</v>
      </c>
      <c r="E24" s="22">
        <v>43.43</v>
      </c>
      <c r="F24" s="22">
        <v>50.260452159005681</v>
      </c>
      <c r="G24" s="22">
        <v>43.920452159005677</v>
      </c>
      <c r="H24" s="22">
        <v>44.12045215900568</v>
      </c>
    </row>
    <row r="25" spans="2:8" ht="15.75">
      <c r="B25" s="3">
        <f t="shared" ca="1" si="0"/>
        <v>2029</v>
      </c>
      <c r="C25" s="22">
        <v>45.37</v>
      </c>
      <c r="D25" s="22">
        <v>45.279999999999994</v>
      </c>
      <c r="E25" s="22">
        <v>45.189999999999991</v>
      </c>
      <c r="F25" s="22">
        <v>51.248600590921285</v>
      </c>
      <c r="G25" s="22">
        <v>45.018600590921281</v>
      </c>
      <c r="H25" s="22">
        <v>45.458600590921279</v>
      </c>
    </row>
    <row r="26" spans="2:8" ht="15.75">
      <c r="B26" s="3">
        <f t="shared" ca="1" si="0"/>
        <v>2030</v>
      </c>
      <c r="C26" s="22">
        <v>45.58</v>
      </c>
      <c r="D26" s="22">
        <v>45.05</v>
      </c>
      <c r="E26" s="22">
        <v>44.94</v>
      </c>
      <c r="F26" s="22">
        <v>51.197982809562177</v>
      </c>
      <c r="G26" s="22">
        <v>44.927982809562174</v>
      </c>
      <c r="H26" s="22">
        <v>45.627982809562177</v>
      </c>
    </row>
    <row r="27" spans="2:8" ht="15.75">
      <c r="B27" s="3">
        <f t="shared" ca="1" si="0"/>
        <v>2031</v>
      </c>
      <c r="C27" s="22">
        <v>45.91</v>
      </c>
      <c r="D27" s="22">
        <v>45.37</v>
      </c>
      <c r="E27" s="22">
        <v>45.4</v>
      </c>
      <c r="F27" s="22">
        <v>52.530051034112276</v>
      </c>
      <c r="G27" s="22">
        <v>45.790051034112274</v>
      </c>
      <c r="H27" s="22">
        <v>46.080051034112273</v>
      </c>
    </row>
    <row r="28" spans="2:8" ht="15.75">
      <c r="B28" s="3">
        <f t="shared" ca="1" si="0"/>
        <v>2032</v>
      </c>
      <c r="C28" s="22">
        <v>46.88</v>
      </c>
      <c r="D28" s="22">
        <v>46.46</v>
      </c>
      <c r="E28" s="22">
        <v>46.29</v>
      </c>
      <c r="F28" s="22">
        <v>53.540912889746053</v>
      </c>
      <c r="G28" s="22">
        <v>46.760912889746052</v>
      </c>
      <c r="H28" s="22">
        <v>46.95091288974605</v>
      </c>
    </row>
    <row r="29" spans="2:8" ht="15.75">
      <c r="B29" s="3">
        <f t="shared" ca="1" si="0"/>
        <v>2033</v>
      </c>
      <c r="C29" s="22">
        <v>47.51</v>
      </c>
      <c r="D29" s="22">
        <v>47.08</v>
      </c>
      <c r="E29" s="22">
        <v>46.96</v>
      </c>
      <c r="F29" s="22">
        <v>54.562245500940108</v>
      </c>
      <c r="G29" s="22">
        <v>47.632245500940108</v>
      </c>
      <c r="H29" s="22">
        <v>47.852245500940107</v>
      </c>
    </row>
    <row r="30" spans="2:8">
      <c r="C30" s="23"/>
      <c r="D30" s="23"/>
      <c r="E30" s="23"/>
      <c r="F30" s="23"/>
      <c r="G30" s="23"/>
      <c r="H30" s="23"/>
    </row>
    <row r="31" spans="2:8">
      <c r="B31" s="4" t="str">
        <f ca="1">"Nominal Levelized Payment at "&amp;TEXT($B$41,"0.000%")&amp;" Discount Rate (3)"</f>
        <v>Nominal Levelized Payment at 6.882% Discount Rate (3)</v>
      </c>
      <c r="C31" s="23"/>
      <c r="D31" s="23"/>
      <c r="E31" s="23"/>
      <c r="F31" s="23"/>
      <c r="G31" s="23"/>
      <c r="H31" s="23"/>
    </row>
    <row r="32" spans="2:8">
      <c r="B32" s="12" t="str">
        <f ca="1">B10&amp;" - "&amp;B29</f>
        <v>2014 - 2033</v>
      </c>
      <c r="C32" s="24">
        <f t="shared" ref="C32:G32" ca="1" si="1">ROUND(PMT($B$41,COUNT(C10:C29),-NPV($B$41,C10:C29)),2)</f>
        <v>41.61</v>
      </c>
      <c r="D32" s="24">
        <f t="shared" ca="1" si="1"/>
        <v>42.64</v>
      </c>
      <c r="E32" s="24">
        <f t="shared" ca="1" si="1"/>
        <v>42.16</v>
      </c>
      <c r="F32" s="24">
        <f t="shared" ca="1" si="1"/>
        <v>40.1</v>
      </c>
      <c r="G32" s="24">
        <f t="shared" ca="1" si="1"/>
        <v>40.619999999999997</v>
      </c>
      <c r="H32" s="24">
        <f t="shared" ref="H32" ca="1" si="2">ROUND(PMT($B$41,COUNT(H10:H29),-NPV($B$41,H10:H29)),2)</f>
        <v>41.35</v>
      </c>
    </row>
    <row r="33" spans="2:8">
      <c r="B33" s="12"/>
      <c r="C33" s="5"/>
      <c r="D33" s="5"/>
      <c r="E33" s="5"/>
      <c r="F33" s="5"/>
      <c r="G33" s="5"/>
      <c r="H33" s="5"/>
    </row>
    <row r="34" spans="2:8">
      <c r="D34" s="14"/>
    </row>
    <row r="35" spans="2:8">
      <c r="B35" s="12" t="str">
        <f ca="1">Total!B34</f>
        <v>(1)   Studies are sequential.  The order of the studies would effect the price impact.</v>
      </c>
    </row>
    <row r="36" spans="2:8">
      <c r="B36" s="12" t="str">
        <f ca="1">Total!B35</f>
        <v>(2)   Official Forward Price Curve Dated March 2013</v>
      </c>
    </row>
    <row r="37" spans="2:8">
      <c r="B37" s="12" t="str">
        <f ca="1">Total!B36</f>
        <v>(3)   Discount Rate - 2013 IRP Page 164</v>
      </c>
    </row>
    <row r="38" spans="2:8" hidden="1">
      <c r="B38" s="1" t="s">
        <v>20</v>
      </c>
    </row>
    <row r="40" spans="2:8">
      <c r="B40" s="35" t="s">
        <v>21</v>
      </c>
    </row>
    <row r="41" spans="2:8">
      <c r="B41" s="34">
        <f ca="1">Discount_Rate</f>
        <v>6.8820000000000006E-2</v>
      </c>
    </row>
  </sheetData>
  <phoneticPr fontId="2" type="noConversion"/>
  <printOptions horizontalCentered="1"/>
  <pageMargins left="0.25" right="0.25" top="0.75" bottom="0.75" header="0.3" footer="0.2"/>
  <pageSetup scale="93" orientation="landscape" r:id="rId1"/>
  <headerFooter alignWithMargins="0">
    <oddFooter>&amp;L&amp;8NPC Group - &amp;F   ( &amp;A 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J41"/>
  <sheetViews>
    <sheetView tabSelected="1" zoomScale="70" zoomScaleNormal="70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5"/>
  <cols>
    <col min="1" max="1" width="1.85546875" style="39" customWidth="1"/>
    <col min="2" max="2" width="13.85546875" style="39" customWidth="1"/>
    <col min="3" max="4" width="21.85546875" style="39" customWidth="1"/>
    <col min="5" max="5" width="1.140625" style="39" customWidth="1"/>
    <col min="6" max="7" width="21.85546875" style="39" customWidth="1"/>
    <col min="8" max="8" width="1.5703125" style="39" customWidth="1"/>
    <col min="9" max="9" width="9.140625" style="39"/>
    <col min="10" max="10" width="9.140625" style="39" hidden="1" customWidth="1"/>
    <col min="11" max="16384" width="9.140625" style="39"/>
  </cols>
  <sheetData>
    <row r="1" spans="2:10" ht="15.75">
      <c r="B1" s="37" t="str">
        <f ca="1">Total!B1</f>
        <v>Appendix C</v>
      </c>
      <c r="C1" s="37"/>
      <c r="D1" s="37"/>
      <c r="E1" s="38"/>
      <c r="F1" s="37"/>
      <c r="G1" s="37"/>
      <c r="H1" s="38"/>
    </row>
    <row r="2" spans="2:10" ht="8.25" customHeight="1">
      <c r="B2" s="37"/>
      <c r="C2" s="37"/>
      <c r="D2" s="37"/>
      <c r="E2" s="38"/>
      <c r="F2" s="37"/>
      <c r="G2" s="37"/>
      <c r="H2" s="38"/>
    </row>
    <row r="3" spans="2:10" ht="15.75">
      <c r="B3" s="37" t="str">
        <f ca="1">Total!B3</f>
        <v>Utah Quarterly Compliance Filing</v>
      </c>
      <c r="C3" s="37"/>
      <c r="D3" s="37"/>
      <c r="E3" s="38"/>
      <c r="F3" s="37"/>
      <c r="G3" s="37"/>
      <c r="H3" s="38"/>
    </row>
    <row r="4" spans="2:10" ht="15.75">
      <c r="B4" s="37" t="str">
        <f ca="1">"Step Study between "&amp;J8&amp;" and "&amp;C8&amp;" Compliance Filing"</f>
        <v>Step Study between 2013.Q2 and 2013.Q1 Compliance Filing</v>
      </c>
      <c r="C4" s="37"/>
      <c r="D4" s="37"/>
      <c r="E4" s="38"/>
      <c r="F4" s="37"/>
      <c r="G4" s="37"/>
      <c r="H4" s="38"/>
    </row>
    <row r="5" spans="2:10" ht="15.75">
      <c r="B5" s="37" t="s">
        <v>11</v>
      </c>
      <c r="C5" s="37"/>
      <c r="D5" s="37"/>
      <c r="E5" s="38"/>
      <c r="F5" s="37"/>
      <c r="G5" s="37"/>
      <c r="H5" s="38"/>
    </row>
    <row r="6" spans="2:10" ht="15.75">
      <c r="B6" s="37"/>
      <c r="C6" s="37"/>
      <c r="D6" s="37"/>
      <c r="F6" s="37"/>
      <c r="G6" s="37"/>
    </row>
    <row r="7" spans="2:10" ht="15.75">
      <c r="B7" s="40"/>
      <c r="C7" s="41" t="s">
        <v>2</v>
      </c>
      <c r="D7" s="41"/>
      <c r="F7" s="41" t="s">
        <v>10</v>
      </c>
      <c r="G7" s="41"/>
    </row>
    <row r="8" spans="2:10" ht="15.75">
      <c r="B8" s="42" t="s">
        <v>0</v>
      </c>
      <c r="C8" s="43" t="str">
        <f ca="1">Energy!C7</f>
        <v>2013.Q1</v>
      </c>
      <c r="D8" s="43" t="str">
        <f>$J$8&amp;" (3)"</f>
        <v>2013.Q2 (3)</v>
      </c>
      <c r="F8" s="43" t="str">
        <f ca="1">C8</f>
        <v>2013.Q1</v>
      </c>
      <c r="G8" s="43" t="str">
        <f>D8</f>
        <v>2013.Q2 (3)</v>
      </c>
      <c r="J8" s="43" t="s">
        <v>25</v>
      </c>
    </row>
    <row r="9" spans="2:10" ht="4.5" customHeight="1"/>
    <row r="10" spans="2:10" ht="15.75">
      <c r="B10" s="44">
        <f ca="1">Total!B10</f>
        <v>2014</v>
      </c>
      <c r="C10" s="45">
        <v>0</v>
      </c>
      <c r="D10" s="45">
        <v>0</v>
      </c>
      <c r="F10" s="45">
        <f t="shared" ref="F10:F29" ca="1" si="0">C10*1000/(IF(MOD($B10,4)=0,8784,8760)*0.85)</f>
        <v>0</v>
      </c>
      <c r="G10" s="45">
        <f t="shared" ref="G10:G29" ca="1" si="1">D10*1000/(IF(MOD($B10,4)=0,8784,8760)*0.85)</f>
        <v>0</v>
      </c>
    </row>
    <row r="11" spans="2:10" ht="15.75">
      <c r="B11" s="44">
        <f t="shared" ref="B11:B29" ca="1" si="2">B10+1</f>
        <v>2015</v>
      </c>
      <c r="C11" s="45">
        <v>0</v>
      </c>
      <c r="D11" s="45">
        <v>0</v>
      </c>
      <c r="F11" s="45">
        <f t="shared" ca="1" si="0"/>
        <v>0</v>
      </c>
      <c r="G11" s="45">
        <f t="shared" ca="1" si="1"/>
        <v>0</v>
      </c>
    </row>
    <row r="12" spans="2:10" ht="15.75">
      <c r="B12" s="44">
        <f t="shared" ca="1" si="2"/>
        <v>2016</v>
      </c>
      <c r="C12" s="45">
        <v>0</v>
      </c>
      <c r="D12" s="45">
        <v>0</v>
      </c>
      <c r="F12" s="45">
        <f t="shared" ca="1" si="0"/>
        <v>0</v>
      </c>
      <c r="G12" s="45">
        <f t="shared" ca="1" si="1"/>
        <v>0</v>
      </c>
    </row>
    <row r="13" spans="2:10" ht="15.75">
      <c r="B13" s="44">
        <f t="shared" ca="1" si="2"/>
        <v>2017</v>
      </c>
      <c r="C13" s="45">
        <v>0</v>
      </c>
      <c r="D13" s="45">
        <v>0</v>
      </c>
      <c r="F13" s="45">
        <f t="shared" ca="1" si="0"/>
        <v>0</v>
      </c>
      <c r="G13" s="45">
        <f t="shared" ca="1" si="1"/>
        <v>0</v>
      </c>
    </row>
    <row r="14" spans="2:10" ht="15.75">
      <c r="B14" s="44">
        <f t="shared" ca="1" si="2"/>
        <v>2018</v>
      </c>
      <c r="C14" s="45">
        <v>0</v>
      </c>
      <c r="D14" s="45">
        <v>0</v>
      </c>
      <c r="F14" s="45">
        <f t="shared" ca="1" si="0"/>
        <v>0</v>
      </c>
      <c r="G14" s="45">
        <f t="shared" ca="1" si="1"/>
        <v>0</v>
      </c>
    </row>
    <row r="15" spans="2:10" ht="15.75">
      <c r="B15" s="44">
        <f t="shared" ca="1" si="2"/>
        <v>2019</v>
      </c>
      <c r="C15" s="45">
        <v>0</v>
      </c>
      <c r="D15" s="45">
        <v>0</v>
      </c>
      <c r="F15" s="45">
        <f t="shared" ca="1" si="0"/>
        <v>0</v>
      </c>
      <c r="G15" s="45">
        <f t="shared" ca="1" si="1"/>
        <v>0</v>
      </c>
    </row>
    <row r="16" spans="2:10" ht="15.75">
      <c r="B16" s="44">
        <f t="shared" ca="1" si="2"/>
        <v>2020</v>
      </c>
      <c r="C16" s="45">
        <v>0</v>
      </c>
      <c r="D16" s="45">
        <v>0</v>
      </c>
      <c r="F16" s="45">
        <f t="shared" ca="1" si="0"/>
        <v>0</v>
      </c>
      <c r="G16" s="45">
        <f t="shared" ca="1" si="1"/>
        <v>0</v>
      </c>
    </row>
    <row r="17" spans="2:7" ht="15.75">
      <c r="B17" s="44">
        <f t="shared" ca="1" si="2"/>
        <v>2021</v>
      </c>
      <c r="C17" s="45">
        <v>0</v>
      </c>
      <c r="D17" s="45">
        <v>0</v>
      </c>
      <c r="F17" s="45">
        <f t="shared" ca="1" si="0"/>
        <v>0</v>
      </c>
      <c r="G17" s="45">
        <f t="shared" ca="1" si="1"/>
        <v>0</v>
      </c>
    </row>
    <row r="18" spans="2:7" ht="15.75">
      <c r="B18" s="44">
        <f t="shared" ca="1" si="2"/>
        <v>2022</v>
      </c>
      <c r="C18" s="45">
        <v>0</v>
      </c>
      <c r="D18" s="45">
        <v>0</v>
      </c>
      <c r="F18" s="45">
        <f t="shared" ca="1" si="0"/>
        <v>0</v>
      </c>
      <c r="G18" s="45">
        <f t="shared" ca="1" si="1"/>
        <v>0</v>
      </c>
    </row>
    <row r="19" spans="2:7" ht="15.75">
      <c r="B19" s="44">
        <f t="shared" ca="1" si="2"/>
        <v>2023</v>
      </c>
      <c r="C19" s="45">
        <v>0</v>
      </c>
      <c r="D19" s="45">
        <v>0</v>
      </c>
      <c r="F19" s="45">
        <f t="shared" ca="1" si="0"/>
        <v>0</v>
      </c>
      <c r="G19" s="45">
        <f t="shared" ca="1" si="1"/>
        <v>0</v>
      </c>
    </row>
    <row r="20" spans="2:7" ht="15.75">
      <c r="B20" s="44">
        <f t="shared" ca="1" si="2"/>
        <v>2024</v>
      </c>
      <c r="C20" s="45">
        <v>0</v>
      </c>
      <c r="D20" s="45">
        <v>143.71</v>
      </c>
      <c r="F20" s="45">
        <f t="shared" ca="1" si="0"/>
        <v>0</v>
      </c>
      <c r="G20" s="45">
        <f t="shared" ca="1" si="1"/>
        <v>19.247562412943321</v>
      </c>
    </row>
    <row r="21" spans="2:7" ht="15.75">
      <c r="B21" s="44">
        <f t="shared" ca="1" si="2"/>
        <v>2025</v>
      </c>
      <c r="C21" s="45">
        <v>0</v>
      </c>
      <c r="D21" s="45">
        <v>146.43</v>
      </c>
      <c r="F21" s="45">
        <f t="shared" ca="1" si="0"/>
        <v>0</v>
      </c>
      <c r="G21" s="45">
        <f t="shared" ca="1" si="1"/>
        <v>19.665592264302983</v>
      </c>
    </row>
    <row r="22" spans="2:7" ht="15.75">
      <c r="B22" s="44">
        <f t="shared" ca="1" si="2"/>
        <v>2026</v>
      </c>
      <c r="C22" s="45">
        <v>0</v>
      </c>
      <c r="D22" s="45">
        <v>149.21</v>
      </c>
      <c r="F22" s="45">
        <f t="shared" ca="1" si="0"/>
        <v>0</v>
      </c>
      <c r="G22" s="45">
        <f t="shared" ca="1" si="1"/>
        <v>20.038947085683589</v>
      </c>
    </row>
    <row r="23" spans="2:7" ht="15.75">
      <c r="B23" s="44">
        <f t="shared" ca="1" si="2"/>
        <v>2027</v>
      </c>
      <c r="C23" s="45">
        <v>0</v>
      </c>
      <c r="D23" s="45">
        <v>151.88999999999999</v>
      </c>
      <c r="F23" s="45">
        <f t="shared" ca="1" si="0"/>
        <v>0</v>
      </c>
      <c r="G23" s="45">
        <f t="shared" ca="1" si="1"/>
        <v>20.398871877518129</v>
      </c>
    </row>
    <row r="24" spans="2:7" ht="15.75">
      <c r="B24" s="44">
        <f t="shared" ca="1" si="2"/>
        <v>2028</v>
      </c>
      <c r="C24" s="45">
        <v>193.14</v>
      </c>
      <c r="D24" s="45">
        <v>154.61000000000001</v>
      </c>
      <c r="F24" s="45">
        <f t="shared" ca="1" si="0"/>
        <v>25.867888138862103</v>
      </c>
      <c r="G24" s="45">
        <f t="shared" ca="1" si="1"/>
        <v>20.707435979856424</v>
      </c>
    </row>
    <row r="25" spans="2:7" ht="15.75">
      <c r="B25" s="44">
        <f t="shared" ca="1" si="2"/>
        <v>2029</v>
      </c>
      <c r="C25" s="45">
        <v>196.79</v>
      </c>
      <c r="D25" s="45">
        <v>157.56</v>
      </c>
      <c r="F25" s="45">
        <f t="shared" ca="1" si="0"/>
        <v>26.428955143701316</v>
      </c>
      <c r="G25" s="45">
        <f t="shared" ca="1" si="1"/>
        <v>21.160354552780017</v>
      </c>
    </row>
    <row r="26" spans="2:7" ht="15.75">
      <c r="B26" s="44">
        <f t="shared" ca="1" si="2"/>
        <v>2030</v>
      </c>
      <c r="C26" s="45">
        <v>200.54</v>
      </c>
      <c r="D26" s="45">
        <v>160.57</v>
      </c>
      <c r="F26" s="45">
        <f t="shared" ca="1" si="0"/>
        <v>26.932581251678755</v>
      </c>
      <c r="G26" s="45">
        <f t="shared" ca="1" si="1"/>
        <v>21.564598442116573</v>
      </c>
    </row>
    <row r="27" spans="2:7" ht="15.75">
      <c r="B27" s="44">
        <f t="shared" ca="1" si="2"/>
        <v>2031</v>
      </c>
      <c r="C27" s="45">
        <v>204.36</v>
      </c>
      <c r="D27" s="45">
        <v>163.63</v>
      </c>
      <c r="F27" s="45">
        <f t="shared" ca="1" si="0"/>
        <v>27.445608380338438</v>
      </c>
      <c r="G27" s="45">
        <f t="shared" ca="1" si="1"/>
        <v>21.975557346226161</v>
      </c>
    </row>
    <row r="28" spans="2:7" ht="15.75">
      <c r="B28" s="44">
        <f t="shared" ca="1" si="2"/>
        <v>2032</v>
      </c>
      <c r="C28" s="45">
        <v>208.25</v>
      </c>
      <c r="D28" s="45">
        <v>166.73</v>
      </c>
      <c r="F28" s="45">
        <f t="shared" ca="1" si="0"/>
        <v>27.891621129326047</v>
      </c>
      <c r="G28" s="45">
        <f t="shared" ca="1" si="1"/>
        <v>22.330708239579987</v>
      </c>
    </row>
    <row r="29" spans="2:7" ht="15.75">
      <c r="B29" s="44">
        <f t="shared" ca="1" si="2"/>
        <v>2033</v>
      </c>
      <c r="C29" s="45">
        <v>212.2</v>
      </c>
      <c r="D29" s="45">
        <v>169.89</v>
      </c>
      <c r="F29" s="45">
        <f t="shared" ca="1" si="0"/>
        <v>28.498522696749934</v>
      </c>
      <c r="G29" s="45">
        <f t="shared" ca="1" si="1"/>
        <v>22.816277195809832</v>
      </c>
    </row>
    <row r="30" spans="2:7" ht="15.75">
      <c r="B30" s="44"/>
      <c r="C30" s="46"/>
      <c r="F30" s="46"/>
    </row>
    <row r="31" spans="2:7">
      <c r="B31" s="47" t="str">
        <f ca="1">"Nominal Levelized Payment at "&amp;TEXT($B$41,"0.000%")&amp;" Discount Rate (2)"</f>
        <v>Nominal Levelized Payment at 6.882% Discount Rate (2)</v>
      </c>
      <c r="D31" s="47"/>
    </row>
    <row r="32" spans="2:7">
      <c r="B32" s="48" t="str">
        <f ca="1">$B$10&amp;" - "&amp;B29</f>
        <v>2014 - 2033</v>
      </c>
      <c r="C32" s="49">
        <f ca="1">PMT($B$41,COUNT(C10:C29),-NPV($B$41,C10:C29))</f>
        <v>35.56387572134161</v>
      </c>
      <c r="D32" s="49">
        <f ca="1">PMT($B$41,COUNT(D10:D29),-NPV($B$41,D10:D29))</f>
        <v>52.568974557652332</v>
      </c>
      <c r="F32" s="49">
        <f ca="1">PMT($B$41,COUNT(F10:F29),-NPV($B$41,F10:F29))</f>
        <v>4.7717783659679824</v>
      </c>
      <c r="G32" s="49">
        <f ca="1">PMT($B$41,COUNT(G10:G29),-NPV($B$41,G10:G29))</f>
        <v>7.0540859912950626</v>
      </c>
    </row>
    <row r="34" spans="2:2">
      <c r="B34" s="39" t="s">
        <v>3</v>
      </c>
    </row>
    <row r="35" spans="2:2">
      <c r="B35" s="39" t="str">
        <f ca="1">"(2)   "&amp;B40</f>
        <v>(2)   Discount Rate - 2013 IRP Page 164</v>
      </c>
    </row>
    <row r="36" spans="2:2">
      <c r="B36" s="39" t="s">
        <v>28</v>
      </c>
    </row>
    <row r="40" spans="2:2" hidden="1">
      <c r="B40" s="50" t="str">
        <f ca="1">Total!B40</f>
        <v>Discount Rate - 2013 IRP Page 164</v>
      </c>
    </row>
    <row r="41" spans="2:2" hidden="1">
      <c r="B41" s="51">
        <f ca="1">Discount_Rate</f>
        <v>6.8820000000000006E-2</v>
      </c>
    </row>
  </sheetData>
  <printOptions horizontalCentered="1"/>
  <pageMargins left="0.25" right="0.25" top="0.75" bottom="0.75" header="0.3" footer="0.2"/>
  <pageSetup scale="93" orientation="landscape" r:id="rId1"/>
  <headerFooter alignWithMargins="0">
    <oddFooter>&amp;L&amp;8NPC Group - &amp;F   ( &amp;A )&amp;C&amp;8Page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Incremental</vt:lpstr>
      <vt:lpstr>Total</vt:lpstr>
      <vt:lpstr>Energy</vt:lpstr>
      <vt:lpstr>Capacity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Farmer</dc:creator>
  <cp:lastModifiedBy>mpaschal</cp:lastModifiedBy>
  <cp:lastPrinted>2013-07-18T18:20:56Z</cp:lastPrinted>
  <dcterms:created xsi:type="dcterms:W3CDTF">2006-07-10T20:43:15Z</dcterms:created>
  <dcterms:modified xsi:type="dcterms:W3CDTF">2013-07-22T18:24:58Z</dcterms:modified>
</cp:coreProperties>
</file>