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updateLinks="never" codeName="ThisWorkbook" defaultThemeVersion="124226"/>
  <bookViews>
    <workbookView xWindow="-15" yWindow="-15" windowWidth="10620" windowHeight="10680"/>
  </bookViews>
  <sheets>
    <sheet name="Appendix B" sheetId="32" r:id="rId1"/>
    <sheet name="Table 1" sheetId="25" r:id="rId2"/>
    <sheet name="Table 2" sheetId="17" r:id="rId3"/>
    <sheet name="Table 3" sheetId="33" r:id="rId4"/>
    <sheet name="Table 4" sheetId="28" r:id="rId5"/>
  </sheets>
  <externalReferences>
    <externalReference r:id="rId6"/>
  </externalReferences>
  <definedNames>
    <definedName name="_2024_CCCT">'Table 1'!$I$17</definedName>
    <definedName name="_2028_CCCT">'Table 1'!$I$18</definedName>
    <definedName name="_Order1" hidden="1">255</definedName>
    <definedName name="_Order2" hidden="1">0</definedName>
    <definedName name="Discount_Rate">'Table 1'!$I$35</definedName>
    <definedName name="_xlnm.Print_Area" localSheetId="0">'Appendix B'!$A$1:$F$39</definedName>
    <definedName name="_xlnm.Print_Area" localSheetId="1">'Table 1'!$A$1:$H$47</definedName>
    <definedName name="_xlnm.Print_Area" localSheetId="2">'Table 2'!$B$10:$Q$35</definedName>
    <definedName name="_xlnm.Print_Area" localSheetId="3">'Table 3'!$A$1:$K$89</definedName>
    <definedName name="_xlnm.Print_Area" localSheetId="4">'Table 4'!$A$1:$D$26</definedName>
    <definedName name="_xlnm.Print_Titles" localSheetId="2">'Table 2'!$1:$9</definedName>
    <definedName name="_xlnm.Print_Titles" localSheetId="3">'Table 3'!$1:$6</definedName>
    <definedName name="Study_Cap_Adj">'Table 1'!$I$8</definedName>
    <definedName name="Study_CF">'[1]Monthly NPV'!$M$5</definedName>
    <definedName name="Study_MW">'[1]Monthly NPV'!$M$4</definedName>
    <definedName name="Study_Name">'[1]Monthly NPV'!$M$2</definedName>
  </definedNames>
  <calcPr calcId="145621" calcMode="manual" calcCompleted="0" calcOnSave="0"/>
</workbook>
</file>

<file path=xl/calcChain.xml><?xml version="1.0" encoding="utf-8"?>
<calcChain xmlns="http://schemas.openxmlformats.org/spreadsheetml/2006/main">
  <c r="C30" i="32"/>
  <c r="B44" i="25" l="1"/>
  <c r="B40" l="1"/>
  <c r="C74" i="33" l="1"/>
  <c r="J63" s="1"/>
  <c r="C71"/>
  <c r="C84"/>
  <c r="D76"/>
  <c r="D73"/>
  <c r="I59" s="1"/>
  <c r="C73"/>
  <c r="I58" s="1"/>
  <c r="E68"/>
  <c r="K64"/>
  <c r="J64"/>
  <c r="G64"/>
  <c r="F64"/>
  <c r="C64"/>
  <c r="K63"/>
  <c r="G63"/>
  <c r="F63"/>
  <c r="C63"/>
  <c r="H59"/>
  <c r="F59"/>
  <c r="H58"/>
  <c r="F58"/>
  <c r="D52"/>
  <c r="C52"/>
  <c r="C51"/>
  <c r="C50"/>
  <c r="D49"/>
  <c r="C49"/>
  <c r="C48"/>
  <c r="D47"/>
  <c r="C47"/>
  <c r="B15"/>
  <c r="B16" s="1"/>
  <c r="B17" s="1"/>
  <c r="B18" s="1"/>
  <c r="B19" s="1"/>
  <c r="B20" s="1"/>
  <c r="B21" s="1"/>
  <c r="B22" s="1"/>
  <c r="B23" s="1"/>
  <c r="B24" s="1"/>
  <c r="B25" s="1"/>
  <c r="B26" s="1"/>
  <c r="B12"/>
  <c r="B5"/>
  <c r="G29" i="32"/>
  <c r="G30"/>
  <c r="I184" i="28"/>
  <c r="I183"/>
  <c r="I182"/>
  <c r="I181"/>
  <c r="I180"/>
  <c r="I179"/>
  <c r="I177"/>
  <c r="I176"/>
  <c r="I175"/>
  <c r="I174"/>
  <c r="I173"/>
  <c r="I178"/>
  <c r="C85" i="33" l="1"/>
  <c r="H64"/>
  <c r="B27"/>
  <c r="F65"/>
  <c r="H63"/>
  <c r="C86"/>
  <c r="F60"/>
  <c r="G58" s="1"/>
  <c r="H60" l="1"/>
  <c r="C14" s="1"/>
  <c r="D14" s="1"/>
  <c r="D15" s="1"/>
  <c r="G59"/>
  <c r="G60" s="1"/>
  <c r="C87"/>
  <c r="H65"/>
  <c r="I60"/>
  <c r="E14" s="1"/>
  <c r="E15" s="1"/>
  <c r="E16" s="1"/>
  <c r="B28"/>
  <c r="E17" l="1"/>
  <c r="E18" s="1"/>
  <c r="D78"/>
  <c r="G65"/>
  <c r="D48" s="1"/>
  <c r="I63"/>
  <c r="C88"/>
  <c r="B29"/>
  <c r="D16"/>
  <c r="D17" l="1"/>
  <c r="B30"/>
  <c r="E19"/>
  <c r="C89"/>
  <c r="I64"/>
  <c r="K65" s="1"/>
  <c r="E79"/>
  <c r="D79"/>
  <c r="J65" l="1"/>
  <c r="F14" s="1"/>
  <c r="G14" s="1"/>
  <c r="H14" s="1"/>
  <c r="I65"/>
  <c r="D51"/>
  <c r="D18"/>
  <c r="E20"/>
  <c r="C90"/>
  <c r="B31"/>
  <c r="F15" l="1"/>
  <c r="G15" s="1"/>
  <c r="H15" s="1"/>
  <c r="D19"/>
  <c r="B32"/>
  <c r="E21"/>
  <c r="C91"/>
  <c r="F16" l="1"/>
  <c r="F17" s="1"/>
  <c r="D20"/>
  <c r="E22"/>
  <c r="F83"/>
  <c r="B33"/>
  <c r="G16" l="1"/>
  <c r="H16" s="1"/>
  <c r="B34"/>
  <c r="D21"/>
  <c r="F18"/>
  <c r="G17"/>
  <c r="H17" s="1"/>
  <c r="E23"/>
  <c r="F84"/>
  <c r="F19" l="1"/>
  <c r="G18"/>
  <c r="H18" s="1"/>
  <c r="D22"/>
  <c r="E24"/>
  <c r="F85"/>
  <c r="B35"/>
  <c r="B36" l="1"/>
  <c r="D23"/>
  <c r="F20"/>
  <c r="G19"/>
  <c r="H19" s="1"/>
  <c r="E25"/>
  <c r="F86"/>
  <c r="F21" l="1"/>
  <c r="G20"/>
  <c r="H20" s="1"/>
  <c r="D24"/>
  <c r="E26"/>
  <c r="F87"/>
  <c r="B37"/>
  <c r="B38" l="1"/>
  <c r="D25"/>
  <c r="F22"/>
  <c r="G21"/>
  <c r="H21" s="1"/>
  <c r="E27"/>
  <c r="F88"/>
  <c r="F23" l="1"/>
  <c r="G22"/>
  <c r="H22" s="1"/>
  <c r="D26"/>
  <c r="E28"/>
  <c r="F89"/>
  <c r="B39"/>
  <c r="B40" l="1"/>
  <c r="D27"/>
  <c r="F24"/>
  <c r="G23"/>
  <c r="H23" s="1"/>
  <c r="E29"/>
  <c r="F90"/>
  <c r="F25" l="1"/>
  <c r="G24"/>
  <c r="H24" s="1"/>
  <c r="E30"/>
  <c r="F91"/>
  <c r="D28"/>
  <c r="B41"/>
  <c r="B42" l="1"/>
  <c r="D29"/>
  <c r="F26"/>
  <c r="G25"/>
  <c r="H25" s="1"/>
  <c r="E31"/>
  <c r="I83"/>
  <c r="F27" l="1"/>
  <c r="G26"/>
  <c r="H26" s="1"/>
  <c r="E32"/>
  <c r="I84"/>
  <c r="D30"/>
  <c r="D31" l="1"/>
  <c r="F28"/>
  <c r="G27"/>
  <c r="H27" s="1"/>
  <c r="E33"/>
  <c r="I85"/>
  <c r="F29" l="1"/>
  <c r="G28"/>
  <c r="H28" s="1"/>
  <c r="E34"/>
  <c r="I86"/>
  <c r="D32"/>
  <c r="D33" l="1"/>
  <c r="F30"/>
  <c r="G29"/>
  <c r="H29" s="1"/>
  <c r="E35"/>
  <c r="I87"/>
  <c r="E36" l="1"/>
  <c r="I88"/>
  <c r="F31"/>
  <c r="G30"/>
  <c r="H30" s="1"/>
  <c r="D34"/>
  <c r="D35" l="1"/>
  <c r="F32"/>
  <c r="G31"/>
  <c r="H31" s="1"/>
  <c r="E37"/>
  <c r="I89"/>
  <c r="E38" l="1"/>
  <c r="I90"/>
  <c r="F33"/>
  <c r="G32"/>
  <c r="H32" s="1"/>
  <c r="D36"/>
  <c r="D37" l="1"/>
  <c r="F34"/>
  <c r="G33"/>
  <c r="H33" s="1"/>
  <c r="E39"/>
  <c r="I91"/>
  <c r="E40" l="1"/>
  <c r="I92"/>
  <c r="F35"/>
  <c r="G34"/>
  <c r="H34" s="1"/>
  <c r="D38"/>
  <c r="D39" l="1"/>
  <c r="F36"/>
  <c r="G35"/>
  <c r="H35" s="1"/>
  <c r="E41"/>
  <c r="I93"/>
  <c r="E42" l="1"/>
  <c r="F37"/>
  <c r="G36"/>
  <c r="H36" s="1"/>
  <c r="D40"/>
  <c r="D41" l="1"/>
  <c r="F38"/>
  <c r="G37"/>
  <c r="H37" s="1"/>
  <c r="D42" l="1"/>
  <c r="F39"/>
  <c r="G38"/>
  <c r="H38" s="1"/>
  <c r="F40" l="1"/>
  <c r="G39"/>
  <c r="H39" s="1"/>
  <c r="F41" l="1"/>
  <c r="G40"/>
  <c r="H40" s="1"/>
  <c r="F42" l="1"/>
  <c r="G42" s="1"/>
  <c r="H42" s="1"/>
  <c r="G41"/>
  <c r="H41" s="1"/>
  <c r="B15" i="28" l="1"/>
  <c r="B16" l="1"/>
  <c r="B17" s="1"/>
  <c r="B18" s="1"/>
  <c r="B19" s="1"/>
  <c r="B20" s="1"/>
  <c r="B21" s="1"/>
  <c r="B22" s="1"/>
  <c r="B35" i="32"/>
  <c r="I196" i="28" l="1"/>
  <c r="I195"/>
  <c r="I194"/>
  <c r="I193"/>
  <c r="I192"/>
  <c r="I191"/>
  <c r="I190"/>
  <c r="I189"/>
  <c r="I188"/>
  <c r="I187"/>
  <c r="I186"/>
  <c r="I185"/>
  <c r="I172"/>
  <c r="I171"/>
  <c r="I170"/>
  <c r="I168"/>
  <c r="I167"/>
  <c r="I166"/>
  <c r="I165"/>
  <c r="I164"/>
  <c r="I163"/>
  <c r="I162"/>
  <c r="I161"/>
  <c r="I160"/>
  <c r="I158"/>
  <c r="I157"/>
  <c r="I156"/>
  <c r="I154"/>
  <c r="I153"/>
  <c r="I152"/>
  <c r="I151"/>
  <c r="I150"/>
  <c r="I149" l="1"/>
  <c r="I155"/>
  <c r="I159"/>
  <c r="I169"/>
  <c r="B29" i="32" l="1"/>
  <c r="B30" i="28" l="1"/>
  <c r="C82" i="33"/>
  <c r="I148" i="28" l="1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79"/>
  <c r="I77"/>
  <c r="I75"/>
  <c r="I73"/>
  <c r="I71"/>
  <c r="I69"/>
  <c r="I67"/>
  <c r="I65"/>
  <c r="I63"/>
  <c r="I61"/>
  <c r="I59"/>
  <c r="I57"/>
  <c r="I55"/>
  <c r="I53"/>
  <c r="I51"/>
  <c r="I49"/>
  <c r="I47"/>
  <c r="I45"/>
  <c r="I43"/>
  <c r="I41"/>
  <c r="I39"/>
  <c r="I37"/>
  <c r="I35"/>
  <c r="I33"/>
  <c r="I31"/>
  <c r="I29"/>
  <c r="I27"/>
  <c r="I25"/>
  <c r="I23"/>
  <c r="I21"/>
  <c r="I19"/>
  <c r="I17"/>
  <c r="I18" l="1"/>
  <c r="I20"/>
  <c r="I22"/>
  <c r="I24"/>
  <c r="I26"/>
  <c r="I28"/>
  <c r="I30"/>
  <c r="I32"/>
  <c r="I34"/>
  <c r="I36"/>
  <c r="I38"/>
  <c r="I40"/>
  <c r="I42"/>
  <c r="I44"/>
  <c r="I46"/>
  <c r="I48"/>
  <c r="I50"/>
  <c r="I52"/>
  <c r="I54"/>
  <c r="I56"/>
  <c r="I58"/>
  <c r="I60"/>
  <c r="I62"/>
  <c r="I64"/>
  <c r="I66"/>
  <c r="I68"/>
  <c r="I70"/>
  <c r="I72"/>
  <c r="I74"/>
  <c r="I76"/>
  <c r="I78"/>
  <c r="I80"/>
  <c r="C15" l="1"/>
  <c r="B35" i="25" l="1"/>
  <c r="C14" i="28" l="1"/>
  <c r="C16" l="1"/>
  <c r="C17" l="1"/>
  <c r="C18" l="1"/>
  <c r="I30" i="33" l="1"/>
  <c r="J30" s="1"/>
  <c r="K30" s="1"/>
  <c r="C19" i="28"/>
  <c r="I31" i="33" l="1"/>
  <c r="J31" s="1"/>
  <c r="K31" s="1"/>
  <c r="C20" i="28"/>
  <c r="I32" i="33" l="1"/>
  <c r="J32" s="1"/>
  <c r="K32" s="1"/>
  <c r="C21" i="28"/>
  <c r="I33" i="33" l="1"/>
  <c r="J33" s="1"/>
  <c r="K33" s="1"/>
  <c r="C22" i="28"/>
  <c r="B23"/>
  <c r="I34" i="33" l="1"/>
  <c r="J34" s="1"/>
  <c r="K34" s="1"/>
  <c r="C23" i="28"/>
  <c r="B24"/>
  <c r="I35" i="33" l="1"/>
  <c r="J35" s="1"/>
  <c r="K35" s="1"/>
  <c r="C24" i="28"/>
  <c r="B25"/>
  <c r="I36" i="33" l="1"/>
  <c r="J36" s="1"/>
  <c r="K36" s="1"/>
  <c r="C25" i="28"/>
  <c r="B26"/>
  <c r="I37" i="33" l="1"/>
  <c r="J37" s="1"/>
  <c r="K37" s="1"/>
  <c r="C26" i="28"/>
  <c r="B27"/>
  <c r="I38" i="33" l="1"/>
  <c r="J38" s="1"/>
  <c r="K38" s="1"/>
  <c r="C27" i="28"/>
  <c r="B28"/>
  <c r="I39" i="33" l="1"/>
  <c r="J39" s="1"/>
  <c r="K39" s="1"/>
  <c r="C28" i="28"/>
  <c r="I42" i="33" l="1"/>
  <c r="J42" s="1"/>
  <c r="K42" s="1"/>
  <c r="I41"/>
  <c r="J41" s="1"/>
  <c r="K41" s="1"/>
  <c r="I40"/>
  <c r="J40" s="1"/>
  <c r="K40" s="1"/>
  <c r="B6" i="17" l="1"/>
  <c r="B3"/>
  <c r="B3" i="28" l="1"/>
  <c r="D50" i="33" l="1"/>
  <c r="I17" i="25"/>
  <c r="B47" l="1"/>
  <c r="C10"/>
  <c r="Q12" i="17" l="1"/>
  <c r="B13"/>
  <c r="B13" i="25"/>
  <c r="B8" i="32" l="1"/>
  <c r="B14" i="25"/>
  <c r="Q13" i="17"/>
  <c r="B14"/>
  <c r="Q14" l="1"/>
  <c r="B15"/>
  <c r="D14" i="25"/>
  <c r="B15"/>
  <c r="B9" i="32"/>
  <c r="B16" i="25" l="1"/>
  <c r="D15"/>
  <c r="B10" i="32"/>
  <c r="Q15" i="17"/>
  <c r="B16"/>
  <c r="B11" i="32" l="1"/>
  <c r="D16" i="25"/>
  <c r="B17"/>
  <c r="Q16" i="17"/>
  <c r="B17"/>
  <c r="D17" i="25" l="1"/>
  <c r="B18"/>
  <c r="B18" i="17"/>
  <c r="Q17"/>
  <c r="B12" i="32"/>
  <c r="Q18" i="17" l="1"/>
  <c r="B19"/>
  <c r="B13" i="32"/>
  <c r="B19" i="25"/>
  <c r="D18"/>
  <c r="D19" l="1"/>
  <c r="B20"/>
  <c r="B14" i="32"/>
  <c r="B20" i="17"/>
  <c r="Q19"/>
  <c r="B21" l="1"/>
  <c r="Q20"/>
  <c r="B21" i="25"/>
  <c r="D20"/>
  <c r="B15" i="32"/>
  <c r="B22" i="25" l="1"/>
  <c r="D21"/>
  <c r="Q21" i="17"/>
  <c r="B22"/>
  <c r="B16" i="32"/>
  <c r="B17" l="1"/>
  <c r="Q22" i="17"/>
  <c r="B23"/>
  <c r="D22" i="25"/>
  <c r="B23"/>
  <c r="Q23" i="17" l="1"/>
  <c r="B24"/>
  <c r="B18" i="32"/>
  <c r="B24" i="25"/>
  <c r="D23"/>
  <c r="B25" l="1"/>
  <c r="D24"/>
  <c r="B19" i="32"/>
  <c r="Q24" i="17"/>
  <c r="B25"/>
  <c r="B26" l="1"/>
  <c r="Q25"/>
  <c r="B20" i="32"/>
  <c r="B26" i="25"/>
  <c r="D25"/>
  <c r="B21" i="32" l="1"/>
  <c r="Q26" i="17"/>
  <c r="B27"/>
  <c r="B27" i="25"/>
  <c r="D26"/>
  <c r="B22" i="32" l="1"/>
  <c r="D27" i="25"/>
  <c r="B28"/>
  <c r="B28" i="17"/>
  <c r="Q27"/>
  <c r="D28" i="25" l="1"/>
  <c r="B29"/>
  <c r="Q28" i="17"/>
  <c r="B29"/>
  <c r="B23" i="32"/>
  <c r="B24" l="1"/>
  <c r="B30" i="25"/>
  <c r="D29"/>
  <c r="B30" i="17"/>
  <c r="Q29"/>
  <c r="Q30" l="1"/>
  <c r="B31"/>
  <c r="Q31" s="1"/>
  <c r="B25" i="32"/>
  <c r="B31" i="25"/>
  <c r="D30"/>
  <c r="B26" i="32" l="1"/>
  <c r="D31" i="25"/>
  <c r="B32"/>
  <c r="D32" l="1"/>
  <c r="B33"/>
  <c r="B42"/>
  <c r="B27" i="32"/>
  <c r="D33" i="25" l="1"/>
  <c r="D30" i="32"/>
  <c r="B37"/>
  <c r="C36" i="25"/>
  <c r="C7" i="32" l="1"/>
  <c r="B5" i="28"/>
  <c r="B4" i="32"/>
  <c r="B5" i="17"/>
  <c r="E21" i="25" l="1"/>
  <c r="G21" s="1"/>
  <c r="E16"/>
  <c r="G16" s="1"/>
  <c r="E19"/>
  <c r="G19" s="1"/>
  <c r="E22"/>
  <c r="G22" s="1"/>
  <c r="E18"/>
  <c r="G18" s="1"/>
  <c r="E17"/>
  <c r="G17" s="1"/>
  <c r="E13" l="1"/>
  <c r="G13" s="1"/>
  <c r="E14"/>
  <c r="G14" s="1"/>
  <c r="E15" l="1"/>
  <c r="G15" s="1"/>
  <c r="E20" l="1"/>
  <c r="G20" s="1"/>
  <c r="E28" l="1"/>
  <c r="G28" s="1"/>
  <c r="E24"/>
  <c r="G24" s="1"/>
  <c r="E29"/>
  <c r="G29" s="1"/>
  <c r="E26"/>
  <c r="G26" s="1"/>
  <c r="E23"/>
  <c r="G23" s="1"/>
  <c r="E32"/>
  <c r="G32" s="1"/>
  <c r="E31"/>
  <c r="G31" s="1"/>
  <c r="E30"/>
  <c r="G30" s="1"/>
  <c r="E27"/>
  <c r="G27" s="1"/>
  <c r="E25"/>
  <c r="G25" s="1"/>
  <c r="K37" l="1"/>
  <c r="G37" s="1"/>
  <c r="E37"/>
  <c r="E30" i="32" l="1"/>
  <c r="C24" l="1"/>
  <c r="E24" s="1"/>
  <c r="C18"/>
  <c r="E18" s="1"/>
  <c r="C25"/>
  <c r="E25" s="1"/>
  <c r="C27"/>
  <c r="E27" s="1"/>
  <c r="C15"/>
  <c r="E15" s="1"/>
  <c r="C9"/>
  <c r="E9" s="1"/>
  <c r="C21"/>
  <c r="E21" s="1"/>
  <c r="C8"/>
  <c r="B46" i="25"/>
  <c r="C19" i="32"/>
  <c r="E19" s="1"/>
  <c r="C17"/>
  <c r="E17" s="1"/>
  <c r="C16"/>
  <c r="E16" s="1"/>
  <c r="C14"/>
  <c r="E14" s="1"/>
  <c r="C26"/>
  <c r="E26" s="1"/>
  <c r="C12"/>
  <c r="E12" s="1"/>
  <c r="C20"/>
  <c r="E20" s="1"/>
  <c r="C22"/>
  <c r="E22" s="1"/>
  <c r="C23"/>
  <c r="E23" s="1"/>
  <c r="C10"/>
  <c r="E10" s="1"/>
  <c r="C11"/>
  <c r="E11" s="1"/>
  <c r="C13"/>
  <c r="E13" s="1"/>
  <c r="E8" l="1"/>
  <c r="B38"/>
</calcChain>
</file>

<file path=xl/comments1.xml><?xml version="1.0" encoding="utf-8"?>
<comments xmlns="http://schemas.openxmlformats.org/spreadsheetml/2006/main">
  <authors>
    <author>PacifiCorp</author>
  </authors>
  <commentList>
    <comment ref="G5" authorId="0">
      <text>
        <r>
          <rPr>
            <b/>
            <sz val="8"/>
            <color indexed="81"/>
            <rFont val="Tahoma"/>
            <family val="2"/>
          </rPr>
          <t>PacifiCorp:</t>
        </r>
        <r>
          <rPr>
            <sz val="8"/>
            <color indexed="81"/>
            <rFont val="Tahoma"/>
            <family val="2"/>
          </rPr>
          <t xml:space="preserve">
Date that deal is evaluated.</t>
        </r>
      </text>
    </comment>
  </commentList>
</comments>
</file>

<file path=xl/sharedStrings.xml><?xml version="1.0" encoding="utf-8"?>
<sst xmlns="http://schemas.openxmlformats.org/spreadsheetml/2006/main" count="145" uniqueCount="119">
  <si>
    <t>Year</t>
  </si>
  <si>
    <t>(a)</t>
  </si>
  <si>
    <t>(b)</t>
  </si>
  <si>
    <t>(c)</t>
  </si>
  <si>
    <t>(d)</t>
  </si>
  <si>
    <t>(e)</t>
  </si>
  <si>
    <t>Capacity</t>
  </si>
  <si>
    <t>(f)</t>
  </si>
  <si>
    <t>$/kW</t>
  </si>
  <si>
    <t>$/kW-yr</t>
  </si>
  <si>
    <t>Estimated Capital Cost</t>
  </si>
  <si>
    <t>Fixed Capital Cost at Real Levelized Rate</t>
  </si>
  <si>
    <t>Fixed O&amp;M</t>
  </si>
  <si>
    <t>Variable O&amp;M</t>
  </si>
  <si>
    <t>Total O&amp;M at Expected CF</t>
  </si>
  <si>
    <t>Total Resource Fixed Costs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</si>
  <si>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</si>
  <si>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</si>
  <si>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</si>
  <si>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</si>
  <si>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</si>
  <si>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</si>
  <si>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</si>
  <si>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</si>
  <si>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</si>
  <si>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</si>
  <si>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</si>
  <si>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</si>
  <si>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Winter Season</t>
  </si>
  <si>
    <t>Summer Season</t>
  </si>
  <si>
    <t>Source: (a)(c)(d)</t>
  </si>
  <si>
    <t>Total Price @</t>
  </si>
  <si>
    <t>Capacity Factor</t>
  </si>
  <si>
    <t>Footnotes:</t>
  </si>
  <si>
    <t xml:space="preserve"> $/kW-yr</t>
  </si>
  <si>
    <t>Avoided Cost Prices</t>
  </si>
  <si>
    <t>Energy</t>
  </si>
  <si>
    <t>Only Price</t>
  </si>
  <si>
    <t>Table 1</t>
  </si>
  <si>
    <t>Annual</t>
  </si>
  <si>
    <t>(2)   'Energy Only' is the GRID calculated costs and includes some capacity costs.</t>
  </si>
  <si>
    <t>Fuel Cost</t>
  </si>
  <si>
    <t>$/MMBtu</t>
  </si>
  <si>
    <t>(g)</t>
  </si>
  <si>
    <t>(h)</t>
  </si>
  <si>
    <t>Energy Only</t>
  </si>
  <si>
    <t>IRP Resource</t>
  </si>
  <si>
    <t>No</t>
  </si>
  <si>
    <t>Cap Energy Prices (Yes / No)</t>
  </si>
  <si>
    <t>Energy Price escalated at</t>
  </si>
  <si>
    <t>(i)</t>
  </si>
  <si>
    <t>Sources, Inputs and Assumptions</t>
  </si>
  <si>
    <t>PacifiCorp</t>
  </si>
  <si>
    <t>Delivered</t>
  </si>
  <si>
    <t>CCCT</t>
  </si>
  <si>
    <t>Duct Firing</t>
  </si>
  <si>
    <t>Peak Type:</t>
  </si>
  <si>
    <t>Quote Date</t>
  </si>
  <si>
    <t>Burnertip Natural Gas Price Forecast</t>
  </si>
  <si>
    <t>$/MWh</t>
  </si>
  <si>
    <t>Avoided Energy Costs - Scheduled Hours ($/MWh)</t>
  </si>
  <si>
    <t>CCCT Statistics</t>
  </si>
  <si>
    <t>MW</t>
  </si>
  <si>
    <t>Percent</t>
  </si>
  <si>
    <t>Cap Cost</t>
  </si>
  <si>
    <t>Fixed</t>
  </si>
  <si>
    <t>Capacity Weighted</t>
  </si>
  <si>
    <t>CF</t>
  </si>
  <si>
    <t>aMW</t>
  </si>
  <si>
    <t>Variable</t>
  </si>
  <si>
    <t>Heat Rate</t>
  </si>
  <si>
    <t>Energy Weighted</t>
  </si>
  <si>
    <t>Rounded</t>
  </si>
  <si>
    <t>Appendix B</t>
  </si>
  <si>
    <t>East Side</t>
  </si>
  <si>
    <t>East Side Natural Gas</t>
  </si>
  <si>
    <t xml:space="preserve">  Heat Rate in btu/kWh</t>
  </si>
  <si>
    <t xml:space="preserve">  Payment Factor</t>
  </si>
  <si>
    <t xml:space="preserve">  Capacity Factor</t>
  </si>
  <si>
    <t xml:space="preserve">  Energy Weighted Capacity Factor</t>
  </si>
  <si>
    <t>East</t>
  </si>
  <si>
    <t>Avoided Cost Prices $/MWh</t>
  </si>
  <si>
    <t>Difference</t>
  </si>
  <si>
    <t xml:space="preserve">Adjust Capacity payment for Partial Displacement </t>
  </si>
  <si>
    <t>Total Resource Energy Cost</t>
  </si>
  <si>
    <t>Total Resource Costs</t>
  </si>
  <si>
    <r>
      <t>$/MWh</t>
    </r>
    <r>
      <rPr>
        <vertAlign val="superscript"/>
        <sz val="9"/>
        <rFont val="Times New Roman"/>
        <family val="1"/>
      </rPr>
      <t xml:space="preserve"> (2)</t>
    </r>
  </si>
  <si>
    <t xml:space="preserve">  Fixed Pipeline</t>
  </si>
  <si>
    <t>Avoided Cost at</t>
  </si>
  <si>
    <t xml:space="preserve"> x   Extrapolated</t>
  </si>
  <si>
    <t>Discount Rate - 2013 IRP Page 164</t>
  </si>
  <si>
    <t xml:space="preserve">  MW Plant Capacity</t>
  </si>
  <si>
    <t xml:space="preserve">  Plant Capacity Cost</t>
  </si>
  <si>
    <t xml:space="preserve">  Fixed O&amp;M &amp; Capitalized O&amp;M</t>
  </si>
  <si>
    <t xml:space="preserve">  Fixed O&amp;M Including Fixed Pipeline &amp; Capitalized O&amp;M ($/kW-Yr)</t>
  </si>
  <si>
    <t xml:space="preserve">  Variable O&amp;M Costs &amp; Capitalized Variable O&amp;M ($/MWh)</t>
  </si>
  <si>
    <t>CCCT Dry "J" - Turbine</t>
  </si>
  <si>
    <t>CCCT Dry "J" - Duct Firing</t>
  </si>
  <si>
    <t>Plant Costs  - 2013 IRP - Table 6.1 &amp; 6.2 - Page 112</t>
  </si>
  <si>
    <t>CCCT Dry "F", 2x1 - East Side Resource (5,050')</t>
  </si>
  <si>
    <t>Percent of QF</t>
  </si>
  <si>
    <t>2024 CCCT</t>
  </si>
  <si>
    <t>2028 CCCT</t>
  </si>
  <si>
    <t>CCCT Resource Costs - 2013 Integrated Resource Plan</t>
  </si>
  <si>
    <t>Energy Cost (1)</t>
  </si>
  <si>
    <t>(1)</t>
  </si>
  <si>
    <t xml:space="preserve">Consistent with Docket No. 03-035-14, QFs requesting a tolling option will have variable energy priced at the IRP Resource Energy Cost (heat rate </t>
  </si>
  <si>
    <t>times the cost of fuel).  Additionally, the energy price for unscheduled or non-firm deliveries is capped at the IRP Resource Energy Cost.</t>
  </si>
  <si>
    <t>Compliance Filing</t>
  </si>
  <si>
    <t>UT 2013.Q3</t>
  </si>
  <si>
    <t>Adjust from calculated annually to calculated monthly</t>
  </si>
  <si>
    <t xml:space="preserve">See Table 3, Column (h). </t>
  </si>
  <si>
    <t>Partial Displacement - CCCT Dry "J", Adv 1x1 - East Side Resource (5,050')</t>
  </si>
  <si>
    <t>(4)   0.0% of capacity payment is from a 2024 CCCT Dry "J", Adv 1x1 - East Side Resource (5,050')</t>
  </si>
  <si>
    <t>Table 3</t>
  </si>
  <si>
    <t>(2)   Total Avoided Costs with Capacity included at an 85.0% capacity factor</t>
  </si>
  <si>
    <t>Utah 2013.Q4 - 100.0 MW and 85.0% CF</t>
  </si>
  <si>
    <t/>
  </si>
  <si>
    <t>(5)   Avoided Costs calculated monthly starting January 2015</t>
  </si>
</sst>
</file>

<file path=xl/styles.xml><?xml version="1.0" encoding="utf-8"?>
<styleSheet xmlns="http://schemas.openxmlformats.org/spreadsheetml/2006/main">
  <numFmts count="23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  <numFmt numFmtId="167" formatCode="0.0%"/>
    <numFmt numFmtId="168" formatCode="_(* #,##0.00_);_(* \(#,##0.00\);_(* &quot;-&quot;_);_(@_)"/>
    <numFmt numFmtId="169" formatCode="_(* #,##0.000_);_(* \(#,##0.000\);_(* &quot;-&quot;_);_(@_)"/>
    <numFmt numFmtId="170" formatCode="_(&quot;$&quot;* #,##0_);_(&quot;$&quot;* \(#,##0\);_(&quot;$&quot;* &quot;-&quot;??_);_(@_)"/>
    <numFmt numFmtId="171" formatCode="mmm\ yyyy&quot;   &quot;"/>
    <numFmt numFmtId="172" formatCode="_(* #,##0_);[Red]_(* \(#,##0\);_(* &quot;-&quot;_);_(@_)"/>
    <numFmt numFmtId="173" formatCode="_(* #,##0.00_);[Red]_(* \(#,##0.00\);_(* &quot;-&quot;_);_(@_)"/>
    <numFmt numFmtId="174" formatCode="&quot;$&quot;#,##0.00_)\(\3\)"/>
    <numFmt numFmtId="175" formatCode="&quot;$&quot;#,##0.00_)\(\5\)"/>
    <numFmt numFmtId="176" formatCode="0.000%"/>
    <numFmt numFmtId="177" formatCode="&quot;$&quot;#,##0.00_)\(\4\)"/>
    <numFmt numFmtId="178" formatCode="&quot;$&quot;###0;[Red]\(&quot;$&quot;###0\)"/>
    <numFmt numFmtId="179" formatCode="0.0"/>
    <numFmt numFmtId="180" formatCode="#0\(\p\)"/>
  </numFmts>
  <fonts count="29"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i/>
      <sz val="8"/>
      <color indexed="18"/>
      <name val="Helv"/>
    </font>
    <font>
      <vertAlign val="superscript"/>
      <sz val="9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u/>
      <sz val="10"/>
      <name val="Times New Roman"/>
      <family val="1"/>
    </font>
    <font>
      <b/>
      <u/>
      <sz val="12"/>
      <name val="Times New Roman"/>
      <family val="1"/>
    </font>
    <font>
      <sz val="10"/>
      <color rgb="FFCCECFF"/>
      <name val="Times New Roman"/>
      <family val="1"/>
    </font>
    <font>
      <sz val="8"/>
      <color indexed="12"/>
      <name val="Arial"/>
      <family val="2"/>
    </font>
    <font>
      <sz val="8"/>
      <color indexed="48"/>
      <name val="Arial"/>
      <family val="2"/>
    </font>
    <font>
      <sz val="9"/>
      <name val="Times New Roman"/>
      <family val="1"/>
    </font>
    <font>
      <sz val="8"/>
      <name val="Helv"/>
    </font>
    <font>
      <b/>
      <sz val="12"/>
      <name val="Arial"/>
      <family val="2"/>
    </font>
    <font>
      <sz val="10"/>
      <color rgb="FFFF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4">
    <xf numFmtId="172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 applyNumberFormat="0" applyFill="0" applyBorder="0" applyAlignment="0">
      <protection locked="0"/>
    </xf>
    <xf numFmtId="41" fontId="3" fillId="0" borderId="0"/>
    <xf numFmtId="172" fontId="3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167" fontId="1" fillId="0" borderId="0"/>
    <xf numFmtId="167" fontId="1" fillId="0" borderId="0"/>
    <xf numFmtId="41" fontId="3" fillId="0" borderId="0"/>
    <xf numFmtId="0" fontId="1" fillId="0" borderId="0"/>
    <xf numFmtId="172" fontId="3" fillId="0" borderId="0"/>
    <xf numFmtId="172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26" fillId="0" borderId="0" applyFont="0" applyFill="0" applyBorder="0" applyProtection="0">
      <alignment horizontal="right"/>
    </xf>
    <xf numFmtId="179" fontId="17" fillId="0" borderId="0" applyNumberFormat="0" applyFill="0" applyBorder="0" applyAlignment="0" applyProtection="0"/>
    <xf numFmtId="0" fontId="16" fillId="0" borderId="23" applyNumberFormat="0" applyBorder="0" applyAlignment="0"/>
    <xf numFmtId="12" fontId="27" fillId="7" borderId="22">
      <alignment horizontal="left"/>
    </xf>
    <xf numFmtId="37" fontId="16" fillId="8" borderId="0" applyNumberFormat="0" applyBorder="0" applyAlignment="0" applyProtection="0"/>
    <xf numFmtId="37" fontId="16" fillId="0" borderId="0"/>
    <xf numFmtId="3" fontId="23" fillId="9" borderId="24" applyProtection="0"/>
  </cellStyleXfs>
  <cellXfs count="227">
    <xf numFmtId="172" fontId="0" fillId="0" borderId="0" xfId="0"/>
    <xf numFmtId="172" fontId="4" fillId="0" borderId="0" xfId="0" applyFont="1" applyFill="1" applyAlignment="1">
      <alignment horizontal="centerContinuous"/>
    </xf>
    <xf numFmtId="172" fontId="6" fillId="0" borderId="0" xfId="0" quotePrefix="1" applyFont="1" applyFill="1" applyBorder="1" applyAlignment="1">
      <alignment horizontal="center"/>
    </xf>
    <xf numFmtId="172" fontId="10" fillId="0" borderId="0" xfId="0" applyFont="1" applyFill="1"/>
    <xf numFmtId="172" fontId="10" fillId="0" borderId="1" xfId="0" applyFont="1" applyFill="1" applyBorder="1" applyAlignment="1">
      <alignment horizontal="center"/>
    </xf>
    <xf numFmtId="172" fontId="11" fillId="0" borderId="0" xfId="0" applyFont="1" applyFill="1" applyAlignment="1">
      <alignment horizontal="centerContinuous"/>
    </xf>
    <xf numFmtId="172" fontId="3" fillId="0" borderId="0" xfId="0" applyFont="1" applyFill="1"/>
    <xf numFmtId="172" fontId="5" fillId="0" borderId="0" xfId="0" applyFont="1" applyFill="1" applyAlignment="1">
      <alignment horizontal="centerContinuous"/>
    </xf>
    <xf numFmtId="172" fontId="3" fillId="0" borderId="0" xfId="0" applyFont="1" applyFill="1" applyBorder="1"/>
    <xf numFmtId="172" fontId="3" fillId="0" borderId="0" xfId="0" applyFont="1" applyFill="1" applyAlignment="1">
      <alignment horizontal="center"/>
    </xf>
    <xf numFmtId="8" fontId="3" fillId="0" borderId="0" xfId="0" applyNumberFormat="1" applyFont="1" applyFill="1"/>
    <xf numFmtId="8" fontId="3" fillId="0" borderId="2" xfId="0" applyNumberFormat="1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8" fontId="7" fillId="0" borderId="0" xfId="0" applyNumberFormat="1" applyFont="1" applyFill="1" applyAlignment="1">
      <alignment horizontal="center"/>
    </xf>
    <xf numFmtId="172" fontId="8" fillId="0" borderId="0" xfId="0" applyFont="1" applyFill="1"/>
    <xf numFmtId="172" fontId="3" fillId="0" borderId="0" xfId="0" quotePrefix="1" applyFont="1" applyFill="1" applyBorder="1" applyAlignment="1">
      <alignment horizontal="center"/>
    </xf>
    <xf numFmtId="172" fontId="8" fillId="0" borderId="0" xfId="0" applyFont="1" applyFill="1" applyAlignment="1">
      <alignment horizontal="centerContinuous"/>
    </xf>
    <xf numFmtId="172" fontId="9" fillId="0" borderId="0" xfId="0" applyFont="1" applyFill="1"/>
    <xf numFmtId="172" fontId="3" fillId="0" borderId="0" xfId="0" quotePrefix="1" applyFont="1" applyFill="1"/>
    <xf numFmtId="172" fontId="2" fillId="0" borderId="0" xfId="0" applyFont="1" applyFill="1" applyBorder="1" applyAlignment="1">
      <alignment horizontal="left"/>
    </xf>
    <xf numFmtId="8" fontId="3" fillId="0" borderId="1" xfId="0" applyNumberFormat="1" applyFont="1" applyFill="1" applyBorder="1" applyAlignment="1">
      <alignment horizontal="center"/>
    </xf>
    <xf numFmtId="172" fontId="9" fillId="0" borderId="0" xfId="0" applyFont="1" applyFill="1" applyAlignment="1">
      <alignment horizontal="centerContinuous"/>
    </xf>
    <xf numFmtId="172" fontId="4" fillId="0" borderId="0" xfId="0" applyFont="1" applyFill="1" applyBorder="1" applyAlignment="1">
      <alignment horizontal="centerContinuous"/>
    </xf>
    <xf numFmtId="172" fontId="5" fillId="0" borderId="0" xfId="0" applyFont="1" applyFill="1" applyBorder="1" applyAlignment="1">
      <alignment horizontal="centerContinuous"/>
    </xf>
    <xf numFmtId="8" fontId="7" fillId="0" borderId="0" xfId="0" applyNumberFormat="1" applyFont="1" applyFill="1" applyBorder="1" applyAlignment="1">
      <alignment horizontal="left"/>
    </xf>
    <xf numFmtId="172" fontId="3" fillId="0" borderId="0" xfId="0" quotePrefix="1" applyFont="1" applyFill="1" applyBorder="1"/>
    <xf numFmtId="172" fontId="3" fillId="0" borderId="0" xfId="0" applyFont="1" applyFill="1" applyBorder="1" applyAlignment="1">
      <alignment horizontal="left"/>
    </xf>
    <xf numFmtId="172" fontId="10" fillId="0" borderId="3" xfId="0" applyFont="1" applyFill="1" applyBorder="1" applyAlignment="1">
      <alignment horizontal="centerContinuous"/>
    </xf>
    <xf numFmtId="172" fontId="10" fillId="0" borderId="4" xfId="0" applyFont="1" applyFill="1" applyBorder="1" applyAlignment="1">
      <alignment horizontal="centerContinuous"/>
    </xf>
    <xf numFmtId="172" fontId="10" fillId="0" borderId="5" xfId="0" applyFont="1" applyFill="1" applyBorder="1"/>
    <xf numFmtId="172" fontId="10" fillId="0" borderId="6" xfId="0" applyFont="1" applyFill="1" applyBorder="1" applyAlignment="1">
      <alignment horizontal="center"/>
    </xf>
    <xf numFmtId="172" fontId="10" fillId="0" borderId="0" xfId="0" quotePrefix="1" applyFont="1" applyFill="1" applyBorder="1" applyAlignment="1">
      <alignment horizontal="center"/>
    </xf>
    <xf numFmtId="172" fontId="10" fillId="0" borderId="7" xfId="0" applyFont="1" applyFill="1" applyBorder="1" applyAlignment="1">
      <alignment horizontal="centerContinuous"/>
    </xf>
    <xf numFmtId="172" fontId="10" fillId="0" borderId="5" xfId="0" applyFont="1" applyFill="1" applyBorder="1" applyAlignment="1">
      <alignment horizontal="centerContinuous"/>
    </xf>
    <xf numFmtId="172" fontId="10" fillId="0" borderId="8" xfId="0" applyFont="1" applyFill="1" applyBorder="1" applyAlignment="1">
      <alignment horizontal="centerContinuous"/>
    </xf>
    <xf numFmtId="172" fontId="10" fillId="0" borderId="9" xfId="0" applyFont="1" applyFill="1" applyBorder="1" applyAlignment="1">
      <alignment horizontal="centerContinuous"/>
    </xf>
    <xf numFmtId="172" fontId="10" fillId="0" borderId="8" xfId="0" applyFont="1" applyFill="1" applyBorder="1" applyAlignment="1">
      <alignment horizontal="center"/>
    </xf>
    <xf numFmtId="172" fontId="10" fillId="0" borderId="10" xfId="0" applyFont="1" applyFill="1" applyBorder="1" applyAlignment="1">
      <alignment horizontal="center"/>
    </xf>
    <xf numFmtId="172" fontId="10" fillId="0" borderId="5" xfId="0" quotePrefix="1" applyFont="1" applyFill="1" applyBorder="1" applyAlignment="1">
      <alignment horizontal="centerContinuous"/>
    </xf>
    <xf numFmtId="172" fontId="10" fillId="0" borderId="3" xfId="0" applyFont="1" applyFill="1" applyBorder="1" applyAlignment="1">
      <alignment horizontal="center"/>
    </xf>
    <xf numFmtId="172" fontId="10" fillId="0" borderId="11" xfId="0" applyFont="1" applyFill="1" applyBorder="1" applyAlignment="1">
      <alignment horizontal="center"/>
    </xf>
    <xf numFmtId="172" fontId="10" fillId="0" borderId="4" xfId="0" applyFont="1" applyFill="1" applyBorder="1" applyAlignment="1">
      <alignment horizontal="center"/>
    </xf>
    <xf numFmtId="172" fontId="10" fillId="0" borderId="2" xfId="0" applyFont="1" applyFill="1" applyBorder="1" applyAlignment="1">
      <alignment horizontal="centerContinuous"/>
    </xf>
    <xf numFmtId="43" fontId="3" fillId="0" borderId="0" xfId="1" applyFont="1" applyFill="1"/>
    <xf numFmtId="0" fontId="3" fillId="0" borderId="0" xfId="7" applyFont="1" applyFill="1" applyBorder="1" applyAlignment="1">
      <alignment horizontal="center"/>
    </xf>
    <xf numFmtId="172" fontId="3" fillId="0" borderId="0" xfId="0" applyFont="1" applyFill="1" applyAlignment="1">
      <alignment horizontal="centerContinuous"/>
    </xf>
    <xf numFmtId="172" fontId="3" fillId="0" borderId="0" xfId="0" applyFont="1" applyFill="1" applyBorder="1" applyAlignment="1">
      <alignment horizontal="center"/>
    </xf>
    <xf numFmtId="8" fontId="3" fillId="0" borderId="9" xfId="0" applyNumberFormat="1" applyFont="1" applyFill="1" applyBorder="1" applyAlignment="1">
      <alignment horizontal="center"/>
    </xf>
    <xf numFmtId="8" fontId="3" fillId="0" borderId="13" xfId="0" applyNumberFormat="1" applyFont="1" applyFill="1" applyBorder="1" applyAlignment="1">
      <alignment horizontal="center"/>
    </xf>
    <xf numFmtId="8" fontId="3" fillId="0" borderId="14" xfId="0" applyNumberFormat="1" applyFont="1" applyFill="1" applyBorder="1" applyAlignment="1">
      <alignment horizontal="center"/>
    </xf>
    <xf numFmtId="168" fontId="3" fillId="0" borderId="0" xfId="0" applyNumberFormat="1" applyFont="1" applyFill="1"/>
    <xf numFmtId="8" fontId="3" fillId="0" borderId="15" xfId="1" applyNumberFormat="1" applyFont="1" applyFill="1" applyBorder="1" applyAlignment="1">
      <alignment horizontal="center"/>
    </xf>
    <xf numFmtId="8" fontId="3" fillId="0" borderId="12" xfId="0" applyNumberFormat="1" applyFont="1" applyFill="1" applyBorder="1" applyAlignment="1">
      <alignment horizontal="center"/>
    </xf>
    <xf numFmtId="8" fontId="3" fillId="0" borderId="8" xfId="0" applyNumberFormat="1" applyFont="1" applyFill="1" applyBorder="1" applyAlignment="1">
      <alignment horizontal="center"/>
    </xf>
    <xf numFmtId="8" fontId="3" fillId="0" borderId="5" xfId="1" applyNumberFormat="1" applyFont="1" applyFill="1" applyBorder="1" applyAlignment="1">
      <alignment horizontal="center"/>
    </xf>
    <xf numFmtId="172" fontId="3" fillId="2" borderId="0" xfId="0" applyFont="1" applyFill="1"/>
    <xf numFmtId="8" fontId="3" fillId="0" borderId="5" xfId="0" applyNumberFormat="1" applyFont="1" applyFill="1" applyBorder="1"/>
    <xf numFmtId="1" fontId="3" fillId="0" borderId="8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8" fontId="3" fillId="0" borderId="15" xfId="0" applyNumberFormat="1" applyFont="1" applyFill="1" applyBorder="1"/>
    <xf numFmtId="8" fontId="3" fillId="0" borderId="6" xfId="0" applyNumberFormat="1" applyFont="1" applyFill="1" applyBorder="1"/>
    <xf numFmtId="10" fontId="0" fillId="0" borderId="0" xfId="0" applyNumberFormat="1"/>
    <xf numFmtId="172" fontId="0" fillId="0" borderId="0" xfId="0" applyAlignment="1">
      <alignment horizontal="center"/>
    </xf>
    <xf numFmtId="172" fontId="2" fillId="0" borderId="0" xfId="0" applyFont="1" applyFill="1" applyAlignment="1">
      <alignment horizontal="right"/>
    </xf>
    <xf numFmtId="172" fontId="2" fillId="0" borderId="5" xfId="0" applyFont="1" applyFill="1" applyBorder="1" applyAlignment="1">
      <alignment horizontal="center"/>
    </xf>
    <xf numFmtId="172" fontId="2" fillId="0" borderId="5" xfId="0" applyFont="1" applyFill="1" applyBorder="1" applyAlignment="1">
      <alignment horizontal="center" wrapText="1"/>
    </xf>
    <xf numFmtId="172" fontId="2" fillId="0" borderId="5" xfId="0" applyFont="1" applyFill="1" applyBorder="1" applyAlignment="1">
      <alignment horizontal="centerContinuous" wrapText="1"/>
    </xf>
    <xf numFmtId="172" fontId="11" fillId="0" borderId="6" xfId="0" applyFont="1" applyFill="1" applyBorder="1" applyAlignment="1">
      <alignment horizontal="centerContinuous"/>
    </xf>
    <xf numFmtId="172" fontId="14" fillId="0" borderId="6" xfId="0" quotePrefix="1" applyFont="1" applyFill="1" applyBorder="1" applyAlignment="1">
      <alignment horizontal="center" wrapText="1"/>
    </xf>
    <xf numFmtId="172" fontId="14" fillId="0" borderId="6" xfId="0" applyFont="1" applyFill="1" applyBorder="1" applyAlignment="1">
      <alignment horizontal="center" wrapText="1"/>
    </xf>
    <xf numFmtId="172" fontId="2" fillId="0" borderId="0" xfId="0" applyFont="1" applyFill="1" applyAlignment="1">
      <alignment horizontal="centerContinuous"/>
    </xf>
    <xf numFmtId="172" fontId="2" fillId="0" borderId="5" xfId="0" applyFont="1" applyFill="1" applyBorder="1"/>
    <xf numFmtId="172" fontId="2" fillId="0" borderId="15" xfId="0" applyFont="1" applyFill="1" applyBorder="1" applyAlignment="1">
      <alignment horizontal="center"/>
    </xf>
    <xf numFmtId="172" fontId="2" fillId="0" borderId="6" xfId="0" applyFont="1" applyFill="1" applyBorder="1"/>
    <xf numFmtId="172" fontId="2" fillId="0" borderId="6" xfId="0" applyFont="1" applyFill="1" applyBorder="1" applyAlignment="1">
      <alignment horizontal="center"/>
    </xf>
    <xf numFmtId="8" fontId="15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172" fontId="2" fillId="0" borderId="11" xfId="0" applyFont="1" applyFill="1" applyBorder="1" applyAlignment="1">
      <alignment horizontal="centerContinuous"/>
    </xf>
    <xf numFmtId="172" fontId="5" fillId="0" borderId="7" xfId="0" applyFont="1" applyFill="1" applyBorder="1" applyAlignment="1">
      <alignment horizontal="centerContinuous"/>
    </xf>
    <xf numFmtId="172" fontId="16" fillId="3" borderId="0" xfId="0" applyFont="1" applyFill="1" applyAlignment="1">
      <alignment horizontal="centerContinuous"/>
    </xf>
    <xf numFmtId="172" fontId="17" fillId="3" borderId="0" xfId="0" applyFont="1" applyFill="1" applyBorder="1" applyAlignment="1">
      <alignment horizontal="centerContinuous"/>
    </xf>
    <xf numFmtId="171" fontId="16" fillId="3" borderId="0" xfId="1" applyNumberFormat="1" applyFont="1" applyFill="1" applyAlignment="1">
      <alignment horizontal="centerContinuous"/>
    </xf>
    <xf numFmtId="172" fontId="16" fillId="0" borderId="0" xfId="0" applyFont="1" applyFill="1" applyBorder="1"/>
    <xf numFmtId="172" fontId="17" fillId="0" borderId="0" xfId="0" applyFont="1" applyFill="1" applyBorder="1" applyAlignment="1">
      <alignment wrapText="1"/>
    </xf>
    <xf numFmtId="172" fontId="16" fillId="0" borderId="0" xfId="0" applyFont="1" applyFill="1" applyBorder="1" applyAlignment="1">
      <alignment horizontal="center"/>
    </xf>
    <xf numFmtId="168" fontId="16" fillId="0" borderId="0" xfId="0" applyNumberFormat="1" applyFont="1" applyFill="1" applyBorder="1"/>
    <xf numFmtId="8" fontId="3" fillId="0" borderId="10" xfId="0" applyNumberFormat="1" applyFont="1" applyFill="1" applyBorder="1" applyAlignment="1">
      <alignment horizontal="center"/>
    </xf>
    <xf numFmtId="8" fontId="3" fillId="0" borderId="6" xfId="1" applyNumberFormat="1" applyFont="1" applyFill="1" applyBorder="1" applyAlignment="1">
      <alignment horizontal="center"/>
    </xf>
    <xf numFmtId="172" fontId="2" fillId="0" borderId="7" xfId="0" applyFont="1" applyFill="1" applyBorder="1" applyAlignment="1">
      <alignment horizontal="center"/>
    </xf>
    <xf numFmtId="172" fontId="2" fillId="0" borderId="7" xfId="0" applyFont="1" applyFill="1" applyBorder="1" applyAlignment="1">
      <alignment horizontal="centerContinuous"/>
    </xf>
    <xf numFmtId="172" fontId="20" fillId="0" borderId="0" xfId="0" applyFont="1" applyFill="1"/>
    <xf numFmtId="167" fontId="20" fillId="0" borderId="0" xfId="8" applyNumberFormat="1" applyFont="1" applyFill="1"/>
    <xf numFmtId="43" fontId="20" fillId="0" borderId="0" xfId="2" applyNumberFormat="1" applyFont="1" applyFill="1"/>
    <xf numFmtId="164" fontId="20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41" fontId="20" fillId="0" borderId="0" xfId="0" applyNumberFormat="1" applyFont="1" applyFill="1"/>
    <xf numFmtId="8" fontId="20" fillId="0" borderId="0" xfId="2" applyNumberFormat="1" applyFont="1" applyFill="1"/>
    <xf numFmtId="2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39" fontId="3" fillId="0" borderId="0" xfId="0" applyNumberFormat="1" applyFont="1" applyFill="1" applyBorder="1" applyAlignment="1">
      <alignment horizontal="center"/>
    </xf>
    <xf numFmtId="172" fontId="2" fillId="0" borderId="0" xfId="0" applyFont="1" applyFill="1" applyBorder="1" applyAlignment="1">
      <alignment horizontal="center"/>
    </xf>
    <xf numFmtId="172" fontId="2" fillId="0" borderId="18" xfId="0" applyFont="1" applyFill="1" applyBorder="1" applyAlignment="1">
      <alignment horizontal="centerContinuous"/>
    </xf>
    <xf numFmtId="172" fontId="2" fillId="0" borderId="19" xfId="0" applyFont="1" applyFill="1" applyBorder="1" applyAlignment="1">
      <alignment horizontal="centerContinuous"/>
    </xf>
    <xf numFmtId="172" fontId="2" fillId="0" borderId="20" xfId="0" applyFont="1" applyFill="1" applyBorder="1" applyAlignment="1">
      <alignment horizontal="centerContinuous"/>
    </xf>
    <xf numFmtId="167" fontId="0" fillId="0" borderId="0" xfId="8" applyNumberFormat="1" applyFont="1" applyFill="1"/>
    <xf numFmtId="172" fontId="2" fillId="0" borderId="18" xfId="5" applyFont="1" applyFill="1" applyBorder="1" applyAlignment="1">
      <alignment horizontal="centerContinuous"/>
    </xf>
    <xf numFmtId="172" fontId="2" fillId="0" borderId="3" xfId="5" applyFont="1" applyFill="1" applyBorder="1" applyAlignment="1">
      <alignment horizontal="centerContinuous"/>
    </xf>
    <xf numFmtId="172" fontId="21" fillId="0" borderId="0" xfId="5" applyFont="1" applyFill="1" applyBorder="1"/>
    <xf numFmtId="2" fontId="3" fillId="0" borderId="2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8" fontId="3" fillId="0" borderId="0" xfId="0" quotePrefix="1" applyNumberFormat="1" applyFont="1" applyFill="1" applyBorder="1" applyAlignment="1">
      <alignment horizontal="center"/>
    </xf>
    <xf numFmtId="172" fontId="16" fillId="0" borderId="0" xfId="0" applyFont="1" applyFill="1" applyAlignment="1">
      <alignment horizontal="centerContinuous"/>
    </xf>
    <xf numFmtId="172" fontId="3" fillId="0" borderId="0" xfId="0" applyFont="1" applyFill="1" applyBorder="1" applyAlignment="1">
      <alignment horizontal="left" indent="1"/>
    </xf>
    <xf numFmtId="172" fontId="3" fillId="0" borderId="0" xfId="0" applyFont="1" applyFill="1" applyAlignment="1">
      <alignment horizontal="left" indent="1"/>
    </xf>
    <xf numFmtId="167" fontId="0" fillId="6" borderId="0" xfId="8" applyNumberFormat="1" applyFont="1" applyFill="1"/>
    <xf numFmtId="172" fontId="0" fillId="0" borderId="0" xfId="0" applyFill="1"/>
    <xf numFmtId="43" fontId="0" fillId="0" borderId="0" xfId="1" applyFont="1" applyFill="1"/>
    <xf numFmtId="173" fontId="3" fillId="0" borderId="0" xfId="0" applyNumberFormat="1" applyFont="1" applyFill="1"/>
    <xf numFmtId="172" fontId="0" fillId="0" borderId="0" xfId="0" quotePrefix="1" applyFont="1" applyFill="1"/>
    <xf numFmtId="167" fontId="3" fillId="0" borderId="0" xfId="8" applyNumberFormat="1" applyFont="1" applyFill="1" applyAlignment="1">
      <alignment horizontal="center"/>
    </xf>
    <xf numFmtId="41" fontId="4" fillId="0" borderId="0" xfId="11" applyFont="1" applyFill="1" applyAlignment="1">
      <alignment horizontal="centerContinuous"/>
    </xf>
    <xf numFmtId="41" fontId="11" fillId="0" borderId="0" xfId="11" applyFont="1" applyFill="1" applyAlignment="1">
      <alignment horizontal="centerContinuous"/>
    </xf>
    <xf numFmtId="41" fontId="3" fillId="0" borderId="0" xfId="11" applyFont="1" applyFill="1" applyAlignment="1">
      <alignment horizontal="centerContinuous"/>
    </xf>
    <xf numFmtId="2" fontId="3" fillId="0" borderId="0" xfId="11" applyNumberFormat="1" applyFont="1" applyFill="1" applyAlignment="1">
      <alignment horizontal="center"/>
    </xf>
    <xf numFmtId="41" fontId="3" fillId="0" borderId="0" xfId="11" applyFont="1" applyFill="1" applyBorder="1"/>
    <xf numFmtId="41" fontId="3" fillId="0" borderId="0" xfId="11"/>
    <xf numFmtId="41" fontId="5" fillId="0" borderId="0" xfId="11" applyFont="1" applyFill="1" applyAlignment="1">
      <alignment horizontal="centerContinuous"/>
    </xf>
    <xf numFmtId="41" fontId="3" fillId="0" borderId="0" xfId="11" applyFont="1" applyFill="1"/>
    <xf numFmtId="41" fontId="3" fillId="0" borderId="0" xfId="11" applyFont="1" applyFill="1" applyAlignment="1">
      <alignment horizontal="center"/>
    </xf>
    <xf numFmtId="17" fontId="3" fillId="0" borderId="0" xfId="11" applyNumberFormat="1" applyFont="1" applyFill="1" applyAlignment="1">
      <alignment horizontal="center"/>
    </xf>
    <xf numFmtId="9" fontId="3" fillId="0" borderId="0" xfId="8" applyFont="1" applyFill="1" applyAlignment="1">
      <alignment horizontal="center"/>
    </xf>
    <xf numFmtId="41" fontId="3" fillId="0" borderId="0" xfId="11" applyFont="1" applyFill="1" applyBorder="1" applyAlignment="1">
      <alignment horizontal="center"/>
    </xf>
    <xf numFmtId="8" fontId="3" fillId="0" borderId="2" xfId="11" applyNumberFormat="1" applyFont="1" applyFill="1" applyBorder="1" applyAlignment="1">
      <alignment horizontal="center"/>
    </xf>
    <xf numFmtId="2" fontId="3" fillId="0" borderId="0" xfId="11" applyNumberFormat="1" applyFont="1" applyFill="1" applyBorder="1" applyAlignment="1">
      <alignment horizontal="center"/>
    </xf>
    <xf numFmtId="0" fontId="3" fillId="0" borderId="12" xfId="11" applyNumberFormat="1" applyFont="1" applyFill="1" applyBorder="1" applyAlignment="1">
      <alignment horizontal="center"/>
    </xf>
    <xf numFmtId="8" fontId="3" fillId="0" borderId="0" xfId="11" applyNumberFormat="1" applyFont="1" applyFill="1" applyBorder="1" applyAlignment="1">
      <alignment horizontal="center"/>
    </xf>
    <xf numFmtId="8" fontId="3" fillId="0" borderId="13" xfId="11" applyNumberFormat="1" applyFont="1" applyFill="1" applyBorder="1" applyAlignment="1">
      <alignment horizontal="center"/>
    </xf>
    <xf numFmtId="0" fontId="3" fillId="0" borderId="10" xfId="11" applyNumberFormat="1" applyFont="1" applyFill="1" applyBorder="1" applyAlignment="1">
      <alignment horizontal="center"/>
    </xf>
    <xf numFmtId="8" fontId="3" fillId="0" borderId="1" xfId="11" applyNumberFormat="1" applyFont="1" applyFill="1" applyBorder="1" applyAlignment="1">
      <alignment horizontal="center"/>
    </xf>
    <xf numFmtId="8" fontId="3" fillId="0" borderId="14" xfId="11" applyNumberFormat="1" applyFont="1" applyFill="1" applyBorder="1" applyAlignment="1">
      <alignment horizontal="center"/>
    </xf>
    <xf numFmtId="0" fontId="0" fillId="0" borderId="0" xfId="11" applyNumberFormat="1" applyFont="1" applyFill="1" applyAlignment="1">
      <alignment horizontal="left"/>
    </xf>
    <xf numFmtId="41" fontId="3" fillId="0" borderId="0" xfId="11" applyFont="1" applyFill="1" applyAlignment="1">
      <alignment horizontal="left" indent="1"/>
    </xf>
    <xf numFmtId="39" fontId="3" fillId="0" borderId="0" xfId="12" quotePrefix="1" applyNumberFormat="1" applyFont="1" applyFill="1" applyBorder="1" applyAlignment="1">
      <alignment horizontal="center"/>
    </xf>
    <xf numFmtId="39" fontId="3" fillId="0" borderId="0" xfId="11" applyNumberFormat="1" applyFont="1" applyFill="1" applyBorder="1" applyAlignment="1">
      <alignment horizontal="center"/>
    </xf>
    <xf numFmtId="8" fontId="3" fillId="0" borderId="0" xfId="11" applyNumberFormat="1" applyFont="1" applyFill="1"/>
    <xf numFmtId="0" fontId="0" fillId="0" borderId="0" xfId="7" applyFont="1" applyFill="1" applyBorder="1" applyAlignment="1">
      <alignment horizontal="center"/>
    </xf>
    <xf numFmtId="172" fontId="0" fillId="0" borderId="0" xfId="0" applyFont="1" applyFill="1" applyAlignment="1">
      <alignment horizontal="centerContinuous"/>
    </xf>
    <xf numFmtId="172" fontId="0" fillId="0" borderId="0" xfId="0" applyFont="1" applyFill="1"/>
    <xf numFmtId="172" fontId="0" fillId="0" borderId="0" xfId="0" applyFont="1" applyFill="1" applyBorder="1" applyAlignment="1">
      <alignment horizontal="centerContinuous"/>
    </xf>
    <xf numFmtId="172" fontId="0" fillId="0" borderId="0" xfId="0" applyFont="1" applyFill="1" applyBorder="1"/>
    <xf numFmtId="0" fontId="0" fillId="0" borderId="0" xfId="0" applyNumberFormat="1" applyFont="1" applyFill="1"/>
    <xf numFmtId="6" fontId="0" fillId="0" borderId="0" xfId="0" applyNumberFormat="1" applyFont="1" applyFill="1" applyAlignment="1">
      <alignment horizontal="right"/>
    </xf>
    <xf numFmtId="8" fontId="0" fillId="0" borderId="0" xfId="0" applyNumberFormat="1" applyFont="1" applyFill="1" applyAlignment="1">
      <alignment horizontal="right"/>
    </xf>
    <xf numFmtId="8" fontId="0" fillId="0" borderId="0" xfId="0" applyNumberFormat="1" applyFont="1" applyFill="1"/>
    <xf numFmtId="8" fontId="0" fillId="0" borderId="0" xfId="0" applyNumberFormat="1" applyFont="1" applyFill="1" applyBorder="1"/>
    <xf numFmtId="165" fontId="0" fillId="0" borderId="0" xfId="0" applyNumberFormat="1" applyFont="1" applyFill="1" applyAlignment="1">
      <alignment horizontal="center"/>
    </xf>
    <xf numFmtId="8" fontId="0" fillId="0" borderId="0" xfId="0" applyNumberFormat="1" applyFont="1" applyFill="1" applyBorder="1" applyAlignment="1">
      <alignment horizontal="right"/>
    </xf>
    <xf numFmtId="169" fontId="0" fillId="0" borderId="0" xfId="0" applyNumberFormat="1" applyFont="1" applyFill="1"/>
    <xf numFmtId="41" fontId="0" fillId="0" borderId="0" xfId="4" applyFont="1" applyFill="1"/>
    <xf numFmtId="172" fontId="0" fillId="0" borderId="0" xfId="0" applyFont="1" applyFill="1" applyAlignment="1">
      <alignment horizontal="center"/>
    </xf>
    <xf numFmtId="172" fontId="0" fillId="0" borderId="21" xfId="0" applyFont="1" applyFill="1" applyBorder="1" applyAlignment="1">
      <alignment horizontal="centerContinuous"/>
    </xf>
    <xf numFmtId="41" fontId="0" fillId="0" borderId="0" xfId="0" applyNumberFormat="1" applyFont="1" applyFill="1"/>
    <xf numFmtId="6" fontId="0" fillId="0" borderId="0" xfId="2" applyNumberFormat="1" applyFont="1" applyFill="1"/>
    <xf numFmtId="8" fontId="0" fillId="0" borderId="0" xfId="2" applyNumberFormat="1" applyFont="1" applyFill="1"/>
    <xf numFmtId="172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center"/>
    </xf>
    <xf numFmtId="167" fontId="0" fillId="0" borderId="0" xfId="0" applyNumberFormat="1" applyFont="1" applyFill="1"/>
    <xf numFmtId="164" fontId="0" fillId="0" borderId="0" xfId="0" applyNumberFormat="1" applyFont="1" applyFill="1"/>
    <xf numFmtId="172" fontId="0" fillId="0" borderId="11" xfId="0" applyFont="1" applyFill="1" applyBorder="1" applyAlignment="1">
      <alignment horizontal="centerContinuous"/>
    </xf>
    <xf numFmtId="172" fontId="0" fillId="0" borderId="4" xfId="0" applyFont="1" applyFill="1" applyBorder="1" applyAlignment="1">
      <alignment horizontal="centerContinuous"/>
    </xf>
    <xf numFmtId="170" fontId="0" fillId="0" borderId="0" xfId="2" applyNumberFormat="1" applyFont="1" applyFill="1"/>
    <xf numFmtId="9" fontId="0" fillId="0" borderId="0" xfId="0" applyNumberFormat="1" applyFont="1" applyFill="1"/>
    <xf numFmtId="1" fontId="0" fillId="0" borderId="0" xfId="6" applyNumberFormat="1" applyFont="1" applyFill="1" applyAlignment="1" applyProtection="1">
      <alignment horizontal="center"/>
      <protection locked="0"/>
    </xf>
    <xf numFmtId="8" fontId="3" fillId="0" borderId="0" xfId="11" applyNumberFormat="1"/>
    <xf numFmtId="0" fontId="3" fillId="0" borderId="8" xfId="11" applyNumberFormat="1" applyFont="1" applyFill="1" applyBorder="1" applyAlignment="1">
      <alignment horizontal="center"/>
    </xf>
    <xf numFmtId="173" fontId="0" fillId="0" borderId="0" xfId="0" applyNumberFormat="1"/>
    <xf numFmtId="174" fontId="3" fillId="0" borderId="0" xfId="11" applyNumberFormat="1" applyFont="1" applyFill="1" applyBorder="1" applyAlignment="1">
      <alignment horizontal="center"/>
    </xf>
    <xf numFmtId="175" fontId="3" fillId="0" borderId="0" xfId="0" applyNumberFormat="1" applyFont="1" applyFill="1" applyBorder="1" applyAlignment="1">
      <alignment horizontal="center"/>
    </xf>
    <xf numFmtId="17" fontId="3" fillId="0" borderId="0" xfId="11" applyNumberFormat="1" applyFont="1" applyFill="1" applyBorder="1" applyAlignment="1"/>
    <xf numFmtId="41" fontId="3" fillId="0" borderId="0" xfId="11" applyFont="1" applyFill="1" applyAlignment="1"/>
    <xf numFmtId="168" fontId="22" fillId="0" borderId="0" xfId="11" applyNumberFormat="1" applyFont="1" applyFill="1" applyBorder="1" applyAlignment="1">
      <alignment horizontal="centerContinuous"/>
    </xf>
    <xf numFmtId="6" fontId="0" fillId="0" borderId="0" xfId="2" applyNumberFormat="1" applyFont="1" applyFill="1" applyAlignment="1">
      <alignment horizontal="center"/>
    </xf>
    <xf numFmtId="6" fontId="20" fillId="0" borderId="0" xfId="2" applyNumberFormat="1" applyFont="1" applyFill="1" applyAlignment="1">
      <alignment horizontal="center"/>
    </xf>
    <xf numFmtId="8" fontId="0" fillId="0" borderId="0" xfId="2" applyNumberFormat="1" applyFont="1" applyFill="1" applyAlignment="1">
      <alignment horizontal="center"/>
    </xf>
    <xf numFmtId="8" fontId="20" fillId="0" borderId="0" xfId="2" applyNumberFormat="1" applyFont="1" applyFill="1" applyAlignment="1">
      <alignment horizontal="center"/>
    </xf>
    <xf numFmtId="10" fontId="0" fillId="0" borderId="0" xfId="8" applyNumberFormat="1" applyFont="1" applyFill="1"/>
    <xf numFmtId="8" fontId="0" fillId="0" borderId="22" xfId="0" applyNumberFormat="1" applyFont="1" applyFill="1" applyBorder="1"/>
    <xf numFmtId="177" fontId="3" fillId="0" borderId="0" xfId="11" applyNumberFormat="1" applyFont="1" applyFill="1" applyBorder="1" applyAlignment="1">
      <alignment horizontal="center"/>
    </xf>
    <xf numFmtId="176" fontId="0" fillId="0" borderId="0" xfId="0" applyNumberFormat="1" applyFont="1" applyFill="1" applyBorder="1"/>
    <xf numFmtId="8" fontId="0" fillId="0" borderId="0" xfId="5" applyNumberFormat="1" applyFont="1" applyFill="1" applyBorder="1"/>
    <xf numFmtId="41" fontId="0" fillId="0" borderId="0" xfId="5" applyNumberFormat="1" applyFont="1" applyFill="1" applyBorder="1"/>
    <xf numFmtId="172" fontId="0" fillId="0" borderId="0" xfId="5" applyFont="1" applyFill="1"/>
    <xf numFmtId="172" fontId="2" fillId="0" borderId="7" xfId="5" applyFont="1" applyFill="1" applyBorder="1" applyAlignment="1">
      <alignment horizontal="centerContinuous"/>
    </xf>
    <xf numFmtId="172" fontId="0" fillId="0" borderId="0" xfId="5" applyFont="1" applyFill="1" applyAlignment="1">
      <alignment horizontal="left"/>
    </xf>
    <xf numFmtId="0" fontId="0" fillId="0" borderId="22" xfId="5" applyNumberFormat="1" applyFont="1" applyFill="1" applyBorder="1"/>
    <xf numFmtId="165" fontId="0" fillId="0" borderId="22" xfId="5" applyNumberFormat="1" applyFont="1" applyFill="1" applyBorder="1" applyAlignment="1">
      <alignment horizontal="center"/>
    </xf>
    <xf numFmtId="8" fontId="0" fillId="0" borderId="22" xfId="5" applyNumberFormat="1" applyFont="1" applyFill="1" applyBorder="1" applyAlignment="1">
      <alignment horizontal="right"/>
    </xf>
    <xf numFmtId="8" fontId="0" fillId="0" borderId="22" xfId="5" applyNumberFormat="1" applyFont="1" applyFill="1" applyBorder="1"/>
    <xf numFmtId="0" fontId="0" fillId="0" borderId="0" xfId="5" applyNumberFormat="1" applyFont="1" applyFill="1"/>
    <xf numFmtId="165" fontId="0" fillId="0" borderId="0" xfId="5" applyNumberFormat="1" applyFont="1" applyFill="1" applyAlignment="1">
      <alignment horizontal="center"/>
    </xf>
    <xf numFmtId="8" fontId="0" fillId="0" borderId="0" xfId="5" applyNumberFormat="1" applyFont="1" applyFill="1" applyAlignment="1">
      <alignment horizontal="right"/>
    </xf>
    <xf numFmtId="172" fontId="6" fillId="0" borderId="0" xfId="0" applyFont="1" applyFill="1"/>
    <xf numFmtId="172" fontId="17" fillId="3" borderId="0" xfId="0" applyFont="1" applyFill="1" applyBorder="1" applyAlignment="1">
      <alignment horizontal="center"/>
    </xf>
    <xf numFmtId="14" fontId="23" fillId="4" borderId="7" xfId="0" applyNumberFormat="1" applyFont="1" applyFill="1" applyBorder="1" applyAlignment="1">
      <alignment horizontal="center"/>
    </xf>
    <xf numFmtId="172" fontId="17" fillId="3" borderId="0" xfId="0" applyFont="1" applyFill="1" applyAlignment="1">
      <alignment horizontal="centerContinuous"/>
    </xf>
    <xf numFmtId="172" fontId="6" fillId="0" borderId="0" xfId="0" applyFont="1" applyFill="1" applyBorder="1"/>
    <xf numFmtId="14" fontId="24" fillId="3" borderId="0" xfId="0" applyNumberFormat="1" applyFont="1" applyFill="1" applyBorder="1" applyAlignment="1">
      <alignment horizontal="centerContinuous" vertical="center"/>
    </xf>
    <xf numFmtId="172" fontId="6" fillId="0" borderId="0" xfId="0" applyFont="1" applyFill="1" applyBorder="1" applyAlignment="1">
      <alignment horizontal="center"/>
    </xf>
    <xf numFmtId="172" fontId="16" fillId="3" borderId="0" xfId="0" applyFont="1" applyFill="1" applyBorder="1" applyAlignment="1">
      <alignment horizontal="centerContinuous" wrapText="1"/>
    </xf>
    <xf numFmtId="172" fontId="6" fillId="0" borderId="0" xfId="0" applyFont="1" applyFill="1" applyAlignment="1">
      <alignment horizontal="center"/>
    </xf>
    <xf numFmtId="172" fontId="16" fillId="0" borderId="17" xfId="0" applyFont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172" fontId="6" fillId="5" borderId="16" xfId="0" applyFont="1" applyFill="1" applyBorder="1"/>
    <xf numFmtId="0" fontId="2" fillId="0" borderId="0" xfId="0" applyNumberFormat="1" applyFont="1" applyFill="1" applyAlignment="1"/>
    <xf numFmtId="41" fontId="25" fillId="0" borderId="0" xfId="11" applyFont="1" applyFill="1"/>
    <xf numFmtId="176" fontId="25" fillId="0" borderId="0" xfId="8" applyNumberFormat="1" applyFont="1" applyFill="1"/>
    <xf numFmtId="172" fontId="3" fillId="0" borderId="0" xfId="0" quotePrefix="1" applyFont="1" applyFill="1" applyAlignment="1">
      <alignment horizontal="left" vertical="top"/>
    </xf>
    <xf numFmtId="172" fontId="3" fillId="0" borderId="0" xfId="0" applyFont="1" applyFill="1" applyAlignment="1">
      <alignment wrapText="1"/>
    </xf>
    <xf numFmtId="176" fontId="0" fillId="6" borderId="0" xfId="8" applyNumberFormat="1" applyFont="1" applyFill="1"/>
    <xf numFmtId="167" fontId="25" fillId="6" borderId="0" xfId="8" applyNumberFormat="1" applyFont="1" applyFill="1"/>
    <xf numFmtId="180" fontId="3" fillId="0" borderId="10" xfId="0" applyNumberFormat="1" applyFont="1" applyFill="1" applyBorder="1" applyAlignment="1">
      <alignment horizontal="center"/>
    </xf>
    <xf numFmtId="172" fontId="28" fillId="0" borderId="0" xfId="0" applyFont="1"/>
    <xf numFmtId="7" fontId="3" fillId="0" borderId="9" xfId="11" applyNumberFormat="1" applyFont="1" applyFill="1" applyBorder="1" applyAlignment="1">
      <alignment horizontal="center"/>
    </xf>
    <xf numFmtId="7" fontId="3" fillId="0" borderId="13" xfId="11" applyNumberFormat="1" applyFont="1" applyFill="1" applyBorder="1" applyAlignment="1">
      <alignment horizontal="center"/>
    </xf>
    <xf numFmtId="7" fontId="3" fillId="0" borderId="0" xfId="11" applyNumberFormat="1" applyFont="1" applyFill="1" applyBorder="1" applyAlignment="1">
      <alignment horizontal="center"/>
    </xf>
  </cellXfs>
  <cellStyles count="24">
    <cellStyle name="Comma" xfId="1" builtinId="3"/>
    <cellStyle name="Comma 2" xfId="15"/>
    <cellStyle name="Currency" xfId="2" builtinId="4"/>
    <cellStyle name="Currency 2" xfId="16"/>
    <cellStyle name="Currency No Comma" xfId="17"/>
    <cellStyle name="Input" xfId="3" builtinId="20" customBuiltin="1"/>
    <cellStyle name="MCP" xfId="18"/>
    <cellStyle name="noninput" xfId="19"/>
    <cellStyle name="Normal" xfId="0" builtinId="0" customBuiltin="1"/>
    <cellStyle name="Normal 2" xfId="9"/>
    <cellStyle name="Normal 2 2" xfId="14"/>
    <cellStyle name="Normal 3" xfId="10"/>
    <cellStyle name="Normal 5" xfId="13"/>
    <cellStyle name="Normal_DRR AC Study - Utah Valley - 53 MW 90 CF (2.28.2005)" xfId="4"/>
    <cellStyle name="Normal_Exhibit GND-1 - 5.24.2005" xfId="12"/>
    <cellStyle name="Normal_OR AC Sch 37 - AC  Study (Gold) _2009 06 19" xfId="5"/>
    <cellStyle name="Normal_T-INF-10-15-04-TEMPLATE" xfId="6"/>
    <cellStyle name="Normal_UT 2008.Q2 - Compliance - Appendix B - AC Study_2008 08 05" xfId="11"/>
    <cellStyle name="Normal_UT AC 2004 - AC Study (As Ordered by Commission)" xfId="7"/>
    <cellStyle name="Password" xfId="20"/>
    <cellStyle name="Percent" xfId="8" builtinId="5"/>
    <cellStyle name="Unprot" xfId="21"/>
    <cellStyle name="Unprot$" xfId="22"/>
    <cellStyle name="Unprotect" xfId="23"/>
  </cellStyles>
  <dxfs count="2">
    <dxf>
      <font>
        <b/>
        <i/>
        <condense val="0"/>
        <extend val="0"/>
      </font>
      <fill>
        <patternFill>
          <bgColor indexed="42"/>
        </patternFill>
      </fill>
    </dxf>
    <dxf>
      <numFmt numFmtId="181" formatCode="&quot;$&quot;#,##0.00_)&quot;x&quot;"/>
    </dxf>
  </dxfs>
  <tableStyles count="0" defaultTableStyle="TableStyleMedium9" defaultPivotStyle="PivotStyleLight16"/>
  <colors>
    <mruColors>
      <color rgb="FFCCECFF"/>
      <color rgb="FF99FF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urieharris\Downloads\jun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--&gt;"/>
      <sheetName val="VDOC"/>
      <sheetName val="Table 3 not used"/>
      <sheetName val="Monthly NPV"/>
    </sheetNames>
    <sheetDataSet>
      <sheetData sheetId="0" refreshError="1"/>
      <sheetData sheetId="1" refreshError="1"/>
      <sheetData sheetId="2" refreshError="1"/>
      <sheetData sheetId="3">
        <row r="2">
          <cell r="M2" t="str">
            <v>Utah 2013.Q4</v>
          </cell>
        </row>
        <row r="4">
          <cell r="M4">
            <v>100</v>
          </cell>
        </row>
        <row r="5">
          <cell r="M5">
            <v>0.85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G42"/>
  <sheetViews>
    <sheetView tabSelected="1" zoomScale="110" zoomScaleNormal="110" workbookViewId="0">
      <selection activeCell="J31" sqref="J31"/>
    </sheetView>
  </sheetViews>
  <sheetFormatPr defaultRowHeight="12.75"/>
  <cols>
    <col min="1" max="1" width="2.83203125" style="129" customWidth="1"/>
    <col min="2" max="2" width="19.1640625" style="129" customWidth="1"/>
    <col min="3" max="5" width="21.6640625" style="129" customWidth="1"/>
    <col min="6" max="6" width="3.33203125" style="129" customWidth="1"/>
    <col min="7" max="7" width="9.33203125" style="129" hidden="1" customWidth="1"/>
    <col min="8" max="16384" width="9.33203125" style="127"/>
  </cols>
  <sheetData>
    <row r="1" spans="2:7" ht="15.75">
      <c r="B1" s="122" t="s">
        <v>73</v>
      </c>
      <c r="C1" s="123"/>
      <c r="D1" s="123"/>
      <c r="E1" s="124"/>
      <c r="F1" s="125"/>
      <c r="G1" s="126"/>
    </row>
    <row r="2" spans="2:7" ht="15.75">
      <c r="B2" s="122"/>
      <c r="C2" s="123"/>
      <c r="D2" s="123"/>
      <c r="E2" s="124"/>
      <c r="F2" s="125"/>
      <c r="G2" s="126"/>
    </row>
    <row r="3" spans="2:7" ht="15.75">
      <c r="B3" s="128" t="s">
        <v>81</v>
      </c>
      <c r="C3" s="128"/>
      <c r="D3" s="128"/>
      <c r="E3" s="122"/>
      <c r="F3" s="125"/>
      <c r="G3" s="126"/>
    </row>
    <row r="4" spans="2:7" ht="15.75">
      <c r="B4" s="7" t="str">
        <f ca="1">'Table 1'!B5</f>
        <v>Utah 2013.Q4 - 100.0 MW and 85.0% CF</v>
      </c>
      <c r="C4" s="128"/>
      <c r="D4" s="128"/>
      <c r="E4" s="122"/>
      <c r="F4" s="125"/>
      <c r="G4" s="126"/>
    </row>
    <row r="5" spans="2:7" ht="25.5" customHeight="1">
      <c r="C5" s="130"/>
      <c r="F5" s="125"/>
      <c r="G5" s="126"/>
    </row>
    <row r="6" spans="2:7">
      <c r="B6" s="130" t="s">
        <v>0</v>
      </c>
      <c r="C6" s="131" t="s">
        <v>88</v>
      </c>
      <c r="D6" s="131" t="s">
        <v>109</v>
      </c>
      <c r="E6" s="132" t="s">
        <v>82</v>
      </c>
      <c r="F6" s="125"/>
      <c r="G6" s="180"/>
    </row>
    <row r="7" spans="2:7">
      <c r="B7" s="130"/>
      <c r="C7" s="44" t="str">
        <f ca="1">TEXT('Table 1'!G9,"0.0%")&amp;" CF (2)"</f>
        <v>85.0% CF (2)</v>
      </c>
      <c r="D7" s="124" t="s">
        <v>108</v>
      </c>
      <c r="E7" s="133"/>
      <c r="F7" s="125"/>
      <c r="G7" s="181"/>
    </row>
    <row r="8" spans="2:7">
      <c r="B8" s="176">
        <f ca="1">'Table 1'!B13</f>
        <v>2015</v>
      </c>
      <c r="C8" s="134">
        <f ca="1">'Table 1'!G13</f>
        <v>30.09</v>
      </c>
      <c r="D8" s="134">
        <v>30.57</v>
      </c>
      <c r="E8" s="224">
        <f t="shared" ref="E8:E27" ca="1" si="0">C8-D8</f>
        <v>-0.48000000000000043</v>
      </c>
      <c r="F8" s="125"/>
      <c r="G8" s="182"/>
    </row>
    <row r="9" spans="2:7">
      <c r="B9" s="136">
        <f t="shared" ref="B9:B27" ca="1" si="1">B8+1</f>
        <v>2016</v>
      </c>
      <c r="C9" s="137">
        <f ca="1">'Table 1'!G14</f>
        <v>27.98</v>
      </c>
      <c r="D9" s="137">
        <v>28.93</v>
      </c>
      <c r="E9" s="225">
        <f t="shared" ca="1" si="0"/>
        <v>-0.94999999999999929</v>
      </c>
      <c r="F9" s="125"/>
      <c r="G9" s="182"/>
    </row>
    <row r="10" spans="2:7">
      <c r="B10" s="136">
        <f t="shared" ca="1" si="1"/>
        <v>2017</v>
      </c>
      <c r="C10" s="137">
        <f ca="1">'Table 1'!G15</f>
        <v>26.97</v>
      </c>
      <c r="D10" s="137">
        <v>28.62</v>
      </c>
      <c r="E10" s="225">
        <f t="shared" ca="1" si="0"/>
        <v>-1.6500000000000021</v>
      </c>
      <c r="F10" s="125"/>
      <c r="G10" s="182"/>
    </row>
    <row r="11" spans="2:7">
      <c r="B11" s="136">
        <f t="shared" ca="1" si="1"/>
        <v>2018</v>
      </c>
      <c r="C11" s="137">
        <f ca="1">'Table 1'!G16</f>
        <v>29.66</v>
      </c>
      <c r="D11" s="137">
        <v>30.61</v>
      </c>
      <c r="E11" s="225">
        <f t="shared" ca="1" si="0"/>
        <v>-0.94999999999999929</v>
      </c>
      <c r="F11" s="125"/>
      <c r="G11" s="182"/>
    </row>
    <row r="12" spans="2:7">
      <c r="B12" s="136">
        <f t="shared" ca="1" si="1"/>
        <v>2019</v>
      </c>
      <c r="C12" s="137">
        <f ca="1">'Table 1'!G17</f>
        <v>31.17</v>
      </c>
      <c r="D12" s="137">
        <v>32.42</v>
      </c>
      <c r="E12" s="225">
        <f t="shared" ca="1" si="0"/>
        <v>-1.25</v>
      </c>
      <c r="F12" s="125"/>
      <c r="G12" s="182"/>
    </row>
    <row r="13" spans="2:7">
      <c r="B13" s="136">
        <f t="shared" ca="1" si="1"/>
        <v>2020</v>
      </c>
      <c r="C13" s="137">
        <f ca="1">'Table 1'!G18</f>
        <v>35.729999999999997</v>
      </c>
      <c r="D13" s="137">
        <v>36.090000000000003</v>
      </c>
      <c r="E13" s="225">
        <f t="shared" ca="1" si="0"/>
        <v>-0.36000000000000654</v>
      </c>
      <c r="F13" s="125"/>
      <c r="G13" s="182"/>
    </row>
    <row r="14" spans="2:7">
      <c r="B14" s="136">
        <f t="shared" ca="1" si="1"/>
        <v>2021</v>
      </c>
      <c r="C14" s="137">
        <f ca="1">'Table 1'!G19</f>
        <v>39.380000000000003</v>
      </c>
      <c r="D14" s="137">
        <v>40.9</v>
      </c>
      <c r="E14" s="225">
        <f t="shared" ca="1" si="0"/>
        <v>-1.519999999999996</v>
      </c>
      <c r="F14" s="125"/>
      <c r="G14" s="182"/>
    </row>
    <row r="15" spans="2:7">
      <c r="B15" s="136">
        <f t="shared" ca="1" si="1"/>
        <v>2022</v>
      </c>
      <c r="C15" s="137">
        <f ca="1">'Table 1'!G20</f>
        <v>45.17</v>
      </c>
      <c r="D15" s="137">
        <v>47.07</v>
      </c>
      <c r="E15" s="225">
        <f t="shared" ca="1" si="0"/>
        <v>-1.8999999999999986</v>
      </c>
      <c r="F15" s="125"/>
      <c r="G15" s="182"/>
    </row>
    <row r="16" spans="2:7">
      <c r="B16" s="136">
        <f t="shared" ca="1" si="1"/>
        <v>2023</v>
      </c>
      <c r="C16" s="137">
        <f ca="1">'Table 1'!G21</f>
        <v>50.93</v>
      </c>
      <c r="D16" s="137">
        <v>52.72</v>
      </c>
      <c r="E16" s="225">
        <f t="shared" ca="1" si="0"/>
        <v>-1.7899999999999991</v>
      </c>
      <c r="F16" s="125"/>
      <c r="G16" s="182"/>
    </row>
    <row r="17" spans="2:7">
      <c r="B17" s="136">
        <f t="shared" ca="1" si="1"/>
        <v>2024</v>
      </c>
      <c r="C17" s="137">
        <f ca="1">'Table 1'!G22</f>
        <v>52.51</v>
      </c>
      <c r="D17" s="137">
        <v>54.38</v>
      </c>
      <c r="E17" s="225">
        <f t="shared" ca="1" si="0"/>
        <v>-1.8700000000000045</v>
      </c>
      <c r="F17" s="125"/>
      <c r="G17" s="182"/>
    </row>
    <row r="18" spans="2:7">
      <c r="B18" s="136">
        <f t="shared" ca="1" si="1"/>
        <v>2025</v>
      </c>
      <c r="C18" s="137">
        <f ca="1">'Table 1'!G23</f>
        <v>54.29</v>
      </c>
      <c r="D18" s="137">
        <v>56.85</v>
      </c>
      <c r="E18" s="225">
        <f t="shared" ca="1" si="0"/>
        <v>-2.5600000000000023</v>
      </c>
      <c r="F18" s="125"/>
      <c r="G18" s="182"/>
    </row>
    <row r="19" spans="2:7">
      <c r="B19" s="136">
        <f t="shared" ca="1" si="1"/>
        <v>2026</v>
      </c>
      <c r="C19" s="137">
        <f ca="1">'Table 1'!G24</f>
        <v>56.79</v>
      </c>
      <c r="D19" s="137">
        <v>58.34</v>
      </c>
      <c r="E19" s="225">
        <f t="shared" ca="1" si="0"/>
        <v>-1.5500000000000043</v>
      </c>
      <c r="F19" s="125"/>
      <c r="G19" s="182"/>
    </row>
    <row r="20" spans="2:7">
      <c r="B20" s="136">
        <f t="shared" ca="1" si="1"/>
        <v>2027</v>
      </c>
      <c r="C20" s="137">
        <f ca="1">'Table 1'!G25</f>
        <v>58.32</v>
      </c>
      <c r="D20" s="137">
        <v>60.36</v>
      </c>
      <c r="E20" s="225">
        <f t="shared" ca="1" si="0"/>
        <v>-2.0399999999999991</v>
      </c>
      <c r="F20" s="125"/>
      <c r="G20" s="182"/>
    </row>
    <row r="21" spans="2:7">
      <c r="B21" s="136">
        <f t="shared" ca="1" si="1"/>
        <v>2028</v>
      </c>
      <c r="C21" s="137">
        <f ca="1">'Table 1'!G26</f>
        <v>66.03</v>
      </c>
      <c r="D21" s="137">
        <v>66.03</v>
      </c>
      <c r="E21" s="138">
        <f t="shared" ca="1" si="0"/>
        <v>0</v>
      </c>
      <c r="F21" s="125"/>
      <c r="G21" s="182"/>
    </row>
    <row r="22" spans="2:7">
      <c r="B22" s="136">
        <f t="shared" ca="1" si="1"/>
        <v>2029</v>
      </c>
      <c r="C22" s="137">
        <f ca="1">'Table 1'!G27</f>
        <v>69.52</v>
      </c>
      <c r="D22" s="137">
        <v>69.52</v>
      </c>
      <c r="E22" s="138">
        <f t="shared" ca="1" si="0"/>
        <v>0</v>
      </c>
      <c r="F22" s="125"/>
      <c r="G22" s="182"/>
    </row>
    <row r="23" spans="2:7">
      <c r="B23" s="136">
        <f t="shared" ca="1" si="1"/>
        <v>2030</v>
      </c>
      <c r="C23" s="137">
        <f ca="1">'Table 1'!G28</f>
        <v>70.52</v>
      </c>
      <c r="D23" s="137">
        <v>70.62</v>
      </c>
      <c r="E23" s="225">
        <f t="shared" ca="1" si="0"/>
        <v>-0.10000000000000853</v>
      </c>
      <c r="F23" s="125"/>
      <c r="G23" s="182"/>
    </row>
    <row r="24" spans="2:7">
      <c r="B24" s="136">
        <f t="shared" ca="1" si="1"/>
        <v>2031</v>
      </c>
      <c r="C24" s="137">
        <f ca="1">'Table 1'!G29</f>
        <v>72.02</v>
      </c>
      <c r="D24" s="137">
        <v>72.150000000000006</v>
      </c>
      <c r="E24" s="225">
        <f t="shared" ca="1" si="0"/>
        <v>-0.13000000000000966</v>
      </c>
      <c r="F24" s="125"/>
      <c r="G24" s="182"/>
    </row>
    <row r="25" spans="2:7">
      <c r="B25" s="136">
        <f t="shared" ca="1" si="1"/>
        <v>2032</v>
      </c>
      <c r="C25" s="137">
        <f ca="1">'Table 1'!G30</f>
        <v>73.42</v>
      </c>
      <c r="D25" s="137">
        <v>73.59</v>
      </c>
      <c r="E25" s="225">
        <f t="shared" ca="1" si="0"/>
        <v>-0.17000000000000171</v>
      </c>
      <c r="F25" s="125"/>
      <c r="G25" s="182"/>
    </row>
    <row r="26" spans="2:7">
      <c r="B26" s="136">
        <f t="shared" ca="1" si="1"/>
        <v>2033</v>
      </c>
      <c r="C26" s="137">
        <f ca="1">'Table 1'!G31</f>
        <v>75.12</v>
      </c>
      <c r="D26" s="137">
        <v>75.23</v>
      </c>
      <c r="E26" s="225">
        <f t="shared" ca="1" si="0"/>
        <v>-0.10999999999999943</v>
      </c>
      <c r="F26" s="135"/>
      <c r="G26" s="182"/>
    </row>
    <row r="27" spans="2:7">
      <c r="B27" s="139">
        <f t="shared" ca="1" si="1"/>
        <v>2034</v>
      </c>
      <c r="C27" s="140">
        <f ca="1">'Table 1'!G32</f>
        <v>76.72</v>
      </c>
      <c r="D27" s="140">
        <v>76.7</v>
      </c>
      <c r="E27" s="141">
        <f t="shared" ca="1" si="0"/>
        <v>1.9999999999996021E-2</v>
      </c>
      <c r="F27" s="135"/>
      <c r="G27" s="182"/>
    </row>
    <row r="28" spans="2:7">
      <c r="D28" s="130"/>
      <c r="F28" s="125"/>
    </row>
    <row r="29" spans="2:7">
      <c r="B29" s="142" t="str">
        <f ca="1">"20-Year Levelized Prices (Nominal) @ "&amp;TEXT(Discount_Rate,"0.000%")&amp;" Discount Rate (1) (3)"</f>
        <v>20-Year Levelized Prices (Nominal) @ 6.882% Discount Rate (1) (3)</v>
      </c>
      <c r="D29" s="130"/>
      <c r="G29" s="216" t="str">
        <f ca="1">'Table 1'!I34</f>
        <v>Discount Rate - 2013 IRP Page 164</v>
      </c>
    </row>
    <row r="30" spans="2:7">
      <c r="B30" s="143" t="s">
        <v>59</v>
      </c>
      <c r="C30" s="189">
        <f ca="1">'Table 1'!G37</f>
        <v>45.72</v>
      </c>
      <c r="D30" s="178">
        <f ca="1">ROUND(PMT($G$30,COUNT(D8:D27),-NPV($G$30,D8:D27)),2)</f>
        <v>46.81</v>
      </c>
      <c r="E30" s="226">
        <f t="shared" ref="E30" ca="1" si="2">C30-D30</f>
        <v>-1.0900000000000034</v>
      </c>
      <c r="F30" s="125"/>
      <c r="G30" s="217">
        <f ca="1">'Table 1'!I35</f>
        <v>6.8820000000000006E-2</v>
      </c>
    </row>
    <row r="31" spans="2:7" ht="5.25" customHeight="1">
      <c r="B31" s="143"/>
      <c r="C31" s="137"/>
      <c r="D31" s="137"/>
      <c r="E31" s="137"/>
      <c r="F31" s="125"/>
    </row>
    <row r="32" spans="2:7">
      <c r="B32" s="143"/>
      <c r="C32" s="137"/>
      <c r="D32" s="137"/>
      <c r="E32" s="137"/>
      <c r="F32" s="125"/>
    </row>
    <row r="33" spans="2:6" ht="5.25" customHeight="1">
      <c r="D33" s="175"/>
      <c r="F33" s="125"/>
    </row>
    <row r="34" spans="2:6">
      <c r="B34" s="129" t="s">
        <v>33</v>
      </c>
      <c r="C34" s="144"/>
      <c r="D34" s="145"/>
      <c r="E34" s="145"/>
      <c r="F34" s="125"/>
    </row>
    <row r="35" spans="2:6">
      <c r="B35" s="43" t="str">
        <f ca="1">'Table 1'!B40</f>
        <v>(1)   Discount Rate - 2013 IRP Page 164</v>
      </c>
      <c r="D35" s="125"/>
      <c r="E35" s="125"/>
      <c r="F35" s="125"/>
    </row>
    <row r="36" spans="2:6">
      <c r="B36" s="43" t="s">
        <v>115</v>
      </c>
      <c r="F36" s="125"/>
    </row>
    <row r="37" spans="2:6">
      <c r="B37" s="129" t="str">
        <f ca="1">"(3)   20-Year NPC is "&amp;B8&amp;" - "&amp;B27</f>
        <v>(3)   20-Year NPC is 2015 - 2034</v>
      </c>
    </row>
    <row r="38" spans="2:6">
      <c r="B38" s="18" t="str">
        <f ca="1">"(4)   Levelized monthly.  Avoided costs levelized annually are  "&amp;TEXT(PMT($G$30,COUNT(C8:C27),-NPV($G$30,C8:C27)),"$0.00")&amp;"/MWH"</f>
        <v>(4)   Levelized monthly.  Avoided costs levelized annually are  $45.74/MWH</v>
      </c>
    </row>
    <row r="39" spans="2:6">
      <c r="B39" s="129" t="s">
        <v>89</v>
      </c>
    </row>
    <row r="40" spans="2:6">
      <c r="C40" s="137"/>
      <c r="D40" s="137"/>
    </row>
    <row r="42" spans="2:6">
      <c r="C42" s="146"/>
      <c r="D42" s="146"/>
      <c r="E42" s="146"/>
    </row>
  </sheetData>
  <conditionalFormatting sqref="D8:D22">
    <cfRule type="expression" dxfId="1" priority="1">
      <formula>ISNA(G8)</formula>
    </cfRule>
  </conditionalFormatting>
  <printOptions horizontalCentered="1"/>
  <pageMargins left="0.25" right="0.25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48"/>
  <sheetViews>
    <sheetView tabSelected="1" zoomScaleNormal="100" zoomScaleSheetLayoutView="100" workbookViewId="0">
      <pane xSplit="2" ySplit="12" topLeftCell="C13" activePane="bottomRight" state="frozen"/>
      <selection activeCell="J31" sqref="J31"/>
      <selection pane="topRight" activeCell="J31" sqref="J31"/>
      <selection pane="bottomLeft" activeCell="J31" sqref="J31"/>
      <selection pane="bottomRight" activeCell="J31" sqref="J31"/>
    </sheetView>
  </sheetViews>
  <sheetFormatPr defaultRowHeight="12.75"/>
  <cols>
    <col min="1" max="1" width="2.83203125" style="6" customWidth="1"/>
    <col min="2" max="2" width="10.83203125" style="6" customWidth="1"/>
    <col min="3" max="3" width="18.83203125" style="6" customWidth="1"/>
    <col min="4" max="4" width="3.1640625" style="6" customWidth="1"/>
    <col min="5" max="5" width="18.83203125" style="6" customWidth="1"/>
    <col min="6" max="6" width="3.5" style="6" bestFit="1" customWidth="1"/>
    <col min="7" max="7" width="27.83203125" style="6" customWidth="1"/>
    <col min="8" max="8" width="3.83203125" style="6" customWidth="1"/>
    <col min="9" max="9" width="9.33203125" style="6" hidden="1" customWidth="1"/>
    <col min="10" max="10" width="9.33203125" hidden="1" customWidth="1"/>
    <col min="11" max="11" width="0" hidden="1" customWidth="1"/>
  </cols>
  <sheetData>
    <row r="1" spans="2:11" ht="15.75">
      <c r="B1" s="1" t="s">
        <v>73</v>
      </c>
      <c r="C1" s="5"/>
      <c r="D1" s="5"/>
      <c r="E1" s="5"/>
      <c r="F1" s="5"/>
      <c r="G1" s="45"/>
      <c r="H1" s="99"/>
      <c r="I1" s="8"/>
    </row>
    <row r="2" spans="2:11" ht="15.75">
      <c r="B2" s="1"/>
      <c r="C2" s="5"/>
      <c r="D2" s="5"/>
      <c r="E2" s="5"/>
      <c r="G2" s="45"/>
      <c r="H2" s="99"/>
      <c r="I2" s="8"/>
    </row>
    <row r="3" spans="2:11" ht="15.75">
      <c r="B3" s="1" t="s">
        <v>38</v>
      </c>
      <c r="C3" s="5"/>
      <c r="D3" s="5"/>
      <c r="E3" s="5"/>
      <c r="F3" s="5"/>
      <c r="G3" s="45"/>
      <c r="H3" s="99"/>
      <c r="I3" s="8"/>
    </row>
    <row r="4" spans="2:11" ht="15.75">
      <c r="B4" s="7" t="s">
        <v>35</v>
      </c>
      <c r="C4" s="7"/>
      <c r="D4" s="7"/>
      <c r="E4" s="7"/>
      <c r="F4" s="7"/>
      <c r="G4" s="1"/>
      <c r="H4" s="99"/>
      <c r="I4" s="8"/>
    </row>
    <row r="5" spans="2:11" ht="15.75">
      <c r="B5" s="7" t="s">
        <v>116</v>
      </c>
      <c r="C5" s="7"/>
      <c r="D5" s="7"/>
      <c r="E5" s="7"/>
      <c r="F5" s="7"/>
      <c r="G5" s="1"/>
      <c r="H5" s="99"/>
      <c r="I5" s="8"/>
    </row>
    <row r="6" spans="2:11" ht="14.25">
      <c r="B6" s="7" t="s">
        <v>112</v>
      </c>
      <c r="C6" s="7"/>
      <c r="D6" s="7"/>
      <c r="E6" s="7"/>
      <c r="F6" s="7"/>
      <c r="G6" s="45"/>
      <c r="H6" s="99"/>
      <c r="I6" s="8"/>
    </row>
    <row r="7" spans="2:11">
      <c r="C7" s="10"/>
      <c r="D7" s="10"/>
      <c r="H7" s="99"/>
      <c r="I7" t="s">
        <v>83</v>
      </c>
    </row>
    <row r="8" spans="2:11">
      <c r="E8" s="46"/>
      <c r="F8" s="102"/>
      <c r="G8" s="9" t="s">
        <v>31</v>
      </c>
      <c r="H8" s="99"/>
      <c r="I8" s="116">
        <v>1</v>
      </c>
      <c r="J8" s="223"/>
      <c r="K8" s="223"/>
    </row>
    <row r="9" spans="2:11">
      <c r="C9" s="9" t="s">
        <v>6</v>
      </c>
      <c r="D9" s="9"/>
      <c r="E9" s="46" t="s">
        <v>36</v>
      </c>
      <c r="F9" s="102"/>
      <c r="G9" s="121">
        <v>0.85</v>
      </c>
      <c r="H9" s="99"/>
      <c r="I9"/>
    </row>
    <row r="10" spans="2:11">
      <c r="B10" s="9" t="s">
        <v>0</v>
      </c>
      <c r="C10" s="9" t="str">
        <f>"Price"&amp;IF(I8&lt;&gt;1," (6)","")</f>
        <v>Price</v>
      </c>
      <c r="D10" s="9"/>
      <c r="E10" s="46" t="s">
        <v>37</v>
      </c>
      <c r="F10" s="102"/>
      <c r="G10" s="46" t="s">
        <v>32</v>
      </c>
      <c r="H10" s="99"/>
      <c r="I10" s="177"/>
    </row>
    <row r="11" spans="2:11" ht="13.5">
      <c r="B11" s="9"/>
      <c r="C11" s="9" t="s">
        <v>34</v>
      </c>
      <c r="D11" s="9"/>
      <c r="E11" s="147" t="s">
        <v>86</v>
      </c>
      <c r="F11" s="102"/>
      <c r="G11" s="46" t="s">
        <v>59</v>
      </c>
      <c r="H11" s="99"/>
      <c r="I11" s="177"/>
    </row>
    <row r="12" spans="2:11">
      <c r="B12" s="9"/>
      <c r="C12" s="15"/>
      <c r="D12" s="46"/>
      <c r="E12" s="46"/>
      <c r="F12" s="46"/>
      <c r="H12" s="99"/>
      <c r="I12" s="177"/>
    </row>
    <row r="13" spans="2:11">
      <c r="B13" s="57">
        <f ca="1">'Table 2'!B12</f>
        <v>2015</v>
      </c>
      <c r="C13" s="11">
        <v>0</v>
      </c>
      <c r="D13" s="11"/>
      <c r="E13" s="11">
        <f ca="1">'Table 2'!C12</f>
        <v>30.090200890739727</v>
      </c>
      <c r="F13" s="110"/>
      <c r="G13" s="47">
        <f ca="1">ROUND(E13+C13*1000/(8760*$G$9),2)</f>
        <v>30.09</v>
      </c>
      <c r="H13" s="99"/>
      <c r="I13"/>
    </row>
    <row r="14" spans="2:11">
      <c r="B14" s="58">
        <f t="shared" ref="B14:B33" ca="1" si="0">B13+1</f>
        <v>2016</v>
      </c>
      <c r="C14" s="12">
        <v>0</v>
      </c>
      <c r="D14" s="112" t="str">
        <f t="shared" ref="D14:D32" ca="1" si="1">IF(B14=2028,"(4)","")</f>
        <v/>
      </c>
      <c r="E14" s="12">
        <f ca="1">'Table 2'!C13</f>
        <v>27.97924755756161</v>
      </c>
      <c r="F14" s="100"/>
      <c r="G14" s="48">
        <f t="shared" ref="G14:G32" ca="1" si="2">ROUND(E14+C14*1000/(8760*$G$9),2)</f>
        <v>27.98</v>
      </c>
      <c r="H14" s="99"/>
      <c r="I14"/>
    </row>
    <row r="15" spans="2:11">
      <c r="B15" s="58">
        <f t="shared" ca="1" si="0"/>
        <v>2017</v>
      </c>
      <c r="C15" s="12">
        <v>0</v>
      </c>
      <c r="D15" s="112" t="str">
        <f t="shared" ca="1" si="1"/>
        <v/>
      </c>
      <c r="E15" s="12">
        <f ca="1">'Table 2'!C14</f>
        <v>26.974481704213623</v>
      </c>
      <c r="F15" s="100"/>
      <c r="G15" s="48">
        <f t="shared" ca="1" si="2"/>
        <v>26.97</v>
      </c>
      <c r="H15" s="99"/>
      <c r="I15"/>
    </row>
    <row r="16" spans="2:11">
      <c r="B16" s="58">
        <f t="shared" ca="1" si="0"/>
        <v>2018</v>
      </c>
      <c r="C16" s="12">
        <v>0</v>
      </c>
      <c r="D16" s="112" t="str">
        <f t="shared" ca="1" si="1"/>
        <v/>
      </c>
      <c r="E16" s="12">
        <f ca="1">'Table 2'!C15</f>
        <v>29.664329932533605</v>
      </c>
      <c r="F16" s="100"/>
      <c r="G16" s="48">
        <f t="shared" ca="1" si="2"/>
        <v>29.66</v>
      </c>
      <c r="H16" s="99"/>
      <c r="I16" t="s">
        <v>100</v>
      </c>
    </row>
    <row r="17" spans="2:10">
      <c r="B17" s="58">
        <f t="shared" ca="1" si="0"/>
        <v>2019</v>
      </c>
      <c r="C17" s="12">
        <v>0</v>
      </c>
      <c r="D17" s="112" t="str">
        <f t="shared" ca="1" si="1"/>
        <v/>
      </c>
      <c r="E17" s="12">
        <f ca="1">'Table 2'!C16</f>
        <v>31.16599708256528</v>
      </c>
      <c r="F17" s="100"/>
      <c r="G17" s="48">
        <f t="shared" ca="1" si="2"/>
        <v>31.17</v>
      </c>
      <c r="H17" s="99"/>
      <c r="I17" s="221">
        <f>1-I18</f>
        <v>0</v>
      </c>
      <c r="J17" t="s">
        <v>101</v>
      </c>
    </row>
    <row r="18" spans="2:10">
      <c r="B18" s="58">
        <f t="shared" ca="1" si="0"/>
        <v>2020</v>
      </c>
      <c r="C18" s="12">
        <v>0</v>
      </c>
      <c r="D18" s="112" t="str">
        <f t="shared" ca="1" si="1"/>
        <v/>
      </c>
      <c r="E18" s="12">
        <f ca="1">'Table 2'!C17</f>
        <v>35.734384963608342</v>
      </c>
      <c r="F18" s="100"/>
      <c r="G18" s="48">
        <f t="shared" ca="1" si="2"/>
        <v>35.729999999999997</v>
      </c>
      <c r="H18" s="99"/>
      <c r="I18" s="221">
        <v>1</v>
      </c>
      <c r="J18" t="s">
        <v>102</v>
      </c>
    </row>
    <row r="19" spans="2:10">
      <c r="B19" s="58">
        <f t="shared" ca="1" si="0"/>
        <v>2021</v>
      </c>
      <c r="C19" s="12">
        <v>0</v>
      </c>
      <c r="D19" s="112" t="str">
        <f t="shared" ca="1" si="1"/>
        <v/>
      </c>
      <c r="E19" s="12">
        <f ca="1">'Table 2'!C18</f>
        <v>39.381623481401604</v>
      </c>
      <c r="F19" s="100"/>
      <c r="G19" s="48">
        <f t="shared" ca="1" si="2"/>
        <v>39.380000000000003</v>
      </c>
      <c r="H19" s="99"/>
      <c r="I19"/>
    </row>
    <row r="20" spans="2:10">
      <c r="B20" s="58">
        <f t="shared" ca="1" si="0"/>
        <v>2022</v>
      </c>
      <c r="C20" s="12">
        <v>0</v>
      </c>
      <c r="D20" s="112" t="str">
        <f t="shared" ca="1" si="1"/>
        <v/>
      </c>
      <c r="E20" s="12">
        <f ca="1">'Table 2'!C19</f>
        <v>45.169810664069736</v>
      </c>
      <c r="F20" s="100"/>
      <c r="G20" s="48">
        <f t="shared" ca="1" si="2"/>
        <v>45.17</v>
      </c>
      <c r="H20" s="99"/>
      <c r="I20"/>
    </row>
    <row r="21" spans="2:10">
      <c r="B21" s="58">
        <f t="shared" ca="1" si="0"/>
        <v>2023</v>
      </c>
      <c r="C21" s="12">
        <v>0</v>
      </c>
      <c r="D21" s="112" t="str">
        <f t="shared" ca="1" si="1"/>
        <v/>
      </c>
      <c r="E21" s="12">
        <f ca="1">'Table 2'!C20</f>
        <v>50.930629028898394</v>
      </c>
      <c r="F21" s="100"/>
      <c r="G21" s="48">
        <f t="shared" ca="1" si="2"/>
        <v>50.93</v>
      </c>
      <c r="H21" s="99"/>
      <c r="I21"/>
    </row>
    <row r="22" spans="2:10">
      <c r="B22" s="58">
        <f t="shared" ca="1" si="0"/>
        <v>2024</v>
      </c>
      <c r="C22" s="12">
        <v>0</v>
      </c>
      <c r="D22" s="112" t="str">
        <f t="shared" ca="1" si="1"/>
        <v/>
      </c>
      <c r="E22" s="12">
        <f ca="1">'Table 2'!C21</f>
        <v>52.513436391420534</v>
      </c>
      <c r="F22" s="100"/>
      <c r="G22" s="48">
        <f t="shared" ca="1" si="2"/>
        <v>52.51</v>
      </c>
      <c r="H22" s="99"/>
      <c r="I22"/>
    </row>
    <row r="23" spans="2:10">
      <c r="B23" s="58">
        <f t="shared" ca="1" si="0"/>
        <v>2025</v>
      </c>
      <c r="C23" s="12">
        <v>0</v>
      </c>
      <c r="D23" s="112" t="str">
        <f t="shared" ca="1" si="1"/>
        <v/>
      </c>
      <c r="E23" s="12">
        <f ca="1">'Table 2'!C22</f>
        <v>54.289126143486882</v>
      </c>
      <c r="F23" s="100"/>
      <c r="G23" s="48">
        <f t="shared" ca="1" si="2"/>
        <v>54.29</v>
      </c>
      <c r="H23" s="99"/>
      <c r="I23"/>
    </row>
    <row r="24" spans="2:10">
      <c r="B24" s="58">
        <f t="shared" ca="1" si="0"/>
        <v>2026</v>
      </c>
      <c r="C24" s="12">
        <v>0</v>
      </c>
      <c r="D24" s="112" t="str">
        <f t="shared" ca="1" si="1"/>
        <v/>
      </c>
      <c r="E24" s="12">
        <f ca="1">'Table 2'!C23</f>
        <v>56.793549376780263</v>
      </c>
      <c r="F24" s="100"/>
      <c r="G24" s="48">
        <f t="shared" ca="1" si="2"/>
        <v>56.79</v>
      </c>
      <c r="H24" s="99"/>
      <c r="I24"/>
    </row>
    <row r="25" spans="2:10">
      <c r="B25" s="58">
        <f t="shared" ca="1" si="0"/>
        <v>2027</v>
      </c>
      <c r="C25" s="12">
        <v>0</v>
      </c>
      <c r="D25" s="112" t="str">
        <f t="shared" ca="1" si="1"/>
        <v/>
      </c>
      <c r="E25" s="12">
        <f ca="1">'Table 2'!C24</f>
        <v>58.321334705198446</v>
      </c>
      <c r="F25" s="100"/>
      <c r="G25" s="48">
        <f t="shared" ca="1" si="2"/>
        <v>58.32</v>
      </c>
      <c r="H25" s="99"/>
      <c r="I25"/>
    </row>
    <row r="26" spans="2:10">
      <c r="B26" s="58">
        <f t="shared" ca="1" si="0"/>
        <v>2028</v>
      </c>
      <c r="C26" s="12">
        <v>149.16</v>
      </c>
      <c r="D26" s="112" t="str">
        <f t="shared" ca="1" si="1"/>
        <v>(4)</v>
      </c>
      <c r="E26" s="12">
        <f ca="1">'Table 2'!C25</f>
        <v>46.055029512509954</v>
      </c>
      <c r="F26" s="100"/>
      <c r="G26" s="48">
        <f ca="1">ROUND(E26+C26*1000/(8784*$G$9),2)</f>
        <v>66.03</v>
      </c>
      <c r="H26" s="99"/>
      <c r="I26"/>
    </row>
    <row r="27" spans="2:10">
      <c r="B27" s="58">
        <f t="shared" ca="1" si="0"/>
        <v>2029</v>
      </c>
      <c r="C27" s="12">
        <v>152</v>
      </c>
      <c r="D27" s="112" t="str">
        <f t="shared" ca="1" si="1"/>
        <v/>
      </c>
      <c r="E27" s="12">
        <f ca="1">'Table 2'!C26</f>
        <v>49.103321009952154</v>
      </c>
      <c r="F27" s="100"/>
      <c r="G27" s="48">
        <f t="shared" ca="1" si="2"/>
        <v>69.52</v>
      </c>
      <c r="H27" s="99"/>
      <c r="I27"/>
    </row>
    <row r="28" spans="2:10">
      <c r="B28" s="58">
        <f t="shared" ca="1" si="0"/>
        <v>2030</v>
      </c>
      <c r="C28" s="12">
        <v>154.88</v>
      </c>
      <c r="D28" s="112" t="str">
        <f t="shared" ca="1" si="1"/>
        <v/>
      </c>
      <c r="E28" s="12">
        <f ca="1">'Table 2'!C27</f>
        <v>49.717836199476615</v>
      </c>
      <c r="F28" s="100"/>
      <c r="G28" s="48">
        <f t="shared" ca="1" si="2"/>
        <v>70.52</v>
      </c>
      <c r="H28" s="99"/>
      <c r="I28"/>
    </row>
    <row r="29" spans="2:10">
      <c r="B29" s="58">
        <f t="shared" ca="1" si="0"/>
        <v>2031</v>
      </c>
      <c r="C29" s="12">
        <v>157.81</v>
      </c>
      <c r="D29" s="112" t="str">
        <f t="shared" ca="1" si="1"/>
        <v/>
      </c>
      <c r="E29" s="12">
        <f ca="1">'Table 2'!C28</f>
        <v>50.822989423461351</v>
      </c>
      <c r="F29" s="100"/>
      <c r="G29" s="48">
        <f t="shared" ca="1" si="2"/>
        <v>72.02</v>
      </c>
      <c r="H29" s="99"/>
      <c r="I29"/>
    </row>
    <row r="30" spans="2:10">
      <c r="B30" s="58">
        <f t="shared" ca="1" si="0"/>
        <v>2032</v>
      </c>
      <c r="C30" s="12">
        <v>160.97</v>
      </c>
      <c r="D30" s="112" t="str">
        <f t="shared" ca="1" si="1"/>
        <v/>
      </c>
      <c r="E30" s="12">
        <f ca="1">'Table 2'!C29</f>
        <v>51.860323375013877</v>
      </c>
      <c r="F30" s="100"/>
      <c r="G30" s="48">
        <f ca="1">ROUND(E30+C30*1000/(8784*$G$9),2)</f>
        <v>73.42</v>
      </c>
      <c r="H30" s="99"/>
      <c r="I30"/>
    </row>
    <row r="31" spans="2:10">
      <c r="B31" s="58">
        <f t="shared" ca="1" si="0"/>
        <v>2033</v>
      </c>
      <c r="C31" s="12">
        <v>164.19</v>
      </c>
      <c r="D31" s="112" t="str">
        <f t="shared" ca="1" si="1"/>
        <v/>
      </c>
      <c r="E31" s="12">
        <f ca="1">'Table 2'!C30</f>
        <v>53.071932283481409</v>
      </c>
      <c r="F31" s="100"/>
      <c r="G31" s="48">
        <f t="shared" ca="1" si="2"/>
        <v>75.12</v>
      </c>
      <c r="H31" s="99"/>
      <c r="I31"/>
    </row>
    <row r="32" spans="2:10">
      <c r="B32" s="59">
        <f t="shared" ca="1" si="0"/>
        <v>2034</v>
      </c>
      <c r="C32" s="20">
        <v>167.47</v>
      </c>
      <c r="D32" s="20" t="str">
        <f t="shared" ca="1" si="1"/>
        <v/>
      </c>
      <c r="E32" s="20">
        <f ca="1">'Table 2'!C31</f>
        <v>54.226426717645211</v>
      </c>
      <c r="F32" s="111"/>
      <c r="G32" s="49">
        <f t="shared" ca="1" si="2"/>
        <v>76.72</v>
      </c>
      <c r="H32" s="99"/>
      <c r="I32"/>
    </row>
    <row r="33" spans="2:11" hidden="1">
      <c r="B33" s="222">
        <f t="shared" ca="1" si="0"/>
        <v>2035</v>
      </c>
      <c r="C33" s="20">
        <v>170.81</v>
      </c>
      <c r="D33" s="20" t="str">
        <f t="shared" ref="D33" ca="1" si="3">IF(B33=2024,"(4)","")</f>
        <v/>
      </c>
      <c r="E33" s="20" t="s">
        <v>117</v>
      </c>
      <c r="F33" s="111"/>
      <c r="G33" s="49" t="s">
        <v>117</v>
      </c>
      <c r="H33" s="99"/>
      <c r="I33"/>
    </row>
    <row r="34" spans="2:11">
      <c r="D34" s="12"/>
      <c r="F34" s="100"/>
      <c r="H34" s="99"/>
      <c r="I34" s="117" t="s">
        <v>90</v>
      </c>
    </row>
    <row r="35" spans="2:11">
      <c r="B35" s="142" t="str">
        <f>"20-Year Levelized Prices (Nominal) @ "&amp;TEXT(I35,"0.000%")&amp;" Discount Rate (1) (3) "</f>
        <v xml:space="preserve">20-Year Levelized Prices (Nominal) @ 6.882% Discount Rate (1) (3) </v>
      </c>
      <c r="E35" s="8"/>
      <c r="I35" s="220">
        <v>6.8820000000000006E-2</v>
      </c>
    </row>
    <row r="36" spans="2:11">
      <c r="B36" s="114" t="s">
        <v>8</v>
      </c>
      <c r="C36" s="12">
        <f ca="1">-PMT(Discount_Rate,COUNT(C13:C32),NPV(Discount_Rate,C13:C32))</f>
        <v>33.506403695187686</v>
      </c>
      <c r="D36" s="12"/>
      <c r="H36" s="99"/>
      <c r="K36" t="s">
        <v>110</v>
      </c>
    </row>
    <row r="37" spans="2:11">
      <c r="B37" s="115" t="s">
        <v>59</v>
      </c>
      <c r="E37" s="12">
        <f ca="1">PMT(Discount_Rate,COUNT(E13:E32),-NPV(Discount_Rate,E13:E32))</f>
        <v>41.239930298853501</v>
      </c>
      <c r="G37" s="179">
        <f ca="1">ROUND(PMT(Discount_Rate,COUNT(G13:G32),-NPV(Discount_Rate,G13:G32))+K37,2)</f>
        <v>45.72</v>
      </c>
      <c r="H37" s="99"/>
      <c r="K37" s="177">
        <f ca="1">PMT(Discount_Rate,20,NPV(Discount_Rate,G13:G32))+45.715</f>
        <v>-2.0263382029632737E-2</v>
      </c>
    </row>
    <row r="38" spans="2:11">
      <c r="F38" s="101"/>
      <c r="H38" s="99"/>
    </row>
    <row r="39" spans="2:11">
      <c r="B39" s="6" t="s">
        <v>33</v>
      </c>
      <c r="E39" s="101"/>
      <c r="G39" s="101"/>
      <c r="H39" s="99"/>
    </row>
    <row r="40" spans="2:11">
      <c r="B40" s="118" t="str">
        <f>"(1)   "&amp;I34</f>
        <v>(1)   Discount Rate - 2013 IRP Page 164</v>
      </c>
      <c r="E40" s="99"/>
      <c r="F40" s="101"/>
      <c r="G40" s="99"/>
      <c r="H40" s="99"/>
    </row>
    <row r="41" spans="2:11">
      <c r="B41" s="6" t="s">
        <v>40</v>
      </c>
      <c r="F41" s="101"/>
      <c r="H41" s="99"/>
    </row>
    <row r="42" spans="2:11">
      <c r="B42" s="6" t="str">
        <f ca="1">"(3)   20 Year NPC is "&amp;TEXT(B13,"???0")&amp;" - "&amp;TEXT(B32,"???0")</f>
        <v>(3)   20 Year NPC is 2015 - 2034</v>
      </c>
    </row>
    <row r="43" spans="2:11" hidden="1">
      <c r="B43" s="18" t="s">
        <v>113</v>
      </c>
      <c r="F43" s="99"/>
    </row>
    <row r="44" spans="2:11">
      <c r="B44" s="18" t="str">
        <f ca="1">"(4)   "&amp;TEXT(I18," 0.0%")&amp;" of capacity payment is from a 2028 "&amp;'Table 3'!B12</f>
        <v>(4)    100.0% of capacity payment is from a 2028 CCCT Dry "F", 2x1 - East Side Resource (5,050')</v>
      </c>
      <c r="F44" s="99"/>
    </row>
    <row r="45" spans="2:11">
      <c r="B45" s="18" t="s">
        <v>118</v>
      </c>
      <c r="C45" s="10"/>
      <c r="D45" s="10"/>
      <c r="E45" s="10"/>
      <c r="G45" s="10"/>
    </row>
    <row r="46" spans="2:11">
      <c r="B46" s="18" t="str">
        <f ca="1">"       Avoided Costs calculated annually are  "&amp;TEXT(PMT(Discount_Rate,COUNT(G13:G32),-NPV(Discount_Rate,G13:G32)),"$0.00")&amp;"/MWH"</f>
        <v xml:space="preserve">       Avoided Costs calculated annually are  $45.74/MWH</v>
      </c>
    </row>
    <row r="47" spans="2:11">
      <c r="B47" s="120" t="str">
        <f>IF(I8&lt;&gt;1,"(6)   Capacity Payment is adjusted by "&amp;TEXT(I8,"0.0%")&amp;" Capacity Contribution.","")</f>
        <v/>
      </c>
    </row>
    <row r="48" spans="2:11">
      <c r="F48" s="10"/>
    </row>
  </sheetData>
  <phoneticPr fontId="6" type="noConversion"/>
  <printOptions horizontalCentered="1"/>
  <pageMargins left="0.25" right="0.25" top="0.75" bottom="0.75" header="0.3" footer="0.3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1">
    <pageSetUpPr fitToPage="1"/>
  </sheetPr>
  <dimension ref="B1:Q52"/>
  <sheetViews>
    <sheetView tabSelected="1" zoomScaleNormal="100" zoomScaleSheetLayoutView="85" workbookViewId="0">
      <pane xSplit="2" ySplit="6" topLeftCell="C7" activePane="bottomRight" state="frozen"/>
      <selection activeCell="J31" sqref="J31"/>
      <selection pane="topRight" activeCell="J31" sqref="J31"/>
      <selection pane="bottomLeft" activeCell="J31" sqref="J31"/>
      <selection pane="bottomRight" activeCell="J31" sqref="J31"/>
    </sheetView>
  </sheetViews>
  <sheetFormatPr defaultRowHeight="12.75"/>
  <cols>
    <col min="1" max="1" width="2.83203125" style="6" customWidth="1"/>
    <col min="2" max="2" width="7" style="6" customWidth="1"/>
    <col min="3" max="12" width="9.33203125" style="6"/>
    <col min="13" max="13" width="9.33203125" style="8"/>
    <col min="14" max="15" width="9.33203125" style="6"/>
    <col min="16" max="16" width="1.6640625" style="6" customWidth="1"/>
    <col min="17" max="17" width="15.5" style="6" customWidth="1"/>
    <col min="18" max="16384" width="9.33203125" style="6"/>
  </cols>
  <sheetData>
    <row r="1" spans="2:17" s="14" customFormat="1" ht="15.75">
      <c r="B1" s="1" t="s">
        <v>73</v>
      </c>
      <c r="C1" s="1"/>
      <c r="D1" s="1"/>
      <c r="E1" s="1"/>
      <c r="F1" s="1"/>
      <c r="G1" s="16"/>
      <c r="H1" s="1"/>
      <c r="I1" s="1"/>
      <c r="J1" s="1"/>
      <c r="K1" s="1"/>
      <c r="L1" s="21"/>
      <c r="M1" s="22"/>
      <c r="N1" s="22"/>
      <c r="O1" s="22"/>
      <c r="P1" s="22"/>
      <c r="Q1" s="22"/>
    </row>
    <row r="2" spans="2:17" s="14" customFormat="1" ht="15.75">
      <c r="B2" s="1"/>
      <c r="C2" s="1"/>
      <c r="D2" s="1"/>
      <c r="E2" s="1"/>
      <c r="F2" s="1"/>
      <c r="G2" s="16"/>
      <c r="H2" s="1"/>
      <c r="I2" s="1"/>
      <c r="J2" s="1"/>
      <c r="K2" s="1"/>
      <c r="L2" s="21"/>
      <c r="M2" s="22"/>
      <c r="N2" s="22"/>
      <c r="O2" s="22"/>
      <c r="P2" s="22"/>
      <c r="Q2" s="22"/>
    </row>
    <row r="3" spans="2:17" s="14" customFormat="1" ht="15.75">
      <c r="B3" s="1" t="str">
        <f ca="1">"Table "&amp;RIGHT('Table 1'!B3,1)+1</f>
        <v>Table 2</v>
      </c>
      <c r="C3" s="1"/>
      <c r="D3" s="1"/>
      <c r="E3" s="1"/>
      <c r="F3" s="1"/>
      <c r="G3" s="16"/>
      <c r="H3" s="1"/>
      <c r="I3" s="1"/>
      <c r="J3" s="1"/>
      <c r="K3" s="1"/>
      <c r="L3" s="21"/>
      <c r="M3" s="22"/>
      <c r="N3" s="22"/>
      <c r="O3" s="22"/>
      <c r="P3" s="22"/>
      <c r="Q3" s="22"/>
    </row>
    <row r="4" spans="2:17" s="17" customFormat="1" ht="15">
      <c r="B4" s="7" t="s">
        <v>60</v>
      </c>
      <c r="C4" s="7"/>
      <c r="D4" s="7"/>
      <c r="E4" s="7"/>
      <c r="F4" s="7"/>
      <c r="G4" s="7"/>
      <c r="H4" s="7"/>
      <c r="I4" s="7"/>
      <c r="J4" s="7"/>
      <c r="K4" s="7"/>
      <c r="L4" s="7"/>
      <c r="M4" s="23"/>
      <c r="N4" s="23"/>
      <c r="O4" s="23"/>
      <c r="P4" s="23"/>
      <c r="Q4" s="23"/>
    </row>
    <row r="5" spans="2:17" s="17" customFormat="1" ht="15">
      <c r="B5" s="7" t="str">
        <f ca="1">'Table 1'!$B$5</f>
        <v>Utah 2013.Q4 - 100.0 MW and 85.0% CF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2:17" s="17" customFormat="1" ht="15">
      <c r="B6" s="7" t="str">
        <f ca="1">'Table 1'!$B$6</f>
        <v>Partial Displacement - CCCT Dry "J", Adv 1x1 - East Side Resource (5,050')</v>
      </c>
      <c r="C6" s="7"/>
      <c r="D6" s="7"/>
      <c r="E6" s="7"/>
      <c r="F6" s="7"/>
      <c r="G6" s="7"/>
      <c r="H6" s="7"/>
      <c r="I6" s="7"/>
      <c r="J6" s="7"/>
      <c r="K6" s="7"/>
      <c r="L6" s="7"/>
      <c r="M6" s="23"/>
      <c r="N6" s="23"/>
      <c r="O6" s="23"/>
      <c r="P6" s="23"/>
      <c r="Q6" s="23"/>
    </row>
    <row r="7" spans="2:17" s="3" customFormat="1">
      <c r="D7" s="31"/>
      <c r="E7" s="31"/>
      <c r="F7" s="31"/>
      <c r="G7" s="13"/>
      <c r="H7" s="13"/>
      <c r="I7" s="13"/>
      <c r="J7" s="13"/>
      <c r="K7" s="13"/>
      <c r="L7" s="13"/>
      <c r="M7" s="24"/>
    </row>
    <row r="8" spans="2:17" s="3" customFormat="1">
      <c r="B8" s="36" t="s">
        <v>0</v>
      </c>
      <c r="C8" s="36"/>
      <c r="D8" s="33" t="s">
        <v>28</v>
      </c>
      <c r="E8" s="38"/>
      <c r="F8" s="38"/>
      <c r="G8" s="33"/>
      <c r="H8" s="33"/>
      <c r="I8" s="28" t="s">
        <v>29</v>
      </c>
      <c r="J8" s="32"/>
      <c r="K8" s="32"/>
      <c r="L8" s="27"/>
      <c r="M8" s="34" t="s">
        <v>28</v>
      </c>
      <c r="N8" s="42"/>
      <c r="O8" s="35"/>
      <c r="Q8" s="29" t="s">
        <v>46</v>
      </c>
    </row>
    <row r="9" spans="2:17" s="3" customFormat="1">
      <c r="B9" s="37"/>
      <c r="C9" s="37" t="s">
        <v>39</v>
      </c>
      <c r="D9" s="39" t="s">
        <v>16</v>
      </c>
      <c r="E9" s="40" t="s">
        <v>17</v>
      </c>
      <c r="F9" s="40" t="s">
        <v>18</v>
      </c>
      <c r="G9" s="40" t="s">
        <v>19</v>
      </c>
      <c r="H9" s="41" t="s">
        <v>20</v>
      </c>
      <c r="I9" s="4" t="s">
        <v>21</v>
      </c>
      <c r="J9" s="4" t="s">
        <v>22</v>
      </c>
      <c r="K9" s="4" t="s">
        <v>23</v>
      </c>
      <c r="L9" s="4" t="s">
        <v>24</v>
      </c>
      <c r="M9" s="39" t="s">
        <v>25</v>
      </c>
      <c r="N9" s="40" t="s">
        <v>26</v>
      </c>
      <c r="O9" s="41" t="s">
        <v>27</v>
      </c>
      <c r="Q9" s="30" t="s">
        <v>104</v>
      </c>
    </row>
    <row r="10" spans="2:17" ht="12.75" customHeight="1">
      <c r="B10" s="9"/>
      <c r="C10" s="9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8"/>
    </row>
    <row r="11" spans="2:17" ht="12.75" customHeight="1">
      <c r="B11" s="19" t="s">
        <v>45</v>
      </c>
      <c r="C11" s="19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8"/>
      <c r="Q11" s="9"/>
    </row>
    <row r="12" spans="2:17" ht="12.75" customHeight="1">
      <c r="B12" s="57">
        <v>2015</v>
      </c>
      <c r="C12" s="56">
        <v>30.090200890739727</v>
      </c>
      <c r="D12" s="11">
        <v>28.469230675677064</v>
      </c>
      <c r="E12" s="11">
        <v>29.722073594565536</v>
      </c>
      <c r="F12" s="11">
        <v>31.13524537135309</v>
      </c>
      <c r="G12" s="11">
        <v>26.073296314390511</v>
      </c>
      <c r="H12" s="47">
        <v>24.12440650444961</v>
      </c>
      <c r="I12" s="53">
        <v>24.48882751499881</v>
      </c>
      <c r="J12" s="11">
        <v>37.195713027608143</v>
      </c>
      <c r="K12" s="11">
        <v>37.81270612231647</v>
      </c>
      <c r="L12" s="47">
        <v>37.114338587001455</v>
      </c>
      <c r="M12" s="53">
        <v>27.234520657269602</v>
      </c>
      <c r="N12" s="11">
        <v>29.206790919643311</v>
      </c>
      <c r="O12" s="47">
        <v>28.357457137811203</v>
      </c>
      <c r="Q12" s="54">
        <f ca="1">VLOOKUP($B12,'Table 3'!$B$11:$K$41,9,FALSE)</f>
        <v>0</v>
      </c>
    </row>
    <row r="13" spans="2:17" ht="12.75" customHeight="1">
      <c r="B13" s="58">
        <f>B12+1</f>
        <v>2016</v>
      </c>
      <c r="C13" s="60">
        <v>27.97924755756161</v>
      </c>
      <c r="D13" s="12">
        <v>26.50734018883011</v>
      </c>
      <c r="E13" s="12">
        <v>26.996003745634052</v>
      </c>
      <c r="F13" s="12">
        <v>30.644055606378153</v>
      </c>
      <c r="G13" s="12">
        <v>24.323243715263466</v>
      </c>
      <c r="H13" s="48">
        <v>23.985621498404971</v>
      </c>
      <c r="I13" s="52">
        <v>23.791819178334201</v>
      </c>
      <c r="J13" s="12">
        <v>35.371001014591755</v>
      </c>
      <c r="K13" s="12">
        <v>34.890996525945127</v>
      </c>
      <c r="L13" s="48">
        <v>32.638543061482068</v>
      </c>
      <c r="M13" s="52">
        <v>25.766395638264118</v>
      </c>
      <c r="N13" s="12">
        <v>25.174066808685854</v>
      </c>
      <c r="O13" s="48">
        <v>25.405244835041071</v>
      </c>
      <c r="Q13" s="51">
        <f ca="1">VLOOKUP($B13,'Table 3'!$B$11:$K$41,9,FALSE)</f>
        <v>0</v>
      </c>
    </row>
    <row r="14" spans="2:17" ht="12.75" customHeight="1">
      <c r="B14" s="58">
        <f t="shared" ref="B14:B31" si="0">B13+1</f>
        <v>2017</v>
      </c>
      <c r="C14" s="60">
        <v>26.974481704213623</v>
      </c>
      <c r="D14" s="12">
        <v>24.344027439262163</v>
      </c>
      <c r="E14" s="12">
        <v>26.244743909915591</v>
      </c>
      <c r="F14" s="12">
        <v>29.826784972562812</v>
      </c>
      <c r="G14" s="12">
        <v>25.52981989890824</v>
      </c>
      <c r="H14" s="48">
        <v>24.395683800364779</v>
      </c>
      <c r="I14" s="52">
        <v>23.606487623103011</v>
      </c>
      <c r="J14" s="12">
        <v>34.634386786010296</v>
      </c>
      <c r="K14" s="12">
        <v>30.838716644383755</v>
      </c>
      <c r="L14" s="48">
        <v>26.223826069152288</v>
      </c>
      <c r="M14" s="52">
        <v>27.219696126054032</v>
      </c>
      <c r="N14" s="12">
        <v>25.09853353014082</v>
      </c>
      <c r="O14" s="48">
        <v>25.420477744949196</v>
      </c>
      <c r="Q14" s="51">
        <f ca="1">VLOOKUP($B14,'Table 3'!$B$11:$K$41,9,FALSE)</f>
        <v>0</v>
      </c>
    </row>
    <row r="15" spans="2:17" ht="12.75" customHeight="1">
      <c r="B15" s="58">
        <f t="shared" si="0"/>
        <v>2018</v>
      </c>
      <c r="C15" s="60">
        <v>29.664329932533605</v>
      </c>
      <c r="D15" s="12">
        <v>24.819985714180607</v>
      </c>
      <c r="E15" s="12">
        <v>28.031291114047942</v>
      </c>
      <c r="F15" s="12">
        <v>30.952944341859414</v>
      </c>
      <c r="G15" s="12">
        <v>27.126106582911184</v>
      </c>
      <c r="H15" s="48">
        <v>25.884029908255119</v>
      </c>
      <c r="I15" s="52">
        <v>26.691300709481819</v>
      </c>
      <c r="J15" s="12">
        <v>38.262116013792948</v>
      </c>
      <c r="K15" s="12">
        <v>37.717992640000631</v>
      </c>
      <c r="L15" s="48">
        <v>29.476710929499049</v>
      </c>
      <c r="M15" s="52">
        <v>29.07321015810977</v>
      </c>
      <c r="N15" s="12">
        <v>28.429045967242491</v>
      </c>
      <c r="O15" s="48">
        <v>29.12550665951893</v>
      </c>
      <c r="Q15" s="51">
        <f ca="1">VLOOKUP($B15,'Table 3'!$B$11:$K$41,9,FALSE)</f>
        <v>0</v>
      </c>
    </row>
    <row r="16" spans="2:17" ht="12.75" customHeight="1">
      <c r="B16" s="58">
        <f t="shared" si="0"/>
        <v>2019</v>
      </c>
      <c r="C16" s="60">
        <v>31.16599708256528</v>
      </c>
      <c r="D16" s="12">
        <v>24.126995859206534</v>
      </c>
      <c r="E16" s="12">
        <v>25.245702465918146</v>
      </c>
      <c r="F16" s="12">
        <v>30.003287309660312</v>
      </c>
      <c r="G16" s="12">
        <v>27.755881585538923</v>
      </c>
      <c r="H16" s="48">
        <v>26.584852141287982</v>
      </c>
      <c r="I16" s="52">
        <v>25.86430649255372</v>
      </c>
      <c r="J16" s="12">
        <v>41.059580875089623</v>
      </c>
      <c r="K16" s="12">
        <v>41.685908589594582</v>
      </c>
      <c r="L16" s="48">
        <v>38.905700685795324</v>
      </c>
      <c r="M16" s="52">
        <v>30.050365779172349</v>
      </c>
      <c r="N16" s="12">
        <v>29.390502409439755</v>
      </c>
      <c r="O16" s="48">
        <v>32.65731689408139</v>
      </c>
      <c r="Q16" s="51">
        <f ca="1">VLOOKUP($B16,'Table 3'!$B$11:$K$41,9,FALSE)</f>
        <v>0</v>
      </c>
    </row>
    <row r="17" spans="2:17" ht="12.75" customHeight="1">
      <c r="B17" s="58">
        <f t="shared" si="0"/>
        <v>2020</v>
      </c>
      <c r="C17" s="60">
        <v>35.734384963608342</v>
      </c>
      <c r="D17" s="12">
        <v>36.262911309007791</v>
      </c>
      <c r="E17" s="12">
        <v>32.368426315153449</v>
      </c>
      <c r="F17" s="12">
        <v>34.651100061542621</v>
      </c>
      <c r="G17" s="12">
        <v>30.972038641807689</v>
      </c>
      <c r="H17" s="48">
        <v>30.37548847230579</v>
      </c>
      <c r="I17" s="52">
        <v>30.714105571710011</v>
      </c>
      <c r="J17" s="12">
        <v>45.933145611744038</v>
      </c>
      <c r="K17" s="12">
        <v>46.380564507211524</v>
      </c>
      <c r="L17" s="48">
        <v>45.047175440554525</v>
      </c>
      <c r="M17" s="52">
        <v>32.540153472150507</v>
      </c>
      <c r="N17" s="12">
        <v>32.15706029278634</v>
      </c>
      <c r="O17" s="48">
        <v>31.062737699437847</v>
      </c>
      <c r="Q17" s="51">
        <f ca="1">VLOOKUP($B17,'Table 3'!$B$11:$K$41,9,FALSE)</f>
        <v>0</v>
      </c>
    </row>
    <row r="18" spans="2:17" ht="12.75" customHeight="1">
      <c r="B18" s="58">
        <f t="shared" si="0"/>
        <v>2021</v>
      </c>
      <c r="C18" s="60">
        <v>39.381623481401604</v>
      </c>
      <c r="D18" s="12">
        <v>34.710780351899288</v>
      </c>
      <c r="E18" s="12">
        <v>37.43988244179323</v>
      </c>
      <c r="F18" s="12">
        <v>38.242034702886613</v>
      </c>
      <c r="G18" s="12">
        <v>38.032563942086952</v>
      </c>
      <c r="H18" s="48">
        <v>34.362236277938621</v>
      </c>
      <c r="I18" s="52">
        <v>32.875353437865677</v>
      </c>
      <c r="J18" s="12">
        <v>48.533860167096606</v>
      </c>
      <c r="K18" s="12">
        <v>47.737523239152125</v>
      </c>
      <c r="L18" s="48">
        <v>47.358469133611308</v>
      </c>
      <c r="M18" s="52">
        <v>38.824616630340515</v>
      </c>
      <c r="N18" s="12">
        <v>37.307949062607257</v>
      </c>
      <c r="O18" s="48">
        <v>36.90332911636051</v>
      </c>
      <c r="Q18" s="51">
        <f ca="1">VLOOKUP($B18,'Table 3'!$B$11:$K$41,9,FALSE)</f>
        <v>0</v>
      </c>
    </row>
    <row r="19" spans="2:17" ht="12.75" customHeight="1">
      <c r="B19" s="58">
        <f t="shared" si="0"/>
        <v>2022</v>
      </c>
      <c r="C19" s="60">
        <v>45.169810664069736</v>
      </c>
      <c r="D19" s="12">
        <v>46.189582503029513</v>
      </c>
      <c r="E19" s="12">
        <v>44.445367626645485</v>
      </c>
      <c r="F19" s="12">
        <v>46.400447803878997</v>
      </c>
      <c r="G19" s="12">
        <v>38.137187144214813</v>
      </c>
      <c r="H19" s="48">
        <v>40.194090051006981</v>
      </c>
      <c r="I19" s="52">
        <v>37.055415701199493</v>
      </c>
      <c r="J19" s="12">
        <v>52.974883257133499</v>
      </c>
      <c r="K19" s="12">
        <v>53.491799953850872</v>
      </c>
      <c r="L19" s="48">
        <v>50.663076312084215</v>
      </c>
      <c r="M19" s="52">
        <v>44.351821092326738</v>
      </c>
      <c r="N19" s="12">
        <v>42.098058623319453</v>
      </c>
      <c r="O19" s="48">
        <v>45.55539035214975</v>
      </c>
      <c r="Q19" s="51">
        <f ca="1">VLOOKUP($B19,'Table 3'!$B$11:$K$41,9,FALSE)</f>
        <v>0</v>
      </c>
    </row>
    <row r="20" spans="2:17" ht="12.75" customHeight="1">
      <c r="B20" s="58">
        <f t="shared" si="0"/>
        <v>2023</v>
      </c>
      <c r="C20" s="60">
        <v>50.930629028898394</v>
      </c>
      <c r="D20" s="12">
        <v>48.70236019097424</v>
      </c>
      <c r="E20" s="12">
        <v>51.301329742872916</v>
      </c>
      <c r="F20" s="12">
        <v>50.363583692500178</v>
      </c>
      <c r="G20" s="12">
        <v>44.814176801064725</v>
      </c>
      <c r="H20" s="48">
        <v>45.444249020631389</v>
      </c>
      <c r="I20" s="52">
        <v>44.932126369728564</v>
      </c>
      <c r="J20" s="12">
        <v>59.510457635969203</v>
      </c>
      <c r="K20" s="12">
        <v>60.605054409990935</v>
      </c>
      <c r="L20" s="48">
        <v>56.606900449510107</v>
      </c>
      <c r="M20" s="52">
        <v>50.112135725173388</v>
      </c>
      <c r="N20" s="12">
        <v>48.268258493301133</v>
      </c>
      <c r="O20" s="48">
        <v>50.24920769054431</v>
      </c>
      <c r="Q20" s="51">
        <f ca="1">VLOOKUP($B20,'Table 3'!$B$11:$K$41,9,FALSE)</f>
        <v>0</v>
      </c>
    </row>
    <row r="21" spans="2:17" ht="12.75" customHeight="1">
      <c r="B21" s="58">
        <f t="shared" si="0"/>
        <v>2024</v>
      </c>
      <c r="C21" s="60">
        <v>52.513436391420534</v>
      </c>
      <c r="D21" s="12">
        <v>51.566694405597651</v>
      </c>
      <c r="E21" s="12">
        <v>56.198313386071831</v>
      </c>
      <c r="F21" s="12">
        <v>52.507819492568288</v>
      </c>
      <c r="G21" s="12">
        <v>45.128028431535739</v>
      </c>
      <c r="H21" s="48">
        <v>45.549932731499517</v>
      </c>
      <c r="I21" s="52">
        <v>43.405680094608194</v>
      </c>
      <c r="J21" s="12">
        <v>61.975910134409929</v>
      </c>
      <c r="K21" s="12">
        <v>63.561021845034226</v>
      </c>
      <c r="L21" s="48">
        <v>57.444815565359356</v>
      </c>
      <c r="M21" s="52">
        <v>51.531376095350353</v>
      </c>
      <c r="N21" s="12">
        <v>49.612628564542412</v>
      </c>
      <c r="O21" s="48">
        <v>51.45021469497194</v>
      </c>
      <c r="Q21" s="51">
        <f ca="1">VLOOKUP($B21,'Table 3'!$B$11:$K$41,9,FALSE)</f>
        <v>0</v>
      </c>
    </row>
    <row r="22" spans="2:17" ht="12.75" customHeight="1">
      <c r="B22" s="58">
        <f t="shared" si="0"/>
        <v>2025</v>
      </c>
      <c r="C22" s="60">
        <v>54.289126143486882</v>
      </c>
      <c r="D22" s="12">
        <v>54.029814435799878</v>
      </c>
      <c r="E22" s="12">
        <v>57.956948425245656</v>
      </c>
      <c r="F22" s="12">
        <v>52.581323444972419</v>
      </c>
      <c r="G22" s="12">
        <v>46.959054140686213</v>
      </c>
      <c r="H22" s="48">
        <v>48.558549135040721</v>
      </c>
      <c r="I22" s="52">
        <v>45.65171051143821</v>
      </c>
      <c r="J22" s="12">
        <v>63.963903540006207</v>
      </c>
      <c r="K22" s="12">
        <v>65.494727602940358</v>
      </c>
      <c r="L22" s="48">
        <v>61.547647039868863</v>
      </c>
      <c r="M22" s="52">
        <v>53.023077567362336</v>
      </c>
      <c r="N22" s="12">
        <v>49.077065610783848</v>
      </c>
      <c r="O22" s="48">
        <v>52.531577415243589</v>
      </c>
      <c r="Q22" s="51">
        <f ca="1">VLOOKUP($B22,'Table 3'!$B$11:$K$41,9,FALSE)</f>
        <v>0</v>
      </c>
    </row>
    <row r="23" spans="2:17" ht="12.75" customHeight="1">
      <c r="B23" s="58">
        <f t="shared" si="0"/>
        <v>2026</v>
      </c>
      <c r="C23" s="60">
        <v>56.793549376780263</v>
      </c>
      <c r="D23" s="12">
        <v>56.671784658918533</v>
      </c>
      <c r="E23" s="12">
        <v>60.016910963059935</v>
      </c>
      <c r="F23" s="12">
        <v>54.690970502529886</v>
      </c>
      <c r="G23" s="12">
        <v>51.341729297712448</v>
      </c>
      <c r="H23" s="48">
        <v>50.163189847406372</v>
      </c>
      <c r="I23" s="52">
        <v>47.70302607483675</v>
      </c>
      <c r="J23" s="12">
        <v>68.597636039847259</v>
      </c>
      <c r="K23" s="12">
        <v>69.64574664405427</v>
      </c>
      <c r="L23" s="48">
        <v>63.9347643686271</v>
      </c>
      <c r="M23" s="52">
        <v>54.832834995414053</v>
      </c>
      <c r="N23" s="12">
        <v>51.26714693594748</v>
      </c>
      <c r="O23" s="48">
        <v>52.551773287477012</v>
      </c>
      <c r="Q23" s="51">
        <f ca="1">VLOOKUP($B23,'Table 3'!$B$11:$K$41,9,FALSE)</f>
        <v>0</v>
      </c>
    </row>
    <row r="24" spans="2:17" ht="12.75" customHeight="1">
      <c r="B24" s="58">
        <f t="shared" si="0"/>
        <v>2027</v>
      </c>
      <c r="C24" s="60">
        <v>58.321334705198446</v>
      </c>
      <c r="D24" s="12">
        <v>59.281837511068751</v>
      </c>
      <c r="E24" s="12">
        <v>61.382932216386607</v>
      </c>
      <c r="F24" s="12">
        <v>57.163073259487909</v>
      </c>
      <c r="G24" s="12">
        <v>53.409582475979931</v>
      </c>
      <c r="H24" s="48">
        <v>51.645277824952665</v>
      </c>
      <c r="I24" s="52">
        <v>47.110790977942109</v>
      </c>
      <c r="J24" s="12">
        <v>70.363558503320931</v>
      </c>
      <c r="K24" s="12">
        <v>69.435950499367266</v>
      </c>
      <c r="L24" s="48">
        <v>66.467837343301156</v>
      </c>
      <c r="M24" s="52">
        <v>56.233697917614933</v>
      </c>
      <c r="N24" s="12">
        <v>51.835836449182693</v>
      </c>
      <c r="O24" s="48">
        <v>55.355431837286474</v>
      </c>
      <c r="Q24" s="51">
        <f ca="1">VLOOKUP($B24,'Table 3'!$B$11:$K$41,9,FALSE)</f>
        <v>0</v>
      </c>
    </row>
    <row r="25" spans="2:17" ht="12.75" customHeight="1">
      <c r="B25" s="58">
        <f t="shared" si="0"/>
        <v>2028</v>
      </c>
      <c r="C25" s="60">
        <v>46.055029512509954</v>
      </c>
      <c r="D25" s="12">
        <v>47.254135761542891</v>
      </c>
      <c r="E25" s="12">
        <v>47.518284407369869</v>
      </c>
      <c r="F25" s="12">
        <v>46.098329401961109</v>
      </c>
      <c r="G25" s="12">
        <v>44.956036908823776</v>
      </c>
      <c r="H25" s="48">
        <v>42.636850031783389</v>
      </c>
      <c r="I25" s="52">
        <v>41.387666084802909</v>
      </c>
      <c r="J25" s="12">
        <v>45.433005135832033</v>
      </c>
      <c r="K25" s="12">
        <v>45.462417475806618</v>
      </c>
      <c r="L25" s="48">
        <v>44.449965383824377</v>
      </c>
      <c r="M25" s="52">
        <v>47.580970421253902</v>
      </c>
      <c r="N25" s="12">
        <v>52.571543392648103</v>
      </c>
      <c r="O25" s="48">
        <v>47.377975664136059</v>
      </c>
      <c r="Q25" s="51">
        <f ca="1">VLOOKUP($B25,'Table 3'!$B$11:$K$41,9,FALSE)</f>
        <v>45.48</v>
      </c>
    </row>
    <row r="26" spans="2:17" ht="12.75" customHeight="1">
      <c r="B26" s="58">
        <f t="shared" si="0"/>
        <v>2029</v>
      </c>
      <c r="C26" s="60">
        <v>49.103321009952154</v>
      </c>
      <c r="D26" s="12">
        <v>49.156045083808586</v>
      </c>
      <c r="E26" s="12">
        <v>49.481733016455834</v>
      </c>
      <c r="F26" s="12">
        <v>48.952605781467618</v>
      </c>
      <c r="G26" s="12">
        <v>47.9509412109472</v>
      </c>
      <c r="H26" s="48">
        <v>45.702351774509047</v>
      </c>
      <c r="I26" s="52">
        <v>45.432322655392241</v>
      </c>
      <c r="J26" s="12">
        <v>48.644078244940907</v>
      </c>
      <c r="K26" s="12">
        <v>48.768335814990813</v>
      </c>
      <c r="L26" s="48">
        <v>47.619355332189137</v>
      </c>
      <c r="M26" s="52">
        <v>51.004972629823087</v>
      </c>
      <c r="N26" s="12">
        <v>56.333188365359909</v>
      </c>
      <c r="O26" s="48">
        <v>50.260301549652574</v>
      </c>
      <c r="Q26" s="51">
        <f ca="1">VLOOKUP($B26,'Table 3'!$B$11:$K$41,9,FALSE)</f>
        <v>48.23</v>
      </c>
    </row>
    <row r="27" spans="2:17" ht="12.75" customHeight="1">
      <c r="B27" s="58">
        <f t="shared" si="0"/>
        <v>2030</v>
      </c>
      <c r="C27" s="60">
        <v>49.717836199476615</v>
      </c>
      <c r="D27" s="12">
        <v>50.919564172358342</v>
      </c>
      <c r="E27" s="12">
        <v>50.849445505602496</v>
      </c>
      <c r="F27" s="12">
        <v>47.642154158759745</v>
      </c>
      <c r="G27" s="12">
        <v>47.086697333824205</v>
      </c>
      <c r="H27" s="48">
        <v>46.373781054711543</v>
      </c>
      <c r="I27" s="52">
        <v>45.898770074347652</v>
      </c>
      <c r="J27" s="12">
        <v>49.972342998102299</v>
      </c>
      <c r="K27" s="12">
        <v>49.918594814355352</v>
      </c>
      <c r="L27" s="48">
        <v>48.129616599182285</v>
      </c>
      <c r="M27" s="52">
        <v>51.559466167772634</v>
      </c>
      <c r="N27" s="12">
        <v>56.930170160130736</v>
      </c>
      <c r="O27" s="48">
        <v>51.416293847722997</v>
      </c>
      <c r="Q27" s="51">
        <f ca="1">VLOOKUP($B27,'Table 3'!$B$11:$K$41,9,FALSE)</f>
        <v>49.39</v>
      </c>
    </row>
    <row r="28" spans="2:17" ht="12.75" customHeight="1">
      <c r="B28" s="58">
        <f t="shared" si="0"/>
        <v>2031</v>
      </c>
      <c r="C28" s="60">
        <v>50.822989423461351</v>
      </c>
      <c r="D28" s="12">
        <v>51.481230252373265</v>
      </c>
      <c r="E28" s="12">
        <v>51.312975766806645</v>
      </c>
      <c r="F28" s="12">
        <v>47.899974197658707</v>
      </c>
      <c r="G28" s="12">
        <v>47.421134905228818</v>
      </c>
      <c r="H28" s="48">
        <v>47.045347824161148</v>
      </c>
      <c r="I28" s="52">
        <v>47.181818535948793</v>
      </c>
      <c r="J28" s="12">
        <v>50.489175625236861</v>
      </c>
      <c r="K28" s="12">
        <v>50.385986173465838</v>
      </c>
      <c r="L28" s="48">
        <v>48.99889676258163</v>
      </c>
      <c r="M28" s="52">
        <v>51.91112218010678</v>
      </c>
      <c r="N28" s="12">
        <v>58.658707534313393</v>
      </c>
      <c r="O28" s="48">
        <v>57.103650390575915</v>
      </c>
      <c r="Q28" s="51">
        <f ca="1">VLOOKUP($B28,'Table 3'!$B$11:$K$41,9,FALSE)</f>
        <v>50.28</v>
      </c>
    </row>
    <row r="29" spans="2:17" ht="12.75" customHeight="1">
      <c r="B29" s="58">
        <f t="shared" si="0"/>
        <v>2032</v>
      </c>
      <c r="C29" s="60">
        <v>51.860323375013877</v>
      </c>
      <c r="D29" s="12">
        <v>52.534790985767863</v>
      </c>
      <c r="E29" s="12">
        <v>52.33038753549782</v>
      </c>
      <c r="F29" s="12">
        <v>48.859557158444822</v>
      </c>
      <c r="G29" s="12">
        <v>48.448658424835969</v>
      </c>
      <c r="H29" s="48">
        <v>47.765828008064737</v>
      </c>
      <c r="I29" s="52">
        <v>48.365992591502817</v>
      </c>
      <c r="J29" s="12">
        <v>51.146149566730955</v>
      </c>
      <c r="K29" s="12">
        <v>51.443763026878813</v>
      </c>
      <c r="L29" s="48">
        <v>50.395095853757816</v>
      </c>
      <c r="M29" s="52">
        <v>52.930696193548712</v>
      </c>
      <c r="N29" s="12">
        <v>59.800600846404926</v>
      </c>
      <c r="O29" s="48">
        <v>58.318785551865219</v>
      </c>
      <c r="Q29" s="51">
        <f ca="1">VLOOKUP($B29,'Table 3'!$B$11:$K$41,9,FALSE)</f>
        <v>51.31</v>
      </c>
    </row>
    <row r="30" spans="2:17" ht="12.75" customHeight="1">
      <c r="B30" s="58">
        <f t="shared" si="0"/>
        <v>2033</v>
      </c>
      <c r="C30" s="60">
        <v>53.071932283481409</v>
      </c>
      <c r="D30" s="12">
        <v>53.583888428211026</v>
      </c>
      <c r="E30" s="12">
        <v>53.444461775209014</v>
      </c>
      <c r="F30" s="12">
        <v>49.877691519292455</v>
      </c>
      <c r="G30" s="12">
        <v>49.650044901961202</v>
      </c>
      <c r="H30" s="48">
        <v>49.102631402593445</v>
      </c>
      <c r="I30" s="52">
        <v>49.822649457516036</v>
      </c>
      <c r="J30" s="12">
        <v>52.288697428843932</v>
      </c>
      <c r="K30" s="12">
        <v>52.88038736559276</v>
      </c>
      <c r="L30" s="48">
        <v>51.286132106207361</v>
      </c>
      <c r="M30" s="52">
        <v>54.032626418406494</v>
      </c>
      <c r="N30" s="12">
        <v>61.389690872549622</v>
      </c>
      <c r="O30" s="48">
        <v>59.535846263442629</v>
      </c>
      <c r="Q30" s="51">
        <f ca="1">VLOOKUP($B30,'Table 3'!$B$11:$K$41,9,FALSE)</f>
        <v>52.34</v>
      </c>
    </row>
    <row r="31" spans="2:17" ht="12.75" customHeight="1">
      <c r="B31" s="59">
        <f t="shared" si="0"/>
        <v>2034</v>
      </c>
      <c r="C31" s="61">
        <v>54.226426717645211</v>
      </c>
      <c r="D31" s="20">
        <v>54.659054867646162</v>
      </c>
      <c r="E31" s="20">
        <v>54.509198482143653</v>
      </c>
      <c r="F31" s="20">
        <v>50.914094157178596</v>
      </c>
      <c r="G31" s="20">
        <v>50.703890988562819</v>
      </c>
      <c r="H31" s="49">
        <v>50.168918349779084</v>
      </c>
      <c r="I31" s="88">
        <v>50.988318942810587</v>
      </c>
      <c r="J31" s="20">
        <v>53.0304705637258</v>
      </c>
      <c r="K31" s="20">
        <v>54.194004671409452</v>
      </c>
      <c r="L31" s="49">
        <v>52.734279991176976</v>
      </c>
      <c r="M31" s="88">
        <v>55.36043576533794</v>
      </c>
      <c r="N31" s="20">
        <v>62.722355185619563</v>
      </c>
      <c r="O31" s="49">
        <v>60.767306824794758</v>
      </c>
      <c r="Q31" s="89">
        <f ca="1">VLOOKUP($B31,'Table 3'!$B$11:$K$41,9,FALSE)</f>
        <v>53.37</v>
      </c>
    </row>
    <row r="32" spans="2:17" ht="12.75" customHeight="1">
      <c r="D32" s="18"/>
      <c r="E32" s="18"/>
      <c r="F32" s="18"/>
      <c r="M32" s="26"/>
    </row>
    <row r="33" spans="2:17">
      <c r="B33" s="218" t="s">
        <v>105</v>
      </c>
      <c r="C33" s="6" t="s">
        <v>111</v>
      </c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</row>
    <row r="34" spans="2:17">
      <c r="C34" s="6" t="s">
        <v>106</v>
      </c>
    </row>
    <row r="35" spans="2:17">
      <c r="C35" s="6" t="s">
        <v>107</v>
      </c>
    </row>
    <row r="36" spans="2:17" hidden="1">
      <c r="D36" s="9" t="s">
        <v>48</v>
      </c>
    </row>
    <row r="37" spans="2:17" hidden="1">
      <c r="C37" s="50"/>
      <c r="D37" s="55" t="s">
        <v>47</v>
      </c>
    </row>
    <row r="38" spans="2:17" hidden="1"/>
    <row r="39" spans="2:17" hidden="1"/>
    <row r="40" spans="2:17" hidden="1"/>
    <row r="41" spans="2:17" hidden="1"/>
    <row r="42" spans="2:17" hidden="1"/>
    <row r="43" spans="2:17" hidden="1">
      <c r="F43" s="63" t="s">
        <v>49</v>
      </c>
    </row>
    <row r="44" spans="2:17" hidden="1">
      <c r="F44" s="62">
        <v>1.9E-2</v>
      </c>
    </row>
    <row r="46" spans="2:17">
      <c r="C46" s="119"/>
    </row>
    <row r="47" spans="2:17">
      <c r="C47" s="119"/>
    </row>
    <row r="48" spans="2:17">
      <c r="C48" s="119"/>
    </row>
    <row r="49" spans="3:3">
      <c r="C49" s="119"/>
    </row>
    <row r="50" spans="3:3">
      <c r="C50" s="119"/>
    </row>
    <row r="51" spans="3:3">
      <c r="C51" s="119"/>
    </row>
    <row r="52" spans="3:3">
      <c r="C52" s="119"/>
    </row>
  </sheetData>
  <phoneticPr fontId="6" type="noConversion"/>
  <conditionalFormatting sqref="C17:O31">
    <cfRule type="cellIs" dxfId="0" priority="1" stopIfTrue="1" operator="equal">
      <formula>$Q17</formula>
    </cfRule>
  </conditionalFormatting>
  <printOptions horizontalCentered="1"/>
  <pageMargins left="0.25" right="0.25" top="0.75" bottom="0.75" header="0.3" footer="0.3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1:O95"/>
  <sheetViews>
    <sheetView tabSelected="1" topLeftCell="A88" zoomScaleNormal="100" zoomScaleSheetLayoutView="85" workbookViewId="0">
      <selection activeCell="J31" sqref="J31"/>
    </sheetView>
  </sheetViews>
  <sheetFormatPr defaultColWidth="9.33203125" defaultRowHeight="12.75"/>
  <cols>
    <col min="1" max="1" width="2.83203125" style="149" customWidth="1"/>
    <col min="2" max="2" width="10.83203125" style="149" customWidth="1"/>
    <col min="3" max="3" width="14.1640625" style="149" customWidth="1"/>
    <col min="4" max="4" width="12.33203125" style="149" customWidth="1"/>
    <col min="5" max="5" width="9.1640625" style="149" customWidth="1"/>
    <col min="6" max="6" width="10.5" style="149" customWidth="1"/>
    <col min="7" max="7" width="10.5" style="149" bestFit="1" customWidth="1"/>
    <col min="8" max="8" width="11.6640625" style="149" bestFit="1" customWidth="1"/>
    <col min="9" max="9" width="11.1640625" style="149" customWidth="1"/>
    <col min="10" max="10" width="12" style="149" bestFit="1" customWidth="1"/>
    <col min="11" max="11" width="12" style="149" customWidth="1"/>
    <col min="12" max="13" width="9.33203125" style="149"/>
    <col min="14" max="15" width="9.33203125" style="149" customWidth="1"/>
    <col min="16" max="16384" width="9.33203125" style="149"/>
  </cols>
  <sheetData>
    <row r="1" spans="2:14" ht="15.75">
      <c r="B1" s="1" t="s">
        <v>73</v>
      </c>
      <c r="C1" s="148"/>
      <c r="D1" s="148"/>
      <c r="E1" s="148"/>
      <c r="F1" s="148"/>
      <c r="G1" s="148"/>
      <c r="H1" s="148"/>
      <c r="I1" s="148"/>
      <c r="J1" s="148"/>
      <c r="K1" s="148"/>
    </row>
    <row r="2" spans="2:14" ht="15.75">
      <c r="B2" s="1"/>
      <c r="C2" s="148"/>
      <c r="D2" s="148"/>
      <c r="E2" s="148"/>
      <c r="F2" s="148"/>
      <c r="G2" s="148"/>
      <c r="H2" s="148"/>
      <c r="I2" s="148"/>
      <c r="J2" s="148"/>
      <c r="K2" s="148"/>
    </row>
    <row r="3" spans="2:14" ht="15.75">
      <c r="B3" s="1" t="s">
        <v>114</v>
      </c>
      <c r="C3" s="148"/>
      <c r="D3" s="148"/>
      <c r="E3" s="148"/>
      <c r="F3" s="148"/>
      <c r="G3" s="148"/>
      <c r="H3" s="148"/>
      <c r="I3" s="148"/>
      <c r="J3" s="148"/>
      <c r="K3" s="148"/>
    </row>
    <row r="4" spans="2:14" ht="15.75">
      <c r="B4" s="1" t="s">
        <v>103</v>
      </c>
      <c r="C4" s="148"/>
      <c r="D4" s="148"/>
      <c r="E4" s="148"/>
      <c r="F4" s="148"/>
      <c r="G4" s="148"/>
      <c r="H4" s="148"/>
      <c r="I4" s="148"/>
      <c r="J4" s="148"/>
      <c r="K4" s="148"/>
    </row>
    <row r="5" spans="2:14" ht="15.75">
      <c r="B5" s="1" t="str">
        <f>C54</f>
        <v>CCCT Dry "F", 2x1 - East Side Resource (5,050')</v>
      </c>
      <c r="C5" s="148"/>
      <c r="D5" s="148"/>
      <c r="E5" s="148"/>
      <c r="F5" s="148"/>
      <c r="G5" s="148"/>
      <c r="H5" s="148"/>
      <c r="I5" s="148"/>
      <c r="J5" s="148"/>
      <c r="K5" s="148"/>
    </row>
    <row r="6" spans="2:14" ht="15.75">
      <c r="B6" s="1"/>
      <c r="C6" s="148"/>
      <c r="D6" s="148"/>
      <c r="E6" s="148"/>
      <c r="F6" s="148"/>
      <c r="G6" s="148"/>
      <c r="H6" s="148"/>
      <c r="I6" s="148"/>
      <c r="K6" s="64"/>
    </row>
    <row r="7" spans="2:14">
      <c r="B7" s="150"/>
      <c r="C7" s="150"/>
      <c r="D7" s="150"/>
      <c r="E7" s="150"/>
      <c r="F7" s="150"/>
      <c r="G7" s="150"/>
      <c r="H7" s="150"/>
      <c r="I7" s="148"/>
      <c r="J7" s="151"/>
      <c r="K7" s="151"/>
      <c r="L7" s="151"/>
      <c r="M7" s="151"/>
      <c r="N7" s="151"/>
    </row>
    <row r="8" spans="2:14" ht="51.75" customHeight="1">
      <c r="B8" s="65" t="s">
        <v>0</v>
      </c>
      <c r="C8" s="66" t="s">
        <v>10</v>
      </c>
      <c r="D8" s="66" t="s">
        <v>11</v>
      </c>
      <c r="E8" s="66" t="s">
        <v>12</v>
      </c>
      <c r="F8" s="66" t="s">
        <v>13</v>
      </c>
      <c r="G8" s="66" t="s">
        <v>14</v>
      </c>
      <c r="H8" s="66" t="s">
        <v>15</v>
      </c>
      <c r="I8" s="67" t="s">
        <v>41</v>
      </c>
      <c r="J8" s="67" t="s">
        <v>84</v>
      </c>
      <c r="K8" s="66" t="s">
        <v>85</v>
      </c>
      <c r="L8" s="151"/>
    </row>
    <row r="9" spans="2:14" ht="18.75" customHeight="1">
      <c r="B9" s="68"/>
      <c r="C9" s="69" t="s">
        <v>8</v>
      </c>
      <c r="D9" s="70" t="s">
        <v>9</v>
      </c>
      <c r="E9" s="70" t="s">
        <v>9</v>
      </c>
      <c r="F9" s="69" t="s">
        <v>59</v>
      </c>
      <c r="G9" s="70" t="s">
        <v>9</v>
      </c>
      <c r="H9" s="70" t="s">
        <v>9</v>
      </c>
      <c r="I9" s="70" t="s">
        <v>42</v>
      </c>
      <c r="J9" s="69" t="s">
        <v>59</v>
      </c>
      <c r="K9" s="69" t="s">
        <v>59</v>
      </c>
      <c r="L9" s="151"/>
    </row>
    <row r="10" spans="2:14">
      <c r="C10" s="2" t="s">
        <v>1</v>
      </c>
      <c r="D10" s="2" t="s">
        <v>2</v>
      </c>
      <c r="E10" s="2" t="s">
        <v>3</v>
      </c>
      <c r="F10" s="2" t="s">
        <v>4</v>
      </c>
      <c r="G10" s="2" t="s">
        <v>5</v>
      </c>
      <c r="H10" s="2" t="s">
        <v>7</v>
      </c>
      <c r="I10" s="2" t="s">
        <v>43</v>
      </c>
      <c r="J10" s="2" t="s">
        <v>44</v>
      </c>
      <c r="K10" s="2" t="s">
        <v>50</v>
      </c>
    </row>
    <row r="11" spans="2:14" ht="6" customHeight="1"/>
    <row r="12" spans="2:14" ht="15.75">
      <c r="B12" s="109" t="str">
        <f>C54</f>
        <v>CCCT Dry "F", 2x1 - East Side Resource (5,050')</v>
      </c>
      <c r="C12" s="151"/>
      <c r="E12" s="151"/>
      <c r="F12" s="151"/>
      <c r="G12" s="151"/>
      <c r="H12" s="151"/>
      <c r="I12" s="150"/>
      <c r="J12" s="150"/>
      <c r="K12" s="150"/>
      <c r="L12" s="151"/>
    </row>
    <row r="13" spans="2:14" ht="4.5" customHeight="1">
      <c r="B13" s="152"/>
      <c r="C13" s="153"/>
      <c r="D13" s="154"/>
      <c r="E13" s="155"/>
      <c r="F13" s="155"/>
      <c r="G13" s="156"/>
      <c r="H13" s="156"/>
      <c r="I13" s="156"/>
      <c r="J13" s="156"/>
      <c r="K13" s="156"/>
    </row>
    <row r="14" spans="2:14">
      <c r="B14" s="152">
        <v>2012</v>
      </c>
      <c r="C14" s="153">
        <f>$H$60</f>
        <v>1026</v>
      </c>
      <c r="D14" s="154">
        <f>ROUND(C14*$C$76,2)</f>
        <v>80.91</v>
      </c>
      <c r="E14" s="155">
        <f>$I$60</f>
        <v>21.73</v>
      </c>
      <c r="F14" s="155">
        <f>$J$65</f>
        <v>2.4300000000000002</v>
      </c>
      <c r="G14" s="156">
        <f t="shared" ref="G14:G42" si="0">ROUND(F14*(8.76*$G$65)+E14,2)</f>
        <v>31.86</v>
      </c>
      <c r="H14" s="156">
        <f t="shared" ref="H14:H42" si="1">ROUND(D14+G14,2)</f>
        <v>112.77</v>
      </c>
      <c r="I14" s="156"/>
      <c r="J14" s="156"/>
      <c r="K14" s="156"/>
    </row>
    <row r="15" spans="2:14">
      <c r="B15" s="152">
        <f t="shared" ref="B15:B42" si="2">B14+1</f>
        <v>2013</v>
      </c>
      <c r="C15" s="157"/>
      <c r="D15" s="154">
        <f t="shared" ref="D15:F22" si="3">ROUND(D14*(1+$D84),2)</f>
        <v>81.96</v>
      </c>
      <c r="E15" s="154">
        <f t="shared" si="3"/>
        <v>22.01</v>
      </c>
      <c r="F15" s="154">
        <f t="shared" si="3"/>
        <v>2.46</v>
      </c>
      <c r="G15" s="158">
        <f t="shared" si="0"/>
        <v>32.270000000000003</v>
      </c>
      <c r="H15" s="158">
        <f t="shared" si="1"/>
        <v>114.23</v>
      </c>
      <c r="I15" s="156"/>
      <c r="J15" s="156"/>
      <c r="K15" s="156"/>
    </row>
    <row r="16" spans="2:14">
      <c r="B16" s="152">
        <f t="shared" si="2"/>
        <v>2014</v>
      </c>
      <c r="C16" s="157"/>
      <c r="D16" s="154">
        <f t="shared" si="3"/>
        <v>83.27</v>
      </c>
      <c r="E16" s="154">
        <f t="shared" si="3"/>
        <v>22.36</v>
      </c>
      <c r="F16" s="154">
        <f t="shared" si="3"/>
        <v>2.5</v>
      </c>
      <c r="G16" s="156">
        <f t="shared" si="0"/>
        <v>32.78</v>
      </c>
      <c r="H16" s="156">
        <f t="shared" si="1"/>
        <v>116.05</v>
      </c>
      <c r="I16" s="156"/>
      <c r="J16" s="156"/>
      <c r="K16" s="156"/>
    </row>
    <row r="17" spans="2:11">
      <c r="B17" s="152">
        <f t="shared" si="2"/>
        <v>2015</v>
      </c>
      <c r="C17" s="157"/>
      <c r="D17" s="158">
        <f t="shared" si="3"/>
        <v>84.6</v>
      </c>
      <c r="E17" s="158">
        <f t="shared" si="3"/>
        <v>22.72</v>
      </c>
      <c r="F17" s="158">
        <f t="shared" si="3"/>
        <v>2.54</v>
      </c>
      <c r="G17" s="156">
        <f t="shared" si="0"/>
        <v>33.31</v>
      </c>
      <c r="H17" s="156">
        <f t="shared" si="1"/>
        <v>117.91</v>
      </c>
      <c r="I17" s="156"/>
      <c r="J17" s="156"/>
      <c r="K17" s="156"/>
    </row>
    <row r="18" spans="2:11">
      <c r="B18" s="152">
        <f t="shared" si="2"/>
        <v>2016</v>
      </c>
      <c r="C18" s="157"/>
      <c r="D18" s="158">
        <f t="shared" si="3"/>
        <v>86.04</v>
      </c>
      <c r="E18" s="158">
        <f t="shared" si="3"/>
        <v>23.11</v>
      </c>
      <c r="F18" s="158">
        <f t="shared" si="3"/>
        <v>2.58</v>
      </c>
      <c r="G18" s="156">
        <f t="shared" si="0"/>
        <v>33.869999999999997</v>
      </c>
      <c r="H18" s="156">
        <f t="shared" si="1"/>
        <v>119.91</v>
      </c>
      <c r="I18" s="156"/>
      <c r="J18" s="156"/>
      <c r="K18" s="156"/>
    </row>
    <row r="19" spans="2:11">
      <c r="B19" s="152">
        <f t="shared" si="2"/>
        <v>2017</v>
      </c>
      <c r="C19" s="157"/>
      <c r="D19" s="158">
        <f t="shared" si="3"/>
        <v>87.5</v>
      </c>
      <c r="E19" s="158">
        <f t="shared" si="3"/>
        <v>23.5</v>
      </c>
      <c r="F19" s="158">
        <f t="shared" si="3"/>
        <v>2.62</v>
      </c>
      <c r="G19" s="156">
        <f t="shared" si="0"/>
        <v>34.42</v>
      </c>
      <c r="H19" s="156">
        <f t="shared" si="1"/>
        <v>121.92</v>
      </c>
      <c r="I19" s="156"/>
      <c r="J19" s="156"/>
      <c r="K19" s="156"/>
    </row>
    <row r="20" spans="2:11">
      <c r="B20" s="152">
        <f t="shared" si="2"/>
        <v>2018</v>
      </c>
      <c r="C20" s="157"/>
      <c r="D20" s="158">
        <f t="shared" si="3"/>
        <v>88.99</v>
      </c>
      <c r="E20" s="158">
        <f t="shared" si="3"/>
        <v>23.9</v>
      </c>
      <c r="F20" s="158">
        <f t="shared" si="3"/>
        <v>2.66</v>
      </c>
      <c r="G20" s="156">
        <f t="shared" si="0"/>
        <v>34.99</v>
      </c>
      <c r="H20" s="156">
        <f t="shared" si="1"/>
        <v>123.98</v>
      </c>
      <c r="I20" s="156"/>
      <c r="J20" s="156"/>
      <c r="K20" s="156"/>
    </row>
    <row r="21" spans="2:11">
      <c r="B21" s="152">
        <f t="shared" si="2"/>
        <v>2019</v>
      </c>
      <c r="C21" s="157"/>
      <c r="D21" s="158">
        <f t="shared" si="3"/>
        <v>90.5</v>
      </c>
      <c r="E21" s="158">
        <f t="shared" si="3"/>
        <v>24.31</v>
      </c>
      <c r="F21" s="158">
        <f t="shared" si="3"/>
        <v>2.71</v>
      </c>
      <c r="G21" s="156">
        <f t="shared" si="0"/>
        <v>35.61</v>
      </c>
      <c r="H21" s="156">
        <f t="shared" si="1"/>
        <v>126.11</v>
      </c>
      <c r="I21" s="156"/>
      <c r="J21" s="156"/>
      <c r="K21" s="156"/>
    </row>
    <row r="22" spans="2:11">
      <c r="B22" s="152">
        <f t="shared" si="2"/>
        <v>2020</v>
      </c>
      <c r="C22" s="157"/>
      <c r="D22" s="158">
        <f t="shared" si="3"/>
        <v>92.13</v>
      </c>
      <c r="E22" s="158">
        <f t="shared" si="3"/>
        <v>24.75</v>
      </c>
      <c r="F22" s="158">
        <f t="shared" si="3"/>
        <v>2.76</v>
      </c>
      <c r="G22" s="156">
        <f t="shared" si="0"/>
        <v>36.26</v>
      </c>
      <c r="H22" s="156">
        <f t="shared" si="1"/>
        <v>128.38999999999999</v>
      </c>
      <c r="I22" s="156"/>
      <c r="J22" s="156"/>
      <c r="K22" s="156"/>
    </row>
    <row r="23" spans="2:11">
      <c r="B23" s="152">
        <f t="shared" si="2"/>
        <v>2021</v>
      </c>
      <c r="C23" s="157"/>
      <c r="D23" s="158">
        <f t="shared" ref="D23:F31" si="4">ROUND(D22*(1+$G83),2)</f>
        <v>93.79</v>
      </c>
      <c r="E23" s="158">
        <f t="shared" si="4"/>
        <v>25.2</v>
      </c>
      <c r="F23" s="158">
        <f t="shared" si="4"/>
        <v>2.81</v>
      </c>
      <c r="G23" s="156">
        <f t="shared" si="0"/>
        <v>36.92</v>
      </c>
      <c r="H23" s="156">
        <f t="shared" si="1"/>
        <v>130.71</v>
      </c>
      <c r="I23" s="156"/>
      <c r="J23" s="156"/>
      <c r="K23" s="156"/>
    </row>
    <row r="24" spans="2:11">
      <c r="B24" s="152">
        <f t="shared" si="2"/>
        <v>2022</v>
      </c>
      <c r="C24" s="157"/>
      <c r="D24" s="158">
        <f t="shared" si="4"/>
        <v>95.57</v>
      </c>
      <c r="E24" s="158">
        <f t="shared" si="4"/>
        <v>25.68</v>
      </c>
      <c r="F24" s="158">
        <f t="shared" si="4"/>
        <v>2.86</v>
      </c>
      <c r="G24" s="156">
        <f t="shared" si="0"/>
        <v>37.61</v>
      </c>
      <c r="H24" s="156">
        <f t="shared" si="1"/>
        <v>133.18</v>
      </c>
      <c r="I24" s="156"/>
      <c r="J24" s="156"/>
      <c r="K24" s="156"/>
    </row>
    <row r="25" spans="2:11">
      <c r="B25" s="152">
        <f t="shared" si="2"/>
        <v>2023</v>
      </c>
      <c r="C25" s="157"/>
      <c r="D25" s="158">
        <f t="shared" si="4"/>
        <v>97.39</v>
      </c>
      <c r="E25" s="158">
        <f t="shared" si="4"/>
        <v>26.17</v>
      </c>
      <c r="F25" s="158">
        <f t="shared" si="4"/>
        <v>2.91</v>
      </c>
      <c r="G25" s="156">
        <f t="shared" si="0"/>
        <v>38.299999999999997</v>
      </c>
      <c r="H25" s="156">
        <f t="shared" si="1"/>
        <v>135.69</v>
      </c>
      <c r="I25" s="156"/>
      <c r="J25" s="156"/>
      <c r="K25" s="156"/>
    </row>
    <row r="26" spans="2:11">
      <c r="B26" s="152">
        <f t="shared" si="2"/>
        <v>2024</v>
      </c>
      <c r="C26" s="157"/>
      <c r="D26" s="158">
        <f t="shared" si="4"/>
        <v>99.24</v>
      </c>
      <c r="E26" s="158">
        <f t="shared" si="4"/>
        <v>26.67</v>
      </c>
      <c r="F26" s="158">
        <f t="shared" si="4"/>
        <v>2.97</v>
      </c>
      <c r="G26" s="156">
        <f t="shared" si="0"/>
        <v>39.049999999999997</v>
      </c>
      <c r="H26" s="156">
        <f t="shared" si="1"/>
        <v>138.29</v>
      </c>
      <c r="I26" s="156"/>
      <c r="J26" s="156"/>
      <c r="K26" s="156"/>
    </row>
    <row r="27" spans="2:11">
      <c r="B27" s="152">
        <f t="shared" si="2"/>
        <v>2025</v>
      </c>
      <c r="C27" s="157"/>
      <c r="D27" s="158">
        <f t="shared" si="4"/>
        <v>101.13</v>
      </c>
      <c r="E27" s="158">
        <f t="shared" si="4"/>
        <v>27.18</v>
      </c>
      <c r="F27" s="158">
        <f t="shared" si="4"/>
        <v>3.03</v>
      </c>
      <c r="G27" s="156">
        <f t="shared" si="0"/>
        <v>39.81</v>
      </c>
      <c r="H27" s="156">
        <f t="shared" si="1"/>
        <v>140.94</v>
      </c>
      <c r="I27" s="156"/>
      <c r="J27" s="156"/>
      <c r="K27" s="156"/>
    </row>
    <row r="28" spans="2:11" s="193" customFormat="1">
      <c r="B28" s="200">
        <f t="shared" si="2"/>
        <v>2026</v>
      </c>
      <c r="C28" s="201"/>
      <c r="D28" s="191">
        <f t="shared" si="4"/>
        <v>103.05</v>
      </c>
      <c r="E28" s="191">
        <f t="shared" si="4"/>
        <v>27.7</v>
      </c>
      <c r="F28" s="191">
        <f t="shared" si="4"/>
        <v>3.09</v>
      </c>
      <c r="G28" s="191">
        <f t="shared" si="0"/>
        <v>40.58</v>
      </c>
      <c r="H28" s="191">
        <f t="shared" si="1"/>
        <v>143.63</v>
      </c>
      <c r="I28" s="156"/>
      <c r="J28" s="156"/>
      <c r="K28" s="156"/>
    </row>
    <row r="29" spans="2:11" s="193" customFormat="1" ht="13.5" thickBot="1">
      <c r="B29" s="196">
        <f t="shared" si="2"/>
        <v>2027</v>
      </c>
      <c r="C29" s="197"/>
      <c r="D29" s="198">
        <f t="shared" si="4"/>
        <v>105.01</v>
      </c>
      <c r="E29" s="198">
        <f t="shared" si="4"/>
        <v>28.23</v>
      </c>
      <c r="F29" s="198">
        <f t="shared" si="4"/>
        <v>3.15</v>
      </c>
      <c r="G29" s="199">
        <f t="shared" si="0"/>
        <v>41.36</v>
      </c>
      <c r="H29" s="199">
        <f t="shared" si="1"/>
        <v>146.37</v>
      </c>
      <c r="I29" s="188"/>
      <c r="J29" s="188"/>
      <c r="K29" s="188"/>
    </row>
    <row r="30" spans="2:11" s="193" customFormat="1">
      <c r="B30" s="200">
        <f t="shared" si="2"/>
        <v>2028</v>
      </c>
      <c r="C30" s="201"/>
      <c r="D30" s="202">
        <f t="shared" si="4"/>
        <v>107.01</v>
      </c>
      <c r="E30" s="202">
        <f t="shared" si="4"/>
        <v>28.77</v>
      </c>
      <c r="F30" s="202">
        <f t="shared" si="4"/>
        <v>3.21</v>
      </c>
      <c r="G30" s="191">
        <f>ROUND(F30*(8.76*$G$65)+E30,2)</f>
        <v>42.15</v>
      </c>
      <c r="H30" s="191">
        <f t="shared" si="1"/>
        <v>149.16</v>
      </c>
      <c r="I30" s="156">
        <f ca="1">VLOOKUP(B30,'Table 4'!$B$13:$C$29,2,FALSE)</f>
        <v>6.63</v>
      </c>
      <c r="J30" s="156">
        <f t="shared" ref="J30:J42" ca="1" si="5">ROUND($K$65*I30/1000,2)</f>
        <v>45.48</v>
      </c>
      <c r="K30" s="156">
        <f t="shared" ref="K30:K42" ca="1" si="6">ROUND(H30*1000/8760/$G$65+J30,2)</f>
        <v>81.25</v>
      </c>
    </row>
    <row r="31" spans="2:11" s="193" customFormat="1">
      <c r="B31" s="200">
        <f t="shared" si="2"/>
        <v>2029</v>
      </c>
      <c r="C31" s="201"/>
      <c r="D31" s="191">
        <f t="shared" si="4"/>
        <v>109.04</v>
      </c>
      <c r="E31" s="191">
        <f t="shared" si="4"/>
        <v>29.32</v>
      </c>
      <c r="F31" s="191">
        <f t="shared" si="4"/>
        <v>3.27</v>
      </c>
      <c r="G31" s="191">
        <f t="shared" si="0"/>
        <v>42.96</v>
      </c>
      <c r="H31" s="191">
        <f t="shared" si="1"/>
        <v>152</v>
      </c>
      <c r="I31" s="156">
        <f ca="1">VLOOKUP(B31,'Table 4'!$B$13:$C$29,2,FALSE)</f>
        <v>7.03</v>
      </c>
      <c r="J31" s="156">
        <f t="shared" ca="1" si="5"/>
        <v>48.23</v>
      </c>
      <c r="K31" s="156">
        <f t="shared" ca="1" si="6"/>
        <v>84.68</v>
      </c>
    </row>
    <row r="32" spans="2:11" s="193" customFormat="1">
      <c r="B32" s="200">
        <f t="shared" si="2"/>
        <v>2030</v>
      </c>
      <c r="C32" s="201"/>
      <c r="D32" s="191">
        <f t="shared" ref="D32:F42" si="7">ROUND(D31*(1+$J83),2)</f>
        <v>111.11</v>
      </c>
      <c r="E32" s="191">
        <f t="shared" si="7"/>
        <v>29.88</v>
      </c>
      <c r="F32" s="191">
        <f t="shared" si="7"/>
        <v>3.33</v>
      </c>
      <c r="G32" s="191">
        <f t="shared" si="0"/>
        <v>43.77</v>
      </c>
      <c r="H32" s="191">
        <f t="shared" si="1"/>
        <v>154.88</v>
      </c>
      <c r="I32" s="156">
        <f ca="1">VLOOKUP(B32,'Table 4'!$B$13:$C$29,2,FALSE)</f>
        <v>7.2</v>
      </c>
      <c r="J32" s="156">
        <f t="shared" ca="1" si="5"/>
        <v>49.39</v>
      </c>
      <c r="K32" s="156">
        <f t="shared" ca="1" si="6"/>
        <v>86.53</v>
      </c>
    </row>
    <row r="33" spans="2:15">
      <c r="B33" s="152">
        <f t="shared" si="2"/>
        <v>2031</v>
      </c>
      <c r="C33" s="157"/>
      <c r="D33" s="156">
        <f t="shared" si="7"/>
        <v>113.22</v>
      </c>
      <c r="E33" s="154">
        <f t="shared" si="7"/>
        <v>30.45</v>
      </c>
      <c r="F33" s="154">
        <f t="shared" si="7"/>
        <v>3.39</v>
      </c>
      <c r="G33" s="156">
        <f t="shared" si="0"/>
        <v>44.59</v>
      </c>
      <c r="H33" s="156">
        <f t="shared" si="1"/>
        <v>157.81</v>
      </c>
      <c r="I33" s="156">
        <f ca="1">VLOOKUP(B33,'Table 4'!$B$13:$C$29,2,FALSE)</f>
        <v>7.33</v>
      </c>
      <c r="J33" s="156">
        <f t="shared" ca="1" si="5"/>
        <v>50.28</v>
      </c>
      <c r="K33" s="156">
        <f t="shared" ca="1" si="6"/>
        <v>88.13</v>
      </c>
    </row>
    <row r="34" spans="2:15">
      <c r="B34" s="152">
        <f t="shared" si="2"/>
        <v>2032</v>
      </c>
      <c r="C34" s="157"/>
      <c r="D34" s="156">
        <f t="shared" si="7"/>
        <v>115.48</v>
      </c>
      <c r="E34" s="154">
        <f t="shared" si="7"/>
        <v>31.06</v>
      </c>
      <c r="F34" s="154">
        <f t="shared" si="7"/>
        <v>3.46</v>
      </c>
      <c r="G34" s="156">
        <f t="shared" si="0"/>
        <v>45.49</v>
      </c>
      <c r="H34" s="156">
        <f t="shared" si="1"/>
        <v>160.97</v>
      </c>
      <c r="I34" s="156">
        <f ca="1">VLOOKUP(B34,'Table 4'!$B$13:$C$29,2,FALSE)</f>
        <v>7.48</v>
      </c>
      <c r="J34" s="156">
        <f t="shared" ca="1" si="5"/>
        <v>51.31</v>
      </c>
      <c r="K34" s="156">
        <f t="shared" ca="1" si="6"/>
        <v>89.91</v>
      </c>
    </row>
    <row r="35" spans="2:15">
      <c r="B35" s="152">
        <f t="shared" si="2"/>
        <v>2033</v>
      </c>
      <c r="C35" s="157"/>
      <c r="D35" s="156">
        <f t="shared" si="7"/>
        <v>117.79</v>
      </c>
      <c r="E35" s="154">
        <f t="shared" si="7"/>
        <v>31.68</v>
      </c>
      <c r="F35" s="154">
        <f t="shared" si="7"/>
        <v>3.53</v>
      </c>
      <c r="G35" s="156">
        <f t="shared" si="0"/>
        <v>46.4</v>
      </c>
      <c r="H35" s="156">
        <f t="shared" si="1"/>
        <v>164.19</v>
      </c>
      <c r="I35" s="156">
        <f ca="1">VLOOKUP(B35,'Table 4'!$B$13:$C$29,2,FALSE)</f>
        <v>7.63</v>
      </c>
      <c r="J35" s="156">
        <f t="shared" ca="1" si="5"/>
        <v>52.34</v>
      </c>
      <c r="K35" s="156">
        <f t="shared" ca="1" si="6"/>
        <v>91.72</v>
      </c>
    </row>
    <row r="36" spans="2:15">
      <c r="B36" s="152">
        <f t="shared" si="2"/>
        <v>2034</v>
      </c>
      <c r="C36" s="157"/>
      <c r="D36" s="156">
        <f t="shared" si="7"/>
        <v>120.15</v>
      </c>
      <c r="E36" s="154">
        <f t="shared" si="7"/>
        <v>32.31</v>
      </c>
      <c r="F36" s="154">
        <f t="shared" si="7"/>
        <v>3.6</v>
      </c>
      <c r="G36" s="156">
        <f t="shared" si="0"/>
        <v>47.32</v>
      </c>
      <c r="H36" s="156">
        <f t="shared" si="1"/>
        <v>167.47</v>
      </c>
      <c r="I36" s="156">
        <f ca="1">VLOOKUP(B36,'Table 4'!$B$13:$C$29,2,FALSE)</f>
        <v>7.78</v>
      </c>
      <c r="J36" s="156">
        <f t="shared" ca="1" si="5"/>
        <v>53.37</v>
      </c>
      <c r="K36" s="156">
        <f t="shared" ca="1" si="6"/>
        <v>93.53</v>
      </c>
    </row>
    <row r="37" spans="2:15">
      <c r="B37" s="152">
        <f t="shared" si="2"/>
        <v>2035</v>
      </c>
      <c r="C37" s="157"/>
      <c r="D37" s="156">
        <f t="shared" si="7"/>
        <v>122.55</v>
      </c>
      <c r="E37" s="154">
        <f t="shared" si="7"/>
        <v>32.96</v>
      </c>
      <c r="F37" s="154">
        <f t="shared" si="7"/>
        <v>3.67</v>
      </c>
      <c r="G37" s="156">
        <f t="shared" si="0"/>
        <v>48.26</v>
      </c>
      <c r="H37" s="156">
        <f t="shared" si="1"/>
        <v>170.81</v>
      </c>
      <c r="I37" s="156">
        <f ca="1">VLOOKUP(B37,'Table 4'!$B$13:$C$29,2,FALSE)</f>
        <v>7.93</v>
      </c>
      <c r="J37" s="156">
        <f t="shared" ca="1" si="5"/>
        <v>54.4</v>
      </c>
      <c r="K37" s="156">
        <f t="shared" ca="1" si="6"/>
        <v>95.36</v>
      </c>
    </row>
    <row r="38" spans="2:15">
      <c r="B38" s="152">
        <f t="shared" si="2"/>
        <v>2036</v>
      </c>
      <c r="C38" s="157"/>
      <c r="D38" s="156">
        <f t="shared" si="7"/>
        <v>125</v>
      </c>
      <c r="E38" s="154">
        <f t="shared" si="7"/>
        <v>33.619999999999997</v>
      </c>
      <c r="F38" s="154">
        <f t="shared" si="7"/>
        <v>3.74</v>
      </c>
      <c r="G38" s="156">
        <f t="shared" si="0"/>
        <v>49.21</v>
      </c>
      <c r="H38" s="156">
        <f t="shared" si="1"/>
        <v>174.21</v>
      </c>
      <c r="I38" s="156">
        <f ca="1">VLOOKUP(B38,'Table 4'!$B$13:$C$29,2,FALSE)</f>
        <v>8.09</v>
      </c>
      <c r="J38" s="156">
        <f t="shared" ca="1" si="5"/>
        <v>55.5</v>
      </c>
      <c r="K38" s="156">
        <f t="shared" ca="1" si="6"/>
        <v>97.28</v>
      </c>
    </row>
    <row r="39" spans="2:15">
      <c r="B39" s="152">
        <f t="shared" si="2"/>
        <v>2037</v>
      </c>
      <c r="C39" s="157"/>
      <c r="D39" s="156">
        <f t="shared" si="7"/>
        <v>127.5</v>
      </c>
      <c r="E39" s="154">
        <f t="shared" si="7"/>
        <v>34.29</v>
      </c>
      <c r="F39" s="154">
        <f t="shared" si="7"/>
        <v>3.81</v>
      </c>
      <c r="G39" s="156">
        <f t="shared" si="0"/>
        <v>50.18</v>
      </c>
      <c r="H39" s="156">
        <f t="shared" si="1"/>
        <v>177.68</v>
      </c>
      <c r="I39" s="156">
        <f ca="1">VLOOKUP(B39,'Table 4'!$B$13:$C$29,2,FALSE)</f>
        <v>8.25</v>
      </c>
      <c r="J39" s="156">
        <f t="shared" ca="1" si="5"/>
        <v>56.6</v>
      </c>
      <c r="K39" s="156">
        <f t="shared" ca="1" si="6"/>
        <v>99.21</v>
      </c>
    </row>
    <row r="40" spans="2:15">
      <c r="B40" s="152">
        <f t="shared" si="2"/>
        <v>2038</v>
      </c>
      <c r="C40" s="157"/>
      <c r="D40" s="156">
        <f t="shared" si="7"/>
        <v>130.05000000000001</v>
      </c>
      <c r="E40" s="154">
        <f t="shared" si="7"/>
        <v>34.979999999999997</v>
      </c>
      <c r="F40" s="154">
        <f t="shared" si="7"/>
        <v>3.89</v>
      </c>
      <c r="G40" s="156">
        <f t="shared" si="0"/>
        <v>51.2</v>
      </c>
      <c r="H40" s="156">
        <f t="shared" si="1"/>
        <v>181.25</v>
      </c>
      <c r="I40" s="156">
        <f ca="1">VLOOKUP(B40,'Table 4'!$B$13:$C$29,2,FALSE)</f>
        <v>8.42</v>
      </c>
      <c r="J40" s="156">
        <f t="shared" ca="1" si="5"/>
        <v>57.76</v>
      </c>
      <c r="K40" s="156">
        <f t="shared" ca="1" si="6"/>
        <v>101.23</v>
      </c>
    </row>
    <row r="41" spans="2:15" hidden="1">
      <c r="B41" s="152">
        <f t="shared" si="2"/>
        <v>2039</v>
      </c>
      <c r="C41" s="157"/>
      <c r="D41" s="156">
        <f t="shared" si="7"/>
        <v>132.65</v>
      </c>
      <c r="E41" s="154">
        <f t="shared" si="7"/>
        <v>35.68</v>
      </c>
      <c r="F41" s="154">
        <f t="shared" si="7"/>
        <v>3.97</v>
      </c>
      <c r="G41" s="156">
        <f t="shared" si="0"/>
        <v>52.23</v>
      </c>
      <c r="H41" s="156">
        <f t="shared" si="1"/>
        <v>184.88</v>
      </c>
      <c r="I41" s="156" t="e">
        <f ca="1">VLOOKUP(B41,'Table 4'!$B$13:$C$29,2,FALSE)</f>
        <v>#N/A</v>
      </c>
      <c r="J41" s="156" t="e">
        <f t="shared" ca="1" si="5"/>
        <v>#N/A</v>
      </c>
      <c r="K41" s="156" t="e">
        <f t="shared" ca="1" si="6"/>
        <v>#N/A</v>
      </c>
    </row>
    <row r="42" spans="2:15" hidden="1">
      <c r="B42" s="152">
        <f t="shared" si="2"/>
        <v>2040</v>
      </c>
      <c r="C42" s="157"/>
      <c r="D42" s="156">
        <f t="shared" si="7"/>
        <v>135.30000000000001</v>
      </c>
      <c r="E42" s="154">
        <f t="shared" si="7"/>
        <v>36.39</v>
      </c>
      <c r="F42" s="154">
        <f t="shared" si="7"/>
        <v>4.05</v>
      </c>
      <c r="G42" s="156">
        <f t="shared" si="0"/>
        <v>53.28</v>
      </c>
      <c r="H42" s="156">
        <f t="shared" si="1"/>
        <v>188.58</v>
      </c>
      <c r="I42" s="156" t="e">
        <f ca="1">VLOOKUP(B42,'Table 4'!$B$13:$C$29,2,FALSE)</f>
        <v>#N/A</v>
      </c>
      <c r="J42" s="156" t="e">
        <f t="shared" ca="1" si="5"/>
        <v>#N/A</v>
      </c>
      <c r="K42" s="156" t="e">
        <f t="shared" ca="1" si="6"/>
        <v>#N/A</v>
      </c>
    </row>
    <row r="43" spans="2:15">
      <c r="M43" s="152"/>
      <c r="O43" s="159"/>
    </row>
    <row r="44" spans="2:15" ht="14.25">
      <c r="B44" s="7" t="s">
        <v>51</v>
      </c>
      <c r="C44" s="71"/>
      <c r="D44" s="71"/>
      <c r="E44" s="71"/>
      <c r="F44" s="71"/>
      <c r="G44" s="71"/>
      <c r="H44" s="71"/>
      <c r="I44" s="71"/>
      <c r="J44" s="71"/>
      <c r="K44" s="71"/>
      <c r="M44" s="152"/>
      <c r="N44" s="159"/>
      <c r="O44" s="159"/>
    </row>
    <row r="46" spans="2:15">
      <c r="B46" s="149" t="s">
        <v>30</v>
      </c>
      <c r="D46" s="160" t="s">
        <v>98</v>
      </c>
    </row>
    <row r="47" spans="2:15">
      <c r="C47" s="161" t="str">
        <f>D10</f>
        <v>(b)</v>
      </c>
      <c r="D47" s="156" t="str">
        <f>"= "&amp;C10&amp;" x "&amp;C76</f>
        <v>= (a) x 0.07886</v>
      </c>
    </row>
    <row r="48" spans="2:15">
      <c r="C48" s="161" t="str">
        <f>G10</f>
        <v>(e)</v>
      </c>
      <c r="D48" s="156" t="str">
        <f>"= "&amp;$F$10&amp;" x  (8.76 x "&amp;TEXT(G65,"0.0%")&amp;") + "&amp;$E$10</f>
        <v>= (d) x  (8.76 x 47.6%) + (c)</v>
      </c>
    </row>
    <row r="49" spans="3:11">
      <c r="C49" s="161" t="str">
        <f>H10</f>
        <v>(f)</v>
      </c>
      <c r="D49" s="156" t="str">
        <f>"= "&amp;D10&amp;" + "&amp;G10</f>
        <v>= (b) + (e)</v>
      </c>
    </row>
    <row r="50" spans="3:11">
      <c r="C50" s="161" t="str">
        <f>I10</f>
        <v>(g)</v>
      </c>
      <c r="D50" s="192" t="str">
        <f ca="1">'Table 4'!B3&amp;" - "&amp;'Table 4'!B4</f>
        <v>Table 4 - Burnertip Natural Gas Price Forecast</v>
      </c>
    </row>
    <row r="51" spans="3:11">
      <c r="C51" s="161" t="str">
        <f>J10</f>
        <v>(h)</v>
      </c>
      <c r="D51" s="156" t="str">
        <f>"= "&amp;TEXT(K65,"?,0")&amp;" MMBtu/MWH x "&amp;I9</f>
        <v>= 6,860 MMBtu/MWH x $/MMBtu</v>
      </c>
    </row>
    <row r="52" spans="3:11">
      <c r="C52" s="161" t="str">
        <f>K10</f>
        <v>(i)</v>
      </c>
      <c r="D52" s="156" t="str">
        <f>"= "&amp;H10&amp;" / (8.76 x 'Capacity Factor' ) + "&amp;J10</f>
        <v>= (f) / (8.76 x 'Capacity Factor' ) + (h)</v>
      </c>
    </row>
    <row r="53" spans="3:11" ht="13.5" thickBot="1"/>
    <row r="54" spans="3:11" ht="13.5" thickBot="1">
      <c r="C54" s="107" t="s">
        <v>99</v>
      </c>
      <c r="D54" s="104"/>
      <c r="E54" s="104"/>
      <c r="F54" s="104"/>
      <c r="G54" s="104"/>
      <c r="H54" s="104"/>
      <c r="I54" s="104"/>
      <c r="J54" s="105"/>
      <c r="K54" s="162"/>
    </row>
    <row r="55" spans="3:11" ht="5.25" customHeight="1"/>
    <row r="56" spans="3:11" ht="5.25" customHeight="1"/>
    <row r="57" spans="3:11">
      <c r="C57" s="91" t="s">
        <v>61</v>
      </c>
      <c r="D57" s="79"/>
      <c r="E57" s="91"/>
      <c r="F57" s="90" t="s">
        <v>62</v>
      </c>
      <c r="G57" s="90" t="s">
        <v>63</v>
      </c>
      <c r="H57" s="90" t="s">
        <v>64</v>
      </c>
      <c r="I57" s="90" t="s">
        <v>65</v>
      </c>
    </row>
    <row r="58" spans="3:11">
      <c r="C58" s="193" t="s">
        <v>96</v>
      </c>
      <c r="F58" s="163">
        <f>C69</f>
        <v>523</v>
      </c>
      <c r="G58" s="106">
        <f>F58/F60</f>
        <v>0.79122541603630858</v>
      </c>
      <c r="H58" s="183">
        <f>C70</f>
        <v>1159</v>
      </c>
      <c r="I58" s="185">
        <f>C73</f>
        <v>22.419999999999998</v>
      </c>
    </row>
    <row r="59" spans="3:11">
      <c r="C59" s="193" t="s">
        <v>97</v>
      </c>
      <c r="F59" s="97">
        <f>D69</f>
        <v>138</v>
      </c>
      <c r="G59" s="93">
        <f>1-G58</f>
        <v>0.20877458396369142</v>
      </c>
      <c r="H59" s="184">
        <f>D70</f>
        <v>522</v>
      </c>
      <c r="I59" s="186">
        <f>D73</f>
        <v>19.12</v>
      </c>
    </row>
    <row r="60" spans="3:11">
      <c r="C60" s="193" t="s">
        <v>66</v>
      </c>
      <c r="F60" s="163">
        <f>F58+F59</f>
        <v>661</v>
      </c>
      <c r="G60" s="106">
        <f>G58+G59</f>
        <v>1</v>
      </c>
      <c r="H60" s="183">
        <f>ROUND(((F58*H58)+(F59*H59))/F60,0)</f>
        <v>1026</v>
      </c>
      <c r="I60" s="185">
        <f>ROUND(((F58*I58)+(F59*I59))/F60,2)</f>
        <v>21.73</v>
      </c>
    </row>
    <row r="61" spans="3:11">
      <c r="C61" s="193"/>
      <c r="F61" s="163"/>
      <c r="G61" s="106"/>
      <c r="H61" s="164"/>
      <c r="I61" s="165"/>
    </row>
    <row r="62" spans="3:11">
      <c r="C62" s="194" t="s">
        <v>61</v>
      </c>
      <c r="D62" s="79"/>
      <c r="E62" s="91"/>
      <c r="F62" s="90" t="s">
        <v>62</v>
      </c>
      <c r="G62" s="90" t="s">
        <v>67</v>
      </c>
      <c r="H62" s="90" t="s">
        <v>68</v>
      </c>
      <c r="I62" s="90" t="s">
        <v>63</v>
      </c>
      <c r="J62" s="90" t="s">
        <v>69</v>
      </c>
      <c r="K62" s="90" t="s">
        <v>70</v>
      </c>
    </row>
    <row r="63" spans="3:11">
      <c r="C63" s="195" t="str">
        <f>C58</f>
        <v>CCCT Dry "J" - Turbine</v>
      </c>
      <c r="D63" s="166"/>
      <c r="E63" s="166"/>
      <c r="F63" s="149">
        <f>C69</f>
        <v>523</v>
      </c>
      <c r="G63" s="106">
        <f>C77</f>
        <v>0.56000000000000005</v>
      </c>
      <c r="H63" s="149">
        <f>G63*F63</f>
        <v>292.88000000000005</v>
      </c>
      <c r="I63" s="106">
        <f>H63/H65</f>
        <v>0.92989585979171963</v>
      </c>
      <c r="J63" s="165">
        <f>C74</f>
        <v>2.61</v>
      </c>
      <c r="K63" s="167">
        <f>C75</f>
        <v>6738</v>
      </c>
    </row>
    <row r="64" spans="3:11">
      <c r="C64" s="195" t="str">
        <f>C59</f>
        <v>CCCT Dry "J" - Duct Firing</v>
      </c>
      <c r="D64" s="166"/>
      <c r="E64" s="166"/>
      <c r="F64" s="92">
        <f>D69</f>
        <v>138</v>
      </c>
      <c r="G64" s="93">
        <f>D77</f>
        <v>0.16</v>
      </c>
      <c r="H64" s="92">
        <f>G64*F64</f>
        <v>22.080000000000002</v>
      </c>
      <c r="I64" s="93">
        <f>1-I63</f>
        <v>7.0104140208280374E-2</v>
      </c>
      <c r="J64" s="94">
        <f>D74</f>
        <v>0.08</v>
      </c>
      <c r="K64" s="95">
        <f>D75</f>
        <v>8482</v>
      </c>
    </row>
    <row r="65" spans="3:11">
      <c r="C65" s="193" t="s">
        <v>71</v>
      </c>
      <c r="F65" s="149">
        <f>F63+F64</f>
        <v>661</v>
      </c>
      <c r="G65" s="168">
        <f>ROUND(H65/F65,3)</f>
        <v>0.47599999999999998</v>
      </c>
      <c r="H65" s="149">
        <f>SUM(H63:H64)</f>
        <v>314.96000000000004</v>
      </c>
      <c r="I65" s="106">
        <f>I63+I64</f>
        <v>1</v>
      </c>
      <c r="J65" s="165">
        <f>ROUND(($I63*J63)+($I64*J64),2)</f>
        <v>2.4300000000000002</v>
      </c>
      <c r="K65" s="169">
        <f>ROUND(($I63*K63)+($I64*K64),-1)</f>
        <v>6860</v>
      </c>
    </row>
    <row r="66" spans="3:11">
      <c r="G66" s="168"/>
      <c r="I66" s="106"/>
      <c r="J66" s="165"/>
      <c r="K66" s="96" t="s">
        <v>72</v>
      </c>
    </row>
    <row r="68" spans="3:11">
      <c r="C68" s="90" t="s">
        <v>54</v>
      </c>
      <c r="D68" s="90" t="s">
        <v>55</v>
      </c>
      <c r="E68" s="108" t="str">
        <f>D46</f>
        <v>Plant Costs  - 2013 IRP - Table 6.1 &amp; 6.2 - Page 112</v>
      </c>
      <c r="F68" s="170"/>
      <c r="G68" s="170"/>
      <c r="H68" s="170"/>
      <c r="I68" s="170"/>
      <c r="J68" s="170"/>
      <c r="K68" s="171"/>
    </row>
    <row r="69" spans="3:11">
      <c r="C69" s="149">
        <v>523</v>
      </c>
      <c r="D69" s="149">
        <v>138</v>
      </c>
      <c r="E69" s="149" t="s">
        <v>91</v>
      </c>
      <c r="H69" s="172"/>
    </row>
    <row r="70" spans="3:11">
      <c r="C70" s="164">
        <v>1159</v>
      </c>
      <c r="D70" s="164">
        <v>522</v>
      </c>
      <c r="E70" s="149" t="s">
        <v>92</v>
      </c>
    </row>
    <row r="71" spans="3:11">
      <c r="C71" s="165">
        <f>7.14+0.09</f>
        <v>7.2299999999999995</v>
      </c>
      <c r="D71" s="165">
        <v>0</v>
      </c>
      <c r="E71" s="149" t="s">
        <v>93</v>
      </c>
    </row>
    <row r="72" spans="3:11">
      <c r="C72" s="98">
        <v>15.19</v>
      </c>
      <c r="D72" s="98">
        <v>19.12</v>
      </c>
      <c r="E72" s="149" t="s">
        <v>87</v>
      </c>
    </row>
    <row r="73" spans="3:11">
      <c r="C73" s="165">
        <f>C71+C72</f>
        <v>22.419999999999998</v>
      </c>
      <c r="D73" s="165">
        <f>D71+D72</f>
        <v>19.12</v>
      </c>
      <c r="E73" s="149" t="s">
        <v>94</v>
      </c>
    </row>
    <row r="74" spans="3:11">
      <c r="C74" s="165">
        <f>2.42+0.19</f>
        <v>2.61</v>
      </c>
      <c r="D74" s="165">
        <v>0.08</v>
      </c>
      <c r="E74" s="149" t="s">
        <v>95</v>
      </c>
    </row>
    <row r="75" spans="3:11">
      <c r="C75" s="169">
        <v>6738</v>
      </c>
      <c r="D75" s="169">
        <v>8482</v>
      </c>
      <c r="E75" s="149" t="s">
        <v>76</v>
      </c>
    </row>
    <row r="76" spans="3:11">
      <c r="C76" s="190">
        <v>7.886E-2</v>
      </c>
      <c r="D76" s="190">
        <f>C76</f>
        <v>7.886E-2</v>
      </c>
      <c r="E76" s="149" t="s">
        <v>77</v>
      </c>
    </row>
    <row r="77" spans="3:11">
      <c r="C77" s="173">
        <v>0.56000000000000005</v>
      </c>
      <c r="D77" s="173">
        <v>0.16</v>
      </c>
      <c r="E77" s="149" t="s">
        <v>78</v>
      </c>
    </row>
    <row r="78" spans="3:11">
      <c r="D78" s="106">
        <f>ROUND(H65/F65,3)</f>
        <v>0.47599999999999998</v>
      </c>
      <c r="E78" s="149" t="s">
        <v>79</v>
      </c>
    </row>
    <row r="79" spans="3:11">
      <c r="D79" s="168">
        <f>MIN(1,ROUND(D78/0.57,3))</f>
        <v>0.83499999999999996</v>
      </c>
      <c r="E79" s="118" t="str">
        <f>"  Capacity Factor - On-peak     "&amp;TEXT(D78,"0.0%")&amp;" / 57% (percent of hours on-peak) "</f>
        <v xml:space="preserve">  Capacity Factor - On-peak     47.6% / 57% (percent of hours on-peak) </v>
      </c>
    </row>
    <row r="80" spans="3:11">
      <c r="C80" s="173"/>
      <c r="D80" s="173"/>
    </row>
    <row r="82" spans="3:15" ht="13.5" thickBot="1">
      <c r="C82" s="103" t="str">
        <f ca="1">"Company Official Inflation Forecast Dated "&amp;TEXT('Table 4'!G5,"mmmm dd, yyyy")</f>
        <v>Company Official Inflation Forecast Dated September 30, 2013</v>
      </c>
      <c r="D82" s="104"/>
      <c r="E82" s="104"/>
      <c r="F82" s="104"/>
      <c r="G82" s="104"/>
      <c r="H82" s="104"/>
      <c r="I82" s="104"/>
      <c r="J82" s="105"/>
      <c r="K82" s="162"/>
    </row>
    <row r="83" spans="3:15">
      <c r="C83" s="174">
        <v>2012</v>
      </c>
      <c r="D83" s="106">
        <v>1.9E-2</v>
      </c>
      <c r="F83" s="174">
        <f>C91+1</f>
        <v>2021</v>
      </c>
      <c r="G83" s="106">
        <v>1.7999999999999999E-2</v>
      </c>
      <c r="I83" s="174">
        <f>F91+1</f>
        <v>2030</v>
      </c>
      <c r="J83" s="106">
        <v>1.9E-2</v>
      </c>
    </row>
    <row r="84" spans="3:15">
      <c r="C84" s="174">
        <f t="shared" ref="C84:C91" si="8">C83+1</f>
        <v>2013</v>
      </c>
      <c r="D84" s="106">
        <v>1.2999999999999999E-2</v>
      </c>
      <c r="F84" s="174">
        <f t="shared" ref="F84:F91" si="9">F83+1</f>
        <v>2022</v>
      </c>
      <c r="G84" s="106">
        <v>1.9E-2</v>
      </c>
      <c r="I84" s="174">
        <f t="shared" ref="I84:I93" si="10">I83+1</f>
        <v>2031</v>
      </c>
      <c r="J84" s="106">
        <v>1.9E-2</v>
      </c>
    </row>
    <row r="85" spans="3:15">
      <c r="C85" s="174">
        <f t="shared" si="8"/>
        <v>2014</v>
      </c>
      <c r="D85" s="106">
        <v>1.6E-2</v>
      </c>
      <c r="F85" s="174">
        <f t="shared" si="9"/>
        <v>2023</v>
      </c>
      <c r="G85" s="106">
        <v>1.9E-2</v>
      </c>
      <c r="I85" s="174">
        <f t="shared" si="10"/>
        <v>2032</v>
      </c>
      <c r="J85" s="106">
        <v>0.02</v>
      </c>
    </row>
    <row r="86" spans="3:15">
      <c r="C86" s="174">
        <f t="shared" si="8"/>
        <v>2015</v>
      </c>
      <c r="D86" s="106">
        <v>1.6E-2</v>
      </c>
      <c r="F86" s="174">
        <f t="shared" si="9"/>
        <v>2024</v>
      </c>
      <c r="G86" s="106">
        <v>1.9E-2</v>
      </c>
      <c r="I86" s="174">
        <f t="shared" si="10"/>
        <v>2033</v>
      </c>
      <c r="J86" s="106">
        <v>0.02</v>
      </c>
    </row>
    <row r="87" spans="3:15">
      <c r="C87" s="174">
        <f t="shared" si="8"/>
        <v>2016</v>
      </c>
      <c r="D87" s="106">
        <v>1.7000000000000001E-2</v>
      </c>
      <c r="F87" s="174">
        <f t="shared" si="9"/>
        <v>2025</v>
      </c>
      <c r="G87" s="106">
        <v>1.9E-2</v>
      </c>
      <c r="I87" s="174">
        <f t="shared" si="10"/>
        <v>2034</v>
      </c>
      <c r="J87" s="106">
        <v>0.02</v>
      </c>
    </row>
    <row r="88" spans="3:15">
      <c r="C88" s="174">
        <f t="shared" si="8"/>
        <v>2017</v>
      </c>
      <c r="D88" s="106">
        <v>1.7000000000000001E-2</v>
      </c>
      <c r="F88" s="174">
        <f t="shared" si="9"/>
        <v>2026</v>
      </c>
      <c r="G88" s="106">
        <v>1.9E-2</v>
      </c>
      <c r="I88" s="174">
        <f t="shared" si="10"/>
        <v>2035</v>
      </c>
      <c r="J88" s="106">
        <v>0.02</v>
      </c>
    </row>
    <row r="89" spans="3:15" s="151" customFormat="1">
      <c r="C89" s="174">
        <f t="shared" si="8"/>
        <v>2018</v>
      </c>
      <c r="D89" s="106">
        <v>1.7000000000000001E-2</v>
      </c>
      <c r="F89" s="174">
        <f t="shared" si="9"/>
        <v>2027</v>
      </c>
      <c r="G89" s="106">
        <v>1.9E-2</v>
      </c>
      <c r="I89" s="174">
        <f t="shared" si="10"/>
        <v>2036</v>
      </c>
      <c r="J89" s="106">
        <v>0.02</v>
      </c>
      <c r="N89" s="149"/>
      <c r="O89" s="149"/>
    </row>
    <row r="90" spans="3:15" s="151" customFormat="1">
      <c r="C90" s="174">
        <f t="shared" si="8"/>
        <v>2019</v>
      </c>
      <c r="D90" s="106">
        <v>1.7000000000000001E-2</v>
      </c>
      <c r="F90" s="174">
        <f t="shared" si="9"/>
        <v>2028</v>
      </c>
      <c r="G90" s="106">
        <v>1.9E-2</v>
      </c>
      <c r="I90" s="174">
        <f t="shared" si="10"/>
        <v>2037</v>
      </c>
      <c r="J90" s="106">
        <v>0.02</v>
      </c>
      <c r="N90" s="149"/>
      <c r="O90" s="149"/>
    </row>
    <row r="91" spans="3:15" s="151" customFormat="1">
      <c r="C91" s="174">
        <f t="shared" si="8"/>
        <v>2020</v>
      </c>
      <c r="D91" s="106">
        <v>1.7999999999999999E-2</v>
      </c>
      <c r="F91" s="174">
        <f t="shared" si="9"/>
        <v>2029</v>
      </c>
      <c r="G91" s="106">
        <v>1.9E-2</v>
      </c>
      <c r="I91" s="174">
        <f t="shared" si="10"/>
        <v>2038</v>
      </c>
      <c r="J91" s="106">
        <v>0.02</v>
      </c>
      <c r="N91" s="149"/>
      <c r="O91" s="149"/>
    </row>
    <row r="92" spans="3:15" s="151" customFormat="1">
      <c r="I92" s="174">
        <f t="shared" si="10"/>
        <v>2039</v>
      </c>
      <c r="J92" s="106">
        <v>0.02</v>
      </c>
      <c r="N92" s="149"/>
      <c r="O92" s="149"/>
    </row>
    <row r="93" spans="3:15" s="151" customFormat="1">
      <c r="I93" s="174">
        <f t="shared" si="10"/>
        <v>2040</v>
      </c>
      <c r="J93" s="106">
        <v>0.02</v>
      </c>
      <c r="N93" s="149"/>
      <c r="O93" s="149"/>
    </row>
    <row r="94" spans="3:15">
      <c r="D94" s="187"/>
    </row>
    <row r="95" spans="3:15">
      <c r="D95" s="187"/>
    </row>
  </sheetData>
  <printOptions horizontalCentered="1"/>
  <pageMargins left="0.25" right="0.25" top="0.75" bottom="0.75" header="0.3" footer="0.3"/>
  <pageSetup scale="97" fitToHeight="0" orientation="portrait" r:id="rId1"/>
  <headerFooter alignWithMargins="0"/>
  <rowBreaks count="1" manualBreakCount="1">
    <brk id="52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1:K214"/>
  <sheetViews>
    <sheetView tabSelected="1" zoomScale="115" zoomScaleNormal="115" workbookViewId="0">
      <pane ySplit="10" topLeftCell="A11" activePane="bottomLeft" state="frozen"/>
      <selection activeCell="J31" sqref="J31"/>
      <selection pane="bottomLeft" activeCell="J31" sqref="J31"/>
    </sheetView>
  </sheetViews>
  <sheetFormatPr defaultRowHeight="12.75"/>
  <cols>
    <col min="1" max="1" width="9.33203125" style="6"/>
    <col min="2" max="3" width="39" style="6" customWidth="1"/>
    <col min="4" max="6" width="9.33203125" style="6"/>
    <col min="7" max="7" width="15" style="113" hidden="1" customWidth="1"/>
    <col min="8" max="8" width="9.33203125" style="84" hidden="1" customWidth="1"/>
    <col min="9" max="10" width="9.33203125" style="203" hidden="1" customWidth="1"/>
    <col min="11" max="11" width="11.5" style="203" hidden="1" customWidth="1"/>
    <col min="12" max="12" width="9.33203125" style="6" customWidth="1"/>
    <col min="13" max="16384" width="9.33203125" style="6"/>
  </cols>
  <sheetData>
    <row r="1" spans="2:11" ht="15.75">
      <c r="B1" s="1" t="s">
        <v>73</v>
      </c>
      <c r="C1" s="1"/>
      <c r="G1" s="81"/>
    </row>
    <row r="2" spans="2:11" ht="15.75">
      <c r="B2" s="1"/>
      <c r="C2" s="1"/>
      <c r="G2" s="81"/>
    </row>
    <row r="3" spans="2:11" ht="15.75">
      <c r="B3" s="1" t="str">
        <f ca="1">"Table "&amp;RIGHT('Table 2'!B3,1)+2</f>
        <v>Table 4</v>
      </c>
      <c r="C3" s="1"/>
      <c r="G3" s="81"/>
    </row>
    <row r="4" spans="2:11" ht="15.75">
      <c r="B4" s="1" t="s">
        <v>58</v>
      </c>
      <c r="C4" s="1"/>
      <c r="G4" s="204" t="s">
        <v>57</v>
      </c>
    </row>
    <row r="5" spans="2:11" ht="15.75">
      <c r="B5" s="1" t="str">
        <f ca="1">'Table 1'!$B$5</f>
        <v>Utah 2013.Q4 - 100.0 MW and 85.0% CF</v>
      </c>
      <c r="C5" s="1"/>
      <c r="G5" s="205">
        <v>41547</v>
      </c>
    </row>
    <row r="6" spans="2:11">
      <c r="B6" s="45"/>
      <c r="C6" s="45"/>
      <c r="G6" s="81"/>
    </row>
    <row r="7" spans="2:11" ht="14.25">
      <c r="B7" s="72"/>
      <c r="C7" s="80" t="s">
        <v>52</v>
      </c>
      <c r="G7" s="81"/>
    </row>
    <row r="8" spans="2:11">
      <c r="B8" s="73"/>
      <c r="C8" s="65" t="s">
        <v>53</v>
      </c>
      <c r="G8" s="81"/>
    </row>
    <row r="9" spans="2:11">
      <c r="B9" s="73" t="s">
        <v>0</v>
      </c>
      <c r="C9" s="73" t="s">
        <v>75</v>
      </c>
      <c r="G9" s="81"/>
    </row>
    <row r="10" spans="2:11">
      <c r="B10" s="74"/>
      <c r="C10" s="75" t="s">
        <v>41</v>
      </c>
      <c r="G10" s="206"/>
      <c r="H10" s="207"/>
    </row>
    <row r="11" spans="2:11">
      <c r="C11" s="46"/>
      <c r="G11" s="206"/>
      <c r="H11" s="207"/>
    </row>
    <row r="12" spans="2:11">
      <c r="C12" s="76"/>
      <c r="G12" s="206"/>
      <c r="H12" s="207"/>
    </row>
    <row r="13" spans="2:11" ht="6" customHeight="1">
      <c r="G13" s="208"/>
      <c r="H13" s="209"/>
    </row>
    <row r="14" spans="2:11">
      <c r="B14" s="77">
        <v>2024</v>
      </c>
      <c r="C14" s="78">
        <f t="shared" ref="C14:C16" si="0">ROUND(SUMIF($I$17:$I$148,B14,$H$17:$H$148)/COUNTIF($I$17:$I$148,B14),2)</f>
        <v>6.42</v>
      </c>
      <c r="G14" s="210"/>
      <c r="H14" s="85"/>
    </row>
    <row r="15" spans="2:11" ht="13.5" thickBot="1">
      <c r="B15" s="77">
        <f t="shared" ref="B15:B28" si="1">B14+1</f>
        <v>2025</v>
      </c>
      <c r="C15" s="78">
        <f t="shared" ref="C15" si="2">ROUND(SUMIF($I$17:$I$148,B15,$H$17:$H$148)/COUNTIF($I$17:$I$148,B15),2)</f>
        <v>6.49</v>
      </c>
      <c r="G15" s="82"/>
      <c r="H15" s="86" t="s">
        <v>80</v>
      </c>
    </row>
    <row r="16" spans="2:11" ht="13.5" thickBot="1">
      <c r="B16" s="77">
        <f t="shared" si="1"/>
        <v>2026</v>
      </c>
      <c r="C16" s="78">
        <f t="shared" si="0"/>
        <v>6.47</v>
      </c>
      <c r="G16" s="82" t="s">
        <v>56</v>
      </c>
      <c r="H16" s="86" t="s">
        <v>53</v>
      </c>
      <c r="I16" s="211" t="s">
        <v>0</v>
      </c>
      <c r="K16" s="212" t="s">
        <v>74</v>
      </c>
    </row>
    <row r="17" spans="2:11" ht="13.5" thickBot="1">
      <c r="B17" s="77">
        <f t="shared" si="1"/>
        <v>2027</v>
      </c>
      <c r="C17" s="78">
        <f t="shared" ref="C17:C28" si="3">ROUND(SUMIF($I$17:$I$212,B17,$H$17:$H$212)/COUNTIF($I$17:$I$212,B17),2)</f>
        <v>6.58</v>
      </c>
      <c r="G17" s="83">
        <v>45292</v>
      </c>
      <c r="H17" s="87">
        <v>6.8967511644182977</v>
      </c>
      <c r="I17" s="213">
        <f t="shared" ref="I17:I36" si="4">YEAR(G17)</f>
        <v>2024</v>
      </c>
      <c r="K17" s="214">
        <v>41</v>
      </c>
    </row>
    <row r="18" spans="2:11">
      <c r="B18" s="77">
        <f t="shared" si="1"/>
        <v>2028</v>
      </c>
      <c r="C18" s="78">
        <f t="shared" si="3"/>
        <v>6.63</v>
      </c>
      <c r="G18" s="83">
        <v>45323</v>
      </c>
      <c r="H18" s="87">
        <v>6.8619606177097063</v>
      </c>
      <c r="I18" s="213">
        <f t="shared" si="4"/>
        <v>2024</v>
      </c>
    </row>
    <row r="19" spans="2:11">
      <c r="B19" s="77">
        <f t="shared" si="1"/>
        <v>2029</v>
      </c>
      <c r="C19" s="78">
        <f t="shared" si="3"/>
        <v>7.03</v>
      </c>
      <c r="G19" s="83">
        <v>45352</v>
      </c>
      <c r="H19" s="87">
        <v>6.2846201166446907</v>
      </c>
      <c r="I19" s="213">
        <f t="shared" si="4"/>
        <v>2024</v>
      </c>
    </row>
    <row r="20" spans="2:11">
      <c r="B20" s="77">
        <f t="shared" si="1"/>
        <v>2030</v>
      </c>
      <c r="C20" s="78">
        <f t="shared" si="3"/>
        <v>7.2</v>
      </c>
      <c r="G20" s="83">
        <v>45383</v>
      </c>
      <c r="H20" s="87">
        <v>6.0982929029313322</v>
      </c>
      <c r="I20" s="213">
        <f t="shared" si="4"/>
        <v>2024</v>
      </c>
    </row>
    <row r="21" spans="2:11">
      <c r="B21" s="77">
        <f t="shared" si="1"/>
        <v>2031</v>
      </c>
      <c r="C21" s="78">
        <f t="shared" si="3"/>
        <v>7.33</v>
      </c>
      <c r="G21" s="83">
        <v>45413</v>
      </c>
      <c r="H21" s="87">
        <v>6.0848026909422863</v>
      </c>
      <c r="I21" s="213">
        <f t="shared" si="4"/>
        <v>2024</v>
      </c>
    </row>
    <row r="22" spans="2:11">
      <c r="B22" s="77">
        <f t="shared" si="1"/>
        <v>2032</v>
      </c>
      <c r="C22" s="78">
        <f t="shared" si="3"/>
        <v>7.48</v>
      </c>
      <c r="G22" s="83">
        <v>45444</v>
      </c>
      <c r="H22" s="87">
        <v>6.1755826889136838</v>
      </c>
      <c r="I22" s="213">
        <f t="shared" si="4"/>
        <v>2024</v>
      </c>
    </row>
    <row r="23" spans="2:11">
      <c r="B23" s="77">
        <f t="shared" si="1"/>
        <v>2033</v>
      </c>
      <c r="C23" s="78">
        <f t="shared" si="3"/>
        <v>7.63</v>
      </c>
      <c r="G23" s="83">
        <v>45474</v>
      </c>
      <c r="H23" s="87">
        <v>6.2128075595902219</v>
      </c>
      <c r="I23" s="213">
        <f t="shared" si="4"/>
        <v>2024</v>
      </c>
    </row>
    <row r="24" spans="2:11">
      <c r="B24" s="77">
        <f t="shared" si="1"/>
        <v>2034</v>
      </c>
      <c r="C24" s="78">
        <f t="shared" si="3"/>
        <v>7.78</v>
      </c>
      <c r="G24" s="83">
        <v>45505</v>
      </c>
      <c r="H24" s="87">
        <v>6.311397680292119</v>
      </c>
      <c r="I24" s="213">
        <f t="shared" si="4"/>
        <v>2024</v>
      </c>
    </row>
    <row r="25" spans="2:11">
      <c r="B25" s="77">
        <f t="shared" si="1"/>
        <v>2035</v>
      </c>
      <c r="C25" s="78">
        <f t="shared" si="3"/>
        <v>7.93</v>
      </c>
      <c r="G25" s="83">
        <v>45536</v>
      </c>
      <c r="H25" s="87">
        <v>6.3230621493052031</v>
      </c>
      <c r="I25" s="213">
        <f t="shared" si="4"/>
        <v>2024</v>
      </c>
    </row>
    <row r="26" spans="2:11">
      <c r="B26" s="77">
        <f t="shared" si="1"/>
        <v>2036</v>
      </c>
      <c r="C26" s="78">
        <f t="shared" si="3"/>
        <v>8.09</v>
      </c>
      <c r="G26" s="83">
        <v>45566</v>
      </c>
      <c r="H26" s="87">
        <v>6.3610984613043922</v>
      </c>
      <c r="I26" s="213">
        <f t="shared" si="4"/>
        <v>2024</v>
      </c>
    </row>
    <row r="27" spans="2:11">
      <c r="B27" s="77">
        <f t="shared" si="1"/>
        <v>2037</v>
      </c>
      <c r="C27" s="78">
        <f t="shared" si="3"/>
        <v>8.25</v>
      </c>
      <c r="G27" s="83">
        <v>45597</v>
      </c>
      <c r="H27" s="87">
        <v>6.5857662775129331</v>
      </c>
      <c r="I27" s="213">
        <f t="shared" si="4"/>
        <v>2024</v>
      </c>
    </row>
    <row r="28" spans="2:11">
      <c r="B28" s="77">
        <f t="shared" si="1"/>
        <v>2038</v>
      </c>
      <c r="C28" s="78">
        <f t="shared" si="3"/>
        <v>8.42</v>
      </c>
      <c r="G28" s="83">
        <v>45627</v>
      </c>
      <c r="H28" s="87">
        <v>6.8172299147986619</v>
      </c>
      <c r="I28" s="213">
        <f t="shared" si="4"/>
        <v>2024</v>
      </c>
    </row>
    <row r="29" spans="2:11">
      <c r="G29" s="83">
        <v>45658</v>
      </c>
      <c r="H29" s="87">
        <v>6.8590191429151037</v>
      </c>
      <c r="I29" s="213">
        <f t="shared" si="4"/>
        <v>2025</v>
      </c>
    </row>
    <row r="30" spans="2:11">
      <c r="B30" s="215" t="str">
        <f>"Official Forward Price Curve Forecast dated   "&amp;TEXT(G5,"MMM dd, YYYY")</f>
        <v>Official Forward Price Curve Forecast dated   Sep 30, 2013</v>
      </c>
      <c r="G30" s="83">
        <v>45689</v>
      </c>
      <c r="H30" s="87">
        <v>6.8556719474591743</v>
      </c>
      <c r="I30" s="213">
        <f t="shared" si="4"/>
        <v>2025</v>
      </c>
    </row>
    <row r="31" spans="2:11">
      <c r="G31" s="83">
        <v>45717</v>
      </c>
      <c r="H31" s="87">
        <v>6.3839202485039053</v>
      </c>
      <c r="I31" s="213">
        <f t="shared" si="4"/>
        <v>2025</v>
      </c>
    </row>
    <row r="32" spans="2:11">
      <c r="G32" s="83">
        <v>45748</v>
      </c>
      <c r="H32" s="87">
        <v>6.1967815934678976</v>
      </c>
      <c r="I32" s="213">
        <f t="shared" si="4"/>
        <v>2025</v>
      </c>
    </row>
    <row r="33" spans="7:9">
      <c r="G33" s="83">
        <v>45778</v>
      </c>
      <c r="H33" s="87">
        <v>6.1584409909727151</v>
      </c>
      <c r="I33" s="213">
        <f t="shared" si="4"/>
        <v>2025</v>
      </c>
    </row>
    <row r="34" spans="7:9" hidden="1">
      <c r="G34" s="83">
        <v>45809</v>
      </c>
      <c r="H34" s="87">
        <v>6.2467866649761641</v>
      </c>
      <c r="I34" s="213">
        <f t="shared" si="4"/>
        <v>2025</v>
      </c>
    </row>
    <row r="35" spans="7:9">
      <c r="G35" s="83">
        <v>45839</v>
      </c>
      <c r="H35" s="87">
        <v>6.3514625955979316</v>
      </c>
      <c r="I35" s="213">
        <f t="shared" si="4"/>
        <v>2025</v>
      </c>
    </row>
    <row r="36" spans="7:9">
      <c r="G36" s="83">
        <v>45870</v>
      </c>
      <c r="H36" s="87">
        <v>6.4266223481083271</v>
      </c>
      <c r="I36" s="213">
        <f t="shared" si="4"/>
        <v>2025</v>
      </c>
    </row>
    <row r="37" spans="7:9">
      <c r="G37" s="83">
        <v>45901</v>
      </c>
      <c r="H37" s="87">
        <v>6.4249994654630287</v>
      </c>
      <c r="I37" s="213">
        <f t="shared" ref="I37:I100" si="5">YEAR(G37)</f>
        <v>2025</v>
      </c>
    </row>
    <row r="38" spans="7:9">
      <c r="G38" s="83">
        <v>45931</v>
      </c>
      <c r="H38" s="87">
        <v>6.4650643807688413</v>
      </c>
      <c r="I38" s="213">
        <f t="shared" si="5"/>
        <v>2025</v>
      </c>
    </row>
    <row r="39" spans="7:9">
      <c r="G39" s="83">
        <v>45962</v>
      </c>
      <c r="H39" s="87">
        <v>6.6090952155391012</v>
      </c>
      <c r="I39" s="213">
        <f t="shared" si="5"/>
        <v>2025</v>
      </c>
    </row>
    <row r="40" spans="7:9">
      <c r="G40" s="83">
        <v>45992</v>
      </c>
      <c r="H40" s="87">
        <v>6.8476589643980121</v>
      </c>
      <c r="I40" s="213">
        <f t="shared" si="5"/>
        <v>2025</v>
      </c>
    </row>
    <row r="41" spans="7:9">
      <c r="G41" s="83">
        <v>46023</v>
      </c>
      <c r="H41" s="87">
        <v>6.8350816238969472</v>
      </c>
      <c r="I41" s="213">
        <f t="shared" si="5"/>
        <v>2026</v>
      </c>
    </row>
    <row r="42" spans="7:9">
      <c r="G42" s="83">
        <v>46054</v>
      </c>
      <c r="H42" s="87">
        <v>6.8189542276092912</v>
      </c>
      <c r="I42" s="213">
        <f t="shared" si="5"/>
        <v>2026</v>
      </c>
    </row>
    <row r="43" spans="7:9">
      <c r="G43" s="83">
        <v>46082</v>
      </c>
      <c r="H43" s="87">
        <v>6.3483182604726656</v>
      </c>
      <c r="I43" s="213">
        <f t="shared" si="5"/>
        <v>2026</v>
      </c>
    </row>
    <row r="44" spans="7:9">
      <c r="G44" s="83">
        <v>46113</v>
      </c>
      <c r="H44" s="87">
        <v>6.1567166781620859</v>
      </c>
      <c r="I44" s="213">
        <f t="shared" si="5"/>
        <v>2026</v>
      </c>
    </row>
    <row r="45" spans="7:9">
      <c r="G45" s="83">
        <v>46143</v>
      </c>
      <c r="H45" s="87">
        <v>6.1412992930317483</v>
      </c>
      <c r="I45" s="213">
        <f t="shared" si="5"/>
        <v>2026</v>
      </c>
    </row>
    <row r="46" spans="7:9">
      <c r="G46" s="83">
        <v>46174</v>
      </c>
      <c r="H46" s="87">
        <v>6.2379622405923527</v>
      </c>
      <c r="I46" s="213">
        <f t="shared" si="5"/>
        <v>2026</v>
      </c>
    </row>
    <row r="47" spans="7:9">
      <c r="G47" s="83">
        <v>46204</v>
      </c>
      <c r="H47" s="87">
        <v>6.338276674104879</v>
      </c>
      <c r="I47" s="213">
        <f t="shared" si="5"/>
        <v>2026</v>
      </c>
    </row>
    <row r="48" spans="7:9">
      <c r="G48" s="83">
        <v>46235</v>
      </c>
      <c r="H48" s="87">
        <v>6.3916289410690741</v>
      </c>
      <c r="I48" s="213">
        <f t="shared" si="5"/>
        <v>2026</v>
      </c>
    </row>
    <row r="49" spans="7:9">
      <c r="G49" s="83">
        <v>46266</v>
      </c>
      <c r="H49" s="87">
        <v>6.4266223481083271</v>
      </c>
      <c r="I49" s="213">
        <f t="shared" si="5"/>
        <v>2026</v>
      </c>
    </row>
    <row r="50" spans="7:9">
      <c r="G50" s="83">
        <v>46296</v>
      </c>
      <c r="H50" s="87">
        <v>6.4418368729080022</v>
      </c>
      <c r="I50" s="213">
        <f t="shared" si="5"/>
        <v>2026</v>
      </c>
    </row>
    <row r="51" spans="7:9">
      <c r="G51" s="83">
        <v>46327</v>
      </c>
      <c r="H51" s="87">
        <v>6.6043279977685367</v>
      </c>
      <c r="I51" s="213">
        <f t="shared" si="5"/>
        <v>2026</v>
      </c>
    </row>
    <row r="52" spans="7:9">
      <c r="G52" s="83">
        <v>46357</v>
      </c>
      <c r="H52" s="87">
        <v>6.8667278354802725</v>
      </c>
      <c r="I52" s="213">
        <f t="shared" si="5"/>
        <v>2026</v>
      </c>
    </row>
    <row r="53" spans="7:9">
      <c r="G53" s="83">
        <v>46388</v>
      </c>
      <c r="H53" s="87">
        <v>6.9395546941880513</v>
      </c>
      <c r="I53" s="213">
        <f t="shared" si="5"/>
        <v>2027</v>
      </c>
    </row>
    <row r="54" spans="7:9">
      <c r="G54" s="83">
        <v>46419</v>
      </c>
      <c r="H54" s="87">
        <v>6.9601450177502784</v>
      </c>
      <c r="I54" s="213">
        <f t="shared" si="5"/>
        <v>2027</v>
      </c>
    </row>
    <row r="55" spans="7:9">
      <c r="G55" s="83">
        <v>46447</v>
      </c>
      <c r="H55" s="87">
        <v>6.4784531625925554</v>
      </c>
      <c r="I55" s="213">
        <f t="shared" si="5"/>
        <v>2027</v>
      </c>
    </row>
    <row r="56" spans="7:9">
      <c r="G56" s="83">
        <v>46478</v>
      </c>
      <c r="H56" s="87">
        <v>6.2789400273861444</v>
      </c>
      <c r="I56" s="213">
        <f t="shared" si="5"/>
        <v>2027</v>
      </c>
    </row>
    <row r="57" spans="7:9">
      <c r="G57" s="83">
        <v>46508</v>
      </c>
      <c r="H57" s="87">
        <v>6.2600740166345474</v>
      </c>
      <c r="I57" s="213">
        <f t="shared" si="5"/>
        <v>2027</v>
      </c>
    </row>
    <row r="58" spans="7:9">
      <c r="G58" s="83">
        <v>46539</v>
      </c>
      <c r="H58" s="87">
        <v>6.350448293944619</v>
      </c>
      <c r="I58" s="213">
        <f t="shared" si="5"/>
        <v>2027</v>
      </c>
    </row>
    <row r="59" spans="7:9">
      <c r="G59" s="83">
        <v>46569</v>
      </c>
      <c r="H59" s="87">
        <v>6.4416340125773406</v>
      </c>
      <c r="I59" s="213">
        <f t="shared" si="5"/>
        <v>2027</v>
      </c>
    </row>
    <row r="60" spans="7:9">
      <c r="G60" s="83">
        <v>46600</v>
      </c>
      <c r="H60" s="87">
        <v>6.4901176316056395</v>
      </c>
      <c r="I60" s="213">
        <f t="shared" si="5"/>
        <v>2027</v>
      </c>
    </row>
    <row r="61" spans="7:9">
      <c r="G61" s="83">
        <v>46631</v>
      </c>
      <c r="H61" s="87">
        <v>6.5354569155086724</v>
      </c>
      <c r="I61" s="213">
        <f t="shared" si="5"/>
        <v>2027</v>
      </c>
    </row>
    <row r="62" spans="7:9">
      <c r="G62" s="83">
        <v>46661</v>
      </c>
      <c r="H62" s="87">
        <v>6.5669002667613352</v>
      </c>
      <c r="I62" s="213">
        <f t="shared" si="5"/>
        <v>2027</v>
      </c>
    </row>
    <row r="63" spans="7:9">
      <c r="G63" s="83">
        <v>46692</v>
      </c>
      <c r="H63" s="87">
        <v>6.6985566213611936</v>
      </c>
      <c r="I63" s="213">
        <f t="shared" si="5"/>
        <v>2027</v>
      </c>
    </row>
    <row r="64" spans="7:9">
      <c r="G64" s="83">
        <v>46722</v>
      </c>
      <c r="H64" s="87">
        <v>6.969273732630084</v>
      </c>
      <c r="I64" s="213">
        <f t="shared" si="5"/>
        <v>2027</v>
      </c>
    </row>
    <row r="65" spans="7:9">
      <c r="G65" s="83">
        <v>46753</v>
      </c>
      <c r="H65" s="87">
        <v>7.0088314971092398</v>
      </c>
      <c r="I65" s="213">
        <f t="shared" si="5"/>
        <v>2028</v>
      </c>
    </row>
    <row r="66" spans="7:9">
      <c r="G66" s="83">
        <v>46784</v>
      </c>
      <c r="H66" s="87">
        <v>7.0322618653007405</v>
      </c>
      <c r="I66" s="213">
        <f t="shared" si="5"/>
        <v>2028</v>
      </c>
    </row>
    <row r="67" spans="7:9">
      <c r="G67" s="83">
        <v>46813</v>
      </c>
      <c r="H67" s="87">
        <v>6.4935662572268988</v>
      </c>
      <c r="I67" s="213">
        <f t="shared" si="5"/>
        <v>2028</v>
      </c>
    </row>
    <row r="68" spans="7:9">
      <c r="G68" s="83">
        <v>46844</v>
      </c>
      <c r="H68" s="87">
        <v>6.309166216654833</v>
      </c>
      <c r="I68" s="213">
        <f t="shared" si="5"/>
        <v>2028</v>
      </c>
    </row>
    <row r="69" spans="7:9">
      <c r="G69" s="83">
        <v>46874</v>
      </c>
      <c r="H69" s="87">
        <v>6.302877546404301</v>
      </c>
      <c r="I69" s="213">
        <f t="shared" si="5"/>
        <v>2028</v>
      </c>
    </row>
    <row r="70" spans="7:9">
      <c r="G70" s="83">
        <v>46905</v>
      </c>
      <c r="H70" s="87">
        <v>6.3890931869357948</v>
      </c>
      <c r="I70" s="213">
        <f t="shared" si="5"/>
        <v>2028</v>
      </c>
    </row>
    <row r="71" spans="7:9">
      <c r="G71" s="83">
        <v>46935</v>
      </c>
      <c r="H71" s="87">
        <v>6.4762216989552694</v>
      </c>
      <c r="I71" s="213">
        <f t="shared" si="5"/>
        <v>2028</v>
      </c>
    </row>
    <row r="72" spans="7:9">
      <c r="G72" s="83">
        <v>46966</v>
      </c>
      <c r="H72" s="87">
        <v>6.5292696754234711</v>
      </c>
      <c r="I72" s="213">
        <f t="shared" si="5"/>
        <v>2028</v>
      </c>
    </row>
    <row r="73" spans="7:9">
      <c r="G73" s="83">
        <v>46997</v>
      </c>
      <c r="H73" s="87">
        <v>6.5792747469317376</v>
      </c>
      <c r="I73" s="213">
        <f t="shared" si="5"/>
        <v>2028</v>
      </c>
    </row>
    <row r="74" spans="7:9">
      <c r="G74" s="83">
        <v>47027</v>
      </c>
      <c r="H74" s="87">
        <v>6.6079794837204586</v>
      </c>
      <c r="I74" s="213">
        <f t="shared" si="5"/>
        <v>2028</v>
      </c>
    </row>
    <row r="75" spans="7:9">
      <c r="G75" s="83">
        <v>47058</v>
      </c>
      <c r="H75" s="87">
        <v>6.8079997697535255</v>
      </c>
      <c r="I75" s="213">
        <f t="shared" si="5"/>
        <v>2028</v>
      </c>
    </row>
    <row r="76" spans="7:9">
      <c r="G76" s="83">
        <v>47088</v>
      </c>
      <c r="H76" s="87">
        <v>7.0228288599249424</v>
      </c>
      <c r="I76" s="213">
        <f t="shared" si="5"/>
        <v>2028</v>
      </c>
    </row>
    <row r="77" spans="7:9">
      <c r="G77" s="83">
        <v>47119</v>
      </c>
      <c r="H77" s="87">
        <v>7.2966903063190998</v>
      </c>
      <c r="I77" s="213">
        <f t="shared" si="5"/>
        <v>2029</v>
      </c>
    </row>
    <row r="78" spans="7:9">
      <c r="G78" s="83">
        <v>47150</v>
      </c>
      <c r="H78" s="87">
        <v>7.3178892108733145</v>
      </c>
      <c r="I78" s="213">
        <f t="shared" si="5"/>
        <v>2029</v>
      </c>
    </row>
    <row r="79" spans="7:9">
      <c r="G79" s="83">
        <v>47178</v>
      </c>
      <c r="H79" s="87">
        <v>6.916327186327214</v>
      </c>
      <c r="I79" s="213">
        <f t="shared" si="5"/>
        <v>2029</v>
      </c>
    </row>
    <row r="80" spans="7:9">
      <c r="G80" s="83">
        <v>47209</v>
      </c>
      <c r="H80" s="87">
        <v>6.7613418937011867</v>
      </c>
      <c r="I80" s="213">
        <f t="shared" si="5"/>
        <v>2029</v>
      </c>
    </row>
    <row r="81" spans="7:9">
      <c r="G81" s="83">
        <v>47239</v>
      </c>
      <c r="H81" s="87">
        <v>6.7216826990566991</v>
      </c>
      <c r="I81" s="213">
        <f t="shared" si="5"/>
        <v>2029</v>
      </c>
    </row>
    <row r="82" spans="7:9">
      <c r="G82" s="83">
        <v>47270</v>
      </c>
      <c r="H82" s="87">
        <v>6.8048554346282586</v>
      </c>
      <c r="I82" s="213">
        <f t="shared" si="5"/>
        <v>2029</v>
      </c>
    </row>
    <row r="83" spans="7:9">
      <c r="G83" s="83">
        <v>47300</v>
      </c>
      <c r="H83" s="87">
        <v>6.9028369743381681</v>
      </c>
      <c r="I83" s="213">
        <f t="shared" si="5"/>
        <v>2029</v>
      </c>
    </row>
    <row r="84" spans="7:9">
      <c r="G84" s="83">
        <v>47331</v>
      </c>
      <c r="H84" s="87">
        <v>6.9653179561821688</v>
      </c>
      <c r="I84" s="213">
        <f t="shared" si="5"/>
        <v>2029</v>
      </c>
    </row>
    <row r="85" spans="7:9">
      <c r="G85" s="83">
        <v>47362</v>
      </c>
      <c r="H85" s="87">
        <v>7.0230317202556041</v>
      </c>
      <c r="I85" s="213">
        <f t="shared" si="5"/>
        <v>2029</v>
      </c>
    </row>
    <row r="86" spans="7:9">
      <c r="G86" s="83">
        <v>47392</v>
      </c>
      <c r="H86" s="87">
        <v>7.0528521888629676</v>
      </c>
      <c r="I86" s="213">
        <f t="shared" si="5"/>
        <v>2029</v>
      </c>
    </row>
    <row r="87" spans="7:9">
      <c r="G87" s="83">
        <v>47423</v>
      </c>
      <c r="H87" s="87">
        <v>7.1888700405720662</v>
      </c>
      <c r="I87" s="213">
        <f t="shared" si="5"/>
        <v>2029</v>
      </c>
    </row>
    <row r="88" spans="7:9">
      <c r="G88" s="83">
        <v>47453</v>
      </c>
      <c r="H88" s="87">
        <v>7.4363596439801194</v>
      </c>
      <c r="I88" s="213">
        <f t="shared" si="5"/>
        <v>2029</v>
      </c>
    </row>
    <row r="89" spans="7:9">
      <c r="G89" s="83">
        <v>47484</v>
      </c>
      <c r="H89" s="87">
        <v>7.5812019200730303</v>
      </c>
      <c r="I89" s="213">
        <f t="shared" si="5"/>
        <v>2030</v>
      </c>
    </row>
    <row r="90" spans="7:9">
      <c r="G90" s="83">
        <v>47515</v>
      </c>
      <c r="H90" s="87">
        <v>7.5449913510498021</v>
      </c>
      <c r="I90" s="213">
        <f t="shared" si="5"/>
        <v>2030</v>
      </c>
    </row>
    <row r="91" spans="7:9">
      <c r="G91" s="83">
        <v>47543</v>
      </c>
      <c r="H91" s="87">
        <v>7.0403762785272344</v>
      </c>
      <c r="I91" s="213">
        <f t="shared" si="5"/>
        <v>2030</v>
      </c>
    </row>
    <row r="92" spans="7:9">
      <c r="G92" s="83">
        <v>47574</v>
      </c>
      <c r="H92" s="87">
        <v>6.9094299350846944</v>
      </c>
      <c r="I92" s="213">
        <f t="shared" si="5"/>
        <v>2030</v>
      </c>
    </row>
    <row r="93" spans="7:9">
      <c r="G93" s="83">
        <v>47604</v>
      </c>
      <c r="H93" s="87">
        <v>6.8813337792879601</v>
      </c>
      <c r="I93" s="213">
        <f t="shared" si="5"/>
        <v>2030</v>
      </c>
    </row>
    <row r="94" spans="7:9">
      <c r="G94" s="83">
        <v>47635</v>
      </c>
      <c r="H94" s="87">
        <v>6.9722152074246884</v>
      </c>
      <c r="I94" s="213">
        <f t="shared" si="5"/>
        <v>2030</v>
      </c>
    </row>
    <row r="95" spans="7:9">
      <c r="G95" s="83">
        <v>47665</v>
      </c>
      <c r="H95" s="87">
        <v>7.0640095070493967</v>
      </c>
      <c r="I95" s="213">
        <f t="shared" si="5"/>
        <v>2030</v>
      </c>
    </row>
    <row r="96" spans="7:9">
      <c r="G96" s="83">
        <v>47696</v>
      </c>
      <c r="H96" s="87">
        <v>7.1295333938533325</v>
      </c>
      <c r="I96" s="213">
        <f t="shared" si="5"/>
        <v>2030</v>
      </c>
    </row>
    <row r="97" spans="7:9">
      <c r="G97" s="83">
        <v>47727</v>
      </c>
      <c r="H97" s="87">
        <v>7.150833728572878</v>
      </c>
      <c r="I97" s="213">
        <f t="shared" si="5"/>
        <v>2030</v>
      </c>
    </row>
    <row r="98" spans="7:9">
      <c r="G98" s="83">
        <v>47757</v>
      </c>
      <c r="H98" s="87">
        <v>7.187652878588092</v>
      </c>
      <c r="I98" s="213">
        <f t="shared" si="5"/>
        <v>2030</v>
      </c>
    </row>
    <row r="99" spans="7:9">
      <c r="G99" s="83">
        <v>47788</v>
      </c>
      <c r="H99" s="87">
        <v>7.3496368526219698</v>
      </c>
      <c r="I99" s="213">
        <f t="shared" si="5"/>
        <v>2030</v>
      </c>
    </row>
    <row r="100" spans="7:9">
      <c r="G100" s="83">
        <v>47818</v>
      </c>
      <c r="H100" s="87">
        <v>7.6479429688609395</v>
      </c>
      <c r="I100" s="213">
        <f t="shared" si="5"/>
        <v>2030</v>
      </c>
    </row>
    <row r="101" spans="7:9">
      <c r="G101" s="83">
        <v>47849</v>
      </c>
      <c r="H101" s="87">
        <v>7.6427700304290491</v>
      </c>
      <c r="I101" s="213">
        <f t="shared" ref="I101:I148" si="6">YEAR(G101)</f>
        <v>2031</v>
      </c>
    </row>
    <row r="102" spans="7:9">
      <c r="G102" s="83">
        <v>47880</v>
      </c>
      <c r="H102" s="87">
        <v>7.5941849812354203</v>
      </c>
      <c r="I102" s="213">
        <f t="shared" si="6"/>
        <v>2031</v>
      </c>
    </row>
    <row r="103" spans="7:9">
      <c r="G103" s="83">
        <v>47908</v>
      </c>
      <c r="H103" s="87">
        <v>7.0577208367988646</v>
      </c>
      <c r="I103" s="213">
        <f t="shared" si="6"/>
        <v>2031</v>
      </c>
    </row>
    <row r="104" spans="7:9">
      <c r="G104" s="83">
        <v>47939</v>
      </c>
      <c r="H104" s="87">
        <v>6.9523348950197787</v>
      </c>
      <c r="I104" s="213">
        <f t="shared" si="6"/>
        <v>2031</v>
      </c>
    </row>
    <row r="105" spans="7:9">
      <c r="G105" s="83">
        <v>47969</v>
      </c>
      <c r="H105" s="87">
        <v>6.9342803255908301</v>
      </c>
      <c r="I105" s="213">
        <f t="shared" si="6"/>
        <v>2031</v>
      </c>
    </row>
    <row r="106" spans="7:9">
      <c r="G106" s="83">
        <v>48000</v>
      </c>
      <c r="H106" s="87">
        <v>7.0279003681915002</v>
      </c>
      <c r="I106" s="213">
        <f t="shared" si="6"/>
        <v>2031</v>
      </c>
    </row>
    <row r="107" spans="7:9">
      <c r="G107" s="83">
        <v>48030</v>
      </c>
      <c r="H107" s="87">
        <v>7.1339963211279036</v>
      </c>
      <c r="I107" s="213">
        <f t="shared" si="6"/>
        <v>2031</v>
      </c>
    </row>
    <row r="108" spans="7:9">
      <c r="G108" s="83">
        <v>48061</v>
      </c>
      <c r="H108" s="87">
        <v>7.1457622203063194</v>
      </c>
      <c r="I108" s="213">
        <f t="shared" si="6"/>
        <v>2031</v>
      </c>
    </row>
    <row r="109" spans="7:9">
      <c r="G109" s="83">
        <v>48092</v>
      </c>
      <c r="H109" s="87">
        <v>7.2007373699158137</v>
      </c>
      <c r="I109" s="213">
        <f t="shared" si="6"/>
        <v>2031</v>
      </c>
    </row>
    <row r="110" spans="7:9">
      <c r="G110" s="83">
        <v>48122</v>
      </c>
      <c r="H110" s="87">
        <v>7.2459752236535149</v>
      </c>
      <c r="I110" s="213">
        <f t="shared" si="6"/>
        <v>2031</v>
      </c>
    </row>
    <row r="111" spans="7:9">
      <c r="G111" s="83">
        <v>48153</v>
      </c>
      <c r="H111" s="87">
        <v>7.5263282006288668</v>
      </c>
      <c r="I111" s="213">
        <f t="shared" si="6"/>
        <v>2031</v>
      </c>
    </row>
    <row r="112" spans="7:9">
      <c r="G112" s="83">
        <v>48183</v>
      </c>
      <c r="H112" s="87">
        <v>8.4916390840856053</v>
      </c>
      <c r="I112" s="213">
        <f t="shared" si="6"/>
        <v>2031</v>
      </c>
    </row>
    <row r="113" spans="7:9">
      <c r="G113" s="83">
        <v>48214</v>
      </c>
      <c r="H113" s="87">
        <v>7.7955238594177905</v>
      </c>
      <c r="I113" s="213">
        <f t="shared" si="6"/>
        <v>2032</v>
      </c>
    </row>
    <row r="114" spans="7:9">
      <c r="G114" s="83">
        <v>48245</v>
      </c>
      <c r="H114" s="87">
        <v>7.745924508570849</v>
      </c>
      <c r="I114" s="213">
        <f t="shared" si="6"/>
        <v>2032</v>
      </c>
    </row>
    <row r="115" spans="7:9">
      <c r="G115" s="83">
        <v>48274</v>
      </c>
      <c r="H115" s="87">
        <v>7.1988101967745211</v>
      </c>
      <c r="I115" s="213">
        <f t="shared" si="6"/>
        <v>2032</v>
      </c>
    </row>
    <row r="116" spans="7:9">
      <c r="G116" s="83">
        <v>48305</v>
      </c>
      <c r="H116" s="87">
        <v>7.0912942215234818</v>
      </c>
      <c r="I116" s="213">
        <f t="shared" si="6"/>
        <v>2032</v>
      </c>
    </row>
    <row r="117" spans="7:9">
      <c r="G117" s="83">
        <v>48335</v>
      </c>
      <c r="H117" s="87">
        <v>7.0728339314332089</v>
      </c>
      <c r="I117" s="213">
        <f t="shared" si="6"/>
        <v>2032</v>
      </c>
    </row>
    <row r="118" spans="7:9">
      <c r="G118" s="83">
        <v>48366</v>
      </c>
      <c r="H118" s="87">
        <v>7.1682797170098391</v>
      </c>
      <c r="I118" s="213">
        <f t="shared" si="6"/>
        <v>2032</v>
      </c>
    </row>
    <row r="119" spans="7:9">
      <c r="G119" s="83">
        <v>48396</v>
      </c>
      <c r="H119" s="87">
        <v>7.2766071335835276</v>
      </c>
      <c r="I119" s="213">
        <f t="shared" si="6"/>
        <v>2032</v>
      </c>
    </row>
    <row r="120" spans="7:9">
      <c r="G120" s="83">
        <v>48427</v>
      </c>
      <c r="H120" s="87">
        <v>7.2886773232579367</v>
      </c>
      <c r="I120" s="213">
        <f t="shared" si="6"/>
        <v>2032</v>
      </c>
    </row>
    <row r="121" spans="7:9">
      <c r="G121" s="83">
        <v>48458</v>
      </c>
      <c r="H121" s="87">
        <v>7.3446667745207428</v>
      </c>
      <c r="I121" s="213">
        <f t="shared" si="6"/>
        <v>2032</v>
      </c>
    </row>
    <row r="122" spans="7:9">
      <c r="G122" s="83">
        <v>48488</v>
      </c>
      <c r="H122" s="87">
        <v>7.390817499746424</v>
      </c>
      <c r="I122" s="213">
        <f t="shared" si="6"/>
        <v>2032</v>
      </c>
    </row>
    <row r="123" spans="7:9">
      <c r="G123" s="83">
        <v>48519</v>
      </c>
      <c r="H123" s="87">
        <v>7.6768505659803221</v>
      </c>
      <c r="I123" s="213">
        <f t="shared" si="6"/>
        <v>2032</v>
      </c>
    </row>
    <row r="124" spans="7:9">
      <c r="G124" s="83">
        <v>48549</v>
      </c>
      <c r="H124" s="87">
        <v>8.6614331808499845</v>
      </c>
      <c r="I124" s="213">
        <f t="shared" si="6"/>
        <v>2032</v>
      </c>
    </row>
    <row r="125" spans="7:9">
      <c r="G125" s="83">
        <v>48580</v>
      </c>
      <c r="H125" s="87">
        <v>7.9513205933664679</v>
      </c>
      <c r="I125" s="213">
        <f t="shared" si="6"/>
        <v>2033</v>
      </c>
    </row>
    <row r="126" spans="7:9">
      <c r="G126" s="83">
        <v>48611</v>
      </c>
      <c r="H126" s="87">
        <v>7.9008083710315447</v>
      </c>
      <c r="I126" s="213">
        <f t="shared" si="6"/>
        <v>2033</v>
      </c>
    </row>
    <row r="127" spans="7:9">
      <c r="G127" s="83">
        <v>48639</v>
      </c>
      <c r="H127" s="87">
        <v>7.3427396013794501</v>
      </c>
      <c r="I127" s="213">
        <f t="shared" si="6"/>
        <v>2033</v>
      </c>
    </row>
    <row r="128" spans="7:9">
      <c r="G128" s="83">
        <v>48670</v>
      </c>
      <c r="H128" s="87">
        <v>7.2329921624911249</v>
      </c>
      <c r="I128" s="213">
        <f t="shared" si="6"/>
        <v>2033</v>
      </c>
    </row>
    <row r="129" spans="7:9">
      <c r="G129" s="83">
        <v>48700</v>
      </c>
      <c r="H129" s="87">
        <v>7.2142275819048587</v>
      </c>
      <c r="I129" s="213">
        <f t="shared" si="6"/>
        <v>2033</v>
      </c>
    </row>
    <row r="130" spans="7:9">
      <c r="G130" s="83">
        <v>48731</v>
      </c>
      <c r="H130" s="87">
        <v>7.3116005406227815</v>
      </c>
      <c r="I130" s="213">
        <f t="shared" si="6"/>
        <v>2033</v>
      </c>
    </row>
    <row r="131" spans="7:9">
      <c r="G131" s="83">
        <v>48761</v>
      </c>
      <c r="H131" s="87">
        <v>7.4220579906684243</v>
      </c>
      <c r="I131" s="213">
        <f t="shared" si="6"/>
        <v>2033</v>
      </c>
    </row>
    <row r="132" spans="7:9">
      <c r="G132" s="83">
        <v>48792</v>
      </c>
      <c r="H132" s="87">
        <v>7.4343310406734968</v>
      </c>
      <c r="I132" s="213">
        <f t="shared" si="6"/>
        <v>2033</v>
      </c>
    </row>
    <row r="133" spans="7:9">
      <c r="G133" s="83">
        <v>48823</v>
      </c>
      <c r="H133" s="87">
        <v>7.4915376539202763</v>
      </c>
      <c r="I133" s="213">
        <f t="shared" si="6"/>
        <v>2033</v>
      </c>
    </row>
    <row r="134" spans="7:9">
      <c r="G134" s="83">
        <v>48853</v>
      </c>
      <c r="H134" s="87">
        <v>7.5384998204686076</v>
      </c>
      <c r="I134" s="213">
        <f t="shared" si="6"/>
        <v>2033</v>
      </c>
    </row>
    <row r="135" spans="7:9">
      <c r="G135" s="83">
        <v>48884</v>
      </c>
      <c r="H135" s="87">
        <v>7.830212975961051</v>
      </c>
      <c r="I135" s="213">
        <f t="shared" si="6"/>
        <v>2033</v>
      </c>
    </row>
    <row r="136" spans="7:9">
      <c r="G136" s="83">
        <v>48914</v>
      </c>
      <c r="H136" s="87">
        <v>8.8345744730702904</v>
      </c>
      <c r="I136" s="213">
        <f t="shared" si="6"/>
        <v>2033</v>
      </c>
    </row>
    <row r="137" spans="7:9">
      <c r="G137" s="83">
        <v>48945</v>
      </c>
      <c r="H137" s="87">
        <v>8.1102616624404096</v>
      </c>
      <c r="I137" s="213">
        <f t="shared" si="6"/>
        <v>2034</v>
      </c>
    </row>
    <row r="138" spans="7:9">
      <c r="G138" s="83">
        <v>48976</v>
      </c>
      <c r="H138" s="87">
        <v>8.0587351384521746</v>
      </c>
      <c r="I138" s="213">
        <f t="shared" si="6"/>
        <v>2034</v>
      </c>
    </row>
    <row r="139" spans="7:9">
      <c r="G139" s="83">
        <v>49004</v>
      </c>
      <c r="H139" s="87">
        <v>7.4895090506136528</v>
      </c>
      <c r="I139" s="213">
        <f t="shared" si="6"/>
        <v>2034</v>
      </c>
    </row>
    <row r="140" spans="7:9">
      <c r="G140" s="83">
        <v>49035</v>
      </c>
      <c r="H140" s="87">
        <v>7.3776315782533723</v>
      </c>
      <c r="I140" s="213">
        <f t="shared" si="6"/>
        <v>2034</v>
      </c>
    </row>
    <row r="141" spans="7:9">
      <c r="G141" s="83">
        <v>49065</v>
      </c>
      <c r="H141" s="87">
        <v>7.358461277005782</v>
      </c>
      <c r="I141" s="213">
        <f t="shared" si="6"/>
        <v>2034</v>
      </c>
    </row>
    <row r="142" spans="7:9">
      <c r="G142" s="83">
        <v>49096</v>
      </c>
      <c r="H142" s="87">
        <v>7.4577614088649966</v>
      </c>
      <c r="I142" s="213">
        <f t="shared" si="6"/>
        <v>2034</v>
      </c>
    </row>
    <row r="143" spans="7:9">
      <c r="G143" s="83">
        <v>49126</v>
      </c>
      <c r="H143" s="87">
        <v>7.5704503225479254</v>
      </c>
      <c r="I143" s="213">
        <f t="shared" si="6"/>
        <v>2034</v>
      </c>
    </row>
    <row r="144" spans="7:9">
      <c r="G144" s="83">
        <v>49157</v>
      </c>
      <c r="H144" s="87">
        <v>7.5829262328836595</v>
      </c>
      <c r="I144" s="213">
        <f t="shared" si="6"/>
        <v>2034</v>
      </c>
    </row>
    <row r="145" spans="7:9">
      <c r="G145" s="83">
        <v>49188</v>
      </c>
      <c r="H145" s="87">
        <v>7.6412485779490815</v>
      </c>
      <c r="I145" s="213">
        <f t="shared" si="6"/>
        <v>2034</v>
      </c>
    </row>
    <row r="146" spans="7:9">
      <c r="G146" s="83">
        <v>49218</v>
      </c>
      <c r="H146" s="87">
        <v>7.6892250461507246</v>
      </c>
      <c r="I146" s="213">
        <f t="shared" si="6"/>
        <v>2034</v>
      </c>
    </row>
    <row r="147" spans="7:9">
      <c r="G147" s="83">
        <v>49249</v>
      </c>
      <c r="H147" s="87">
        <v>7.9867197210670451</v>
      </c>
      <c r="I147" s="213">
        <f t="shared" si="6"/>
        <v>2034</v>
      </c>
    </row>
    <row r="148" spans="7:9">
      <c r="G148" s="83">
        <v>49279</v>
      </c>
      <c r="H148" s="87">
        <v>9.0111643909118566</v>
      </c>
      <c r="I148" s="213">
        <f t="shared" si="6"/>
        <v>2034</v>
      </c>
    </row>
    <row r="149" spans="7:9">
      <c r="G149" s="83">
        <v>49310</v>
      </c>
      <c r="H149" s="87">
        <v>8.2723470666396182</v>
      </c>
      <c r="I149" s="213">
        <f t="shared" ref="I149:I195" si="7">YEAR(G149)</f>
        <v>2035</v>
      </c>
    </row>
    <row r="150" spans="7:9">
      <c r="G150" s="83">
        <v>49341</v>
      </c>
      <c r="H150" s="87">
        <v>8.2198062409980732</v>
      </c>
      <c r="I150" s="213">
        <f t="shared" si="7"/>
        <v>2035</v>
      </c>
    </row>
    <row r="151" spans="7:9">
      <c r="G151" s="83">
        <v>49369</v>
      </c>
      <c r="H151" s="87">
        <v>7.6391185444771281</v>
      </c>
      <c r="I151" s="213">
        <f t="shared" si="7"/>
        <v>2035</v>
      </c>
    </row>
    <row r="152" spans="7:9">
      <c r="G152" s="83">
        <v>49400</v>
      </c>
      <c r="H152" s="87">
        <v>7.5251110386448934</v>
      </c>
      <c r="I152" s="213">
        <f t="shared" si="7"/>
        <v>2035</v>
      </c>
    </row>
    <row r="153" spans="7:9">
      <c r="G153" s="83">
        <v>49430</v>
      </c>
      <c r="H153" s="87">
        <v>7.5055350167359771</v>
      </c>
      <c r="I153" s="213">
        <f t="shared" si="7"/>
        <v>2035</v>
      </c>
    </row>
    <row r="154" spans="7:9">
      <c r="G154" s="83">
        <v>49461</v>
      </c>
      <c r="H154" s="87">
        <v>7.6068637519018152</v>
      </c>
      <c r="I154" s="213">
        <f t="shared" si="7"/>
        <v>2035</v>
      </c>
    </row>
    <row r="155" spans="7:9">
      <c r="G155" s="83">
        <v>49491</v>
      </c>
      <c r="H155" s="87">
        <v>7.7217841292220308</v>
      </c>
      <c r="I155" s="213">
        <f t="shared" si="7"/>
        <v>2035</v>
      </c>
    </row>
    <row r="156" spans="7:9">
      <c r="G156" s="83">
        <v>49522</v>
      </c>
      <c r="H156" s="87">
        <v>7.7344628998884275</v>
      </c>
      <c r="I156" s="213">
        <f t="shared" si="7"/>
        <v>2035</v>
      </c>
    </row>
    <row r="157" spans="7:9">
      <c r="G157" s="83">
        <v>49553</v>
      </c>
      <c r="H157" s="87">
        <v>7.7940024069378238</v>
      </c>
      <c r="I157" s="213">
        <f t="shared" si="7"/>
        <v>2035</v>
      </c>
    </row>
    <row r="158" spans="7:9">
      <c r="G158" s="83">
        <v>49583</v>
      </c>
      <c r="H158" s="87">
        <v>7.8428917466274468</v>
      </c>
      <c r="I158" s="213">
        <f t="shared" si="7"/>
        <v>2035</v>
      </c>
    </row>
    <row r="159" spans="7:9">
      <c r="G159" s="83">
        <v>49614</v>
      </c>
      <c r="H159" s="87">
        <v>8.1463708012983069</v>
      </c>
      <c r="I159" s="213">
        <f t="shared" si="7"/>
        <v>2035</v>
      </c>
    </row>
    <row r="160" spans="7:9">
      <c r="G160" s="83">
        <v>49644</v>
      </c>
      <c r="H160" s="87">
        <v>9.191304364540013</v>
      </c>
      <c r="I160" s="213">
        <f t="shared" si="7"/>
        <v>2035</v>
      </c>
    </row>
    <row r="161" spans="7:9">
      <c r="G161" s="83">
        <v>49675</v>
      </c>
      <c r="H161" s="87">
        <v>8.4377796662947553</v>
      </c>
      <c r="I161" s="213">
        <f t="shared" si="7"/>
        <v>2036</v>
      </c>
    </row>
    <row r="162" spans="7:9">
      <c r="G162" s="83">
        <v>49706</v>
      </c>
      <c r="H162" s="87">
        <v>8.3841231088345669</v>
      </c>
      <c r="I162" s="213">
        <f t="shared" si="7"/>
        <v>2036</v>
      </c>
    </row>
    <row r="163" spans="7:9">
      <c r="G163" s="83">
        <v>49735</v>
      </c>
      <c r="H163" s="87">
        <v>7.7918723734658686</v>
      </c>
      <c r="I163" s="213">
        <f t="shared" si="7"/>
        <v>2036</v>
      </c>
    </row>
    <row r="164" spans="7:9">
      <c r="G164" s="83">
        <v>49766</v>
      </c>
      <c r="H164" s="87">
        <v>7.6754305436656862</v>
      </c>
      <c r="I164" s="213">
        <f t="shared" si="7"/>
        <v>2036</v>
      </c>
    </row>
    <row r="165" spans="7:9">
      <c r="G165" s="83">
        <v>49796</v>
      </c>
      <c r="H165" s="87">
        <v>7.6555502312607766</v>
      </c>
      <c r="I165" s="213">
        <f t="shared" si="7"/>
        <v>2036</v>
      </c>
    </row>
    <row r="166" spans="7:9">
      <c r="G166" s="83">
        <v>49827</v>
      </c>
      <c r="H166" s="87">
        <v>7.758907569733239</v>
      </c>
      <c r="I166" s="213">
        <f t="shared" si="7"/>
        <v>2036</v>
      </c>
    </row>
    <row r="167" spans="7:9">
      <c r="G167" s="83">
        <v>49857</v>
      </c>
      <c r="H167" s="87">
        <v>7.8760594106907398</v>
      </c>
      <c r="I167" s="213">
        <f t="shared" si="7"/>
        <v>2036</v>
      </c>
    </row>
    <row r="168" spans="7:9">
      <c r="G168" s="83">
        <v>49888</v>
      </c>
      <c r="H168" s="87">
        <v>7.8890424718531289</v>
      </c>
      <c r="I168" s="213">
        <f t="shared" si="7"/>
        <v>2036</v>
      </c>
    </row>
    <row r="169" spans="7:9">
      <c r="G169" s="83">
        <v>49919</v>
      </c>
      <c r="H169" s="87">
        <v>7.9497991408865003</v>
      </c>
      <c r="I169" s="213">
        <f t="shared" si="7"/>
        <v>2036</v>
      </c>
    </row>
    <row r="170" spans="7:9">
      <c r="G170" s="83">
        <v>49949</v>
      </c>
      <c r="H170" s="87">
        <v>7.9997027822294351</v>
      </c>
      <c r="I170" s="213">
        <f t="shared" si="7"/>
        <v>2036</v>
      </c>
    </row>
    <row r="171" spans="7:9">
      <c r="G171" s="83">
        <v>49980</v>
      </c>
      <c r="H171" s="87">
        <v>8.3092676468201638</v>
      </c>
      <c r="I171" s="213">
        <f t="shared" si="7"/>
        <v>2036</v>
      </c>
    </row>
    <row r="172" spans="7:9">
      <c r="G172" s="83">
        <v>50010</v>
      </c>
      <c r="H172" s="87">
        <v>9.3749943939547613</v>
      </c>
      <c r="I172" s="213">
        <f t="shared" si="7"/>
        <v>2036</v>
      </c>
    </row>
    <row r="173" spans="7:9">
      <c r="G173" s="83">
        <v>50041</v>
      </c>
      <c r="H173" s="87">
        <v>8.6063566010751593</v>
      </c>
      <c r="I173" s="213">
        <f t="shared" ref="I173:I184" si="8">YEAR(G173)</f>
        <v>2037</v>
      </c>
    </row>
    <row r="174" spans="7:9">
      <c r="G174" s="83">
        <v>50072</v>
      </c>
      <c r="H174" s="87">
        <v>8.5516857419616592</v>
      </c>
      <c r="I174" s="213">
        <f t="shared" si="8"/>
        <v>2037</v>
      </c>
    </row>
    <row r="175" spans="7:9">
      <c r="G175" s="83">
        <v>50100</v>
      </c>
      <c r="H175" s="87">
        <v>7.9475676772492143</v>
      </c>
      <c r="I175" s="213">
        <f t="shared" si="8"/>
        <v>2037</v>
      </c>
    </row>
    <row r="176" spans="7:9">
      <c r="G176" s="83">
        <v>50131</v>
      </c>
      <c r="H176" s="87">
        <v>7.828894383811746</v>
      </c>
      <c r="I176" s="213">
        <f t="shared" si="8"/>
        <v>2037</v>
      </c>
    </row>
    <row r="177" spans="7:9">
      <c r="G177" s="83">
        <v>50161</v>
      </c>
      <c r="H177" s="87">
        <v>7.8085069205801805</v>
      </c>
      <c r="I177" s="213">
        <f t="shared" si="8"/>
        <v>2037</v>
      </c>
    </row>
    <row r="178" spans="7:9">
      <c r="G178" s="83">
        <v>50192</v>
      </c>
      <c r="H178" s="87">
        <v>7.9139942925245972</v>
      </c>
      <c r="I178" s="213">
        <f t="shared" si="8"/>
        <v>2037</v>
      </c>
    </row>
    <row r="179" spans="7:9">
      <c r="G179" s="83">
        <v>50222</v>
      </c>
      <c r="H179" s="87">
        <v>8.033479027284713</v>
      </c>
      <c r="I179" s="213">
        <f t="shared" si="8"/>
        <v>2037</v>
      </c>
    </row>
    <row r="180" spans="7:9">
      <c r="G180" s="83">
        <v>50253</v>
      </c>
      <c r="H180" s="87">
        <v>8.0467663789430972</v>
      </c>
      <c r="I180" s="213">
        <f t="shared" si="8"/>
        <v>2037</v>
      </c>
    </row>
    <row r="181" spans="7:9">
      <c r="G181" s="83">
        <v>50284</v>
      </c>
      <c r="H181" s="87">
        <v>8.1086387797951094</v>
      </c>
      <c r="I181" s="213">
        <f t="shared" si="8"/>
        <v>2037</v>
      </c>
    </row>
    <row r="182" spans="7:9">
      <c r="G182" s="83">
        <v>50314</v>
      </c>
      <c r="H182" s="87">
        <v>8.1595567227913577</v>
      </c>
      <c r="I182" s="213">
        <f t="shared" si="8"/>
        <v>2037</v>
      </c>
    </row>
    <row r="183" spans="7:9">
      <c r="G183" s="83">
        <v>50345</v>
      </c>
      <c r="H183" s="87">
        <v>8.4753088274672876</v>
      </c>
      <c r="I183" s="213">
        <f t="shared" si="8"/>
        <v>2037</v>
      </c>
    </row>
    <row r="184" spans="7:9">
      <c r="G184" s="83">
        <v>50375</v>
      </c>
      <c r="H184" s="87">
        <v>9.5624373394867614</v>
      </c>
      <c r="I184" s="213">
        <f t="shared" si="8"/>
        <v>2037</v>
      </c>
    </row>
    <row r="185" spans="7:9">
      <c r="G185" s="83">
        <v>50406</v>
      </c>
      <c r="H185" s="87">
        <v>8.7784835916421535</v>
      </c>
      <c r="I185" s="213">
        <f t="shared" si="7"/>
        <v>2038</v>
      </c>
    </row>
    <row r="186" spans="7:9">
      <c r="G186" s="83">
        <v>50437</v>
      </c>
      <c r="H186" s="87">
        <v>8.72269700071001</v>
      </c>
      <c r="I186" s="213">
        <f t="shared" si="7"/>
        <v>2038</v>
      </c>
    </row>
    <row r="187" spans="7:9">
      <c r="G187" s="83">
        <v>50465</v>
      </c>
      <c r="H187" s="87">
        <v>8.106508746323156</v>
      </c>
      <c r="I187" s="213">
        <f t="shared" si="7"/>
        <v>2038</v>
      </c>
    </row>
    <row r="188" spans="7:9">
      <c r="G188" s="83">
        <v>50496</v>
      </c>
      <c r="H188" s="87">
        <v>7.9854011289177409</v>
      </c>
      <c r="I188" s="213">
        <f t="shared" si="7"/>
        <v>2038</v>
      </c>
    </row>
    <row r="189" spans="7:9">
      <c r="G189" s="83">
        <v>50526</v>
      </c>
      <c r="H189" s="87">
        <v>7.9646079450248504</v>
      </c>
      <c r="I189" s="213">
        <f t="shared" si="7"/>
        <v>2038</v>
      </c>
    </row>
    <row r="190" spans="7:9">
      <c r="G190" s="83">
        <v>50557</v>
      </c>
      <c r="H190" s="87">
        <v>8.0721239202758888</v>
      </c>
      <c r="I190" s="213">
        <f t="shared" si="7"/>
        <v>2038</v>
      </c>
    </row>
    <row r="191" spans="7:9">
      <c r="G191" s="83">
        <v>50587</v>
      </c>
      <c r="H191" s="87">
        <v>8.1941444091692848</v>
      </c>
      <c r="I191" s="213">
        <f t="shared" si="7"/>
        <v>2038</v>
      </c>
    </row>
    <row r="192" spans="7:9">
      <c r="G192" s="83">
        <v>50618</v>
      </c>
      <c r="H192" s="87">
        <v>8.2076346211583324</v>
      </c>
      <c r="I192" s="213">
        <f t="shared" si="7"/>
        <v>2038</v>
      </c>
    </row>
    <row r="193" spans="7:9">
      <c r="G193" s="83">
        <v>50649</v>
      </c>
      <c r="H193" s="87">
        <v>8.270724183994318</v>
      </c>
      <c r="I193" s="213">
        <f t="shared" si="7"/>
        <v>2038</v>
      </c>
    </row>
    <row r="194" spans="7:9">
      <c r="G194" s="83">
        <v>50679</v>
      </c>
      <c r="H194" s="87">
        <v>8.322656428643878</v>
      </c>
      <c r="I194" s="213">
        <f t="shared" si="7"/>
        <v>2038</v>
      </c>
    </row>
    <row r="195" spans="7:9">
      <c r="G195" s="83">
        <v>50710</v>
      </c>
      <c r="H195" s="87">
        <v>8.6447986337356717</v>
      </c>
      <c r="I195" s="213">
        <f t="shared" si="7"/>
        <v>2038</v>
      </c>
    </row>
    <row r="196" spans="7:9">
      <c r="G196" s="83">
        <v>50740</v>
      </c>
      <c r="H196" s="87">
        <v>9.7536332011360187</v>
      </c>
      <c r="I196" s="213">
        <f t="shared" ref="I196" si="9">YEAR(G196)</f>
        <v>2038</v>
      </c>
    </row>
    <row r="197" spans="7:9">
      <c r="G197" s="203"/>
      <c r="H197" s="203"/>
    </row>
    <row r="198" spans="7:9">
      <c r="G198" s="203"/>
      <c r="H198" s="203"/>
    </row>
    <row r="199" spans="7:9">
      <c r="G199" s="203"/>
      <c r="H199" s="203"/>
    </row>
    <row r="200" spans="7:9">
      <c r="G200" s="203"/>
      <c r="H200" s="203"/>
    </row>
    <row r="201" spans="7:9">
      <c r="G201" s="203"/>
      <c r="H201" s="203"/>
    </row>
    <row r="202" spans="7:9">
      <c r="G202" s="203"/>
      <c r="H202" s="203"/>
    </row>
    <row r="203" spans="7:9">
      <c r="G203" s="203"/>
      <c r="H203" s="203"/>
    </row>
    <row r="204" spans="7:9">
      <c r="G204" s="203"/>
      <c r="H204" s="203"/>
    </row>
    <row r="205" spans="7:9">
      <c r="G205" s="203"/>
      <c r="H205" s="203"/>
    </row>
    <row r="206" spans="7:9">
      <c r="G206" s="203"/>
      <c r="H206" s="203"/>
    </row>
    <row r="207" spans="7:9">
      <c r="G207" s="203"/>
      <c r="H207" s="203"/>
    </row>
    <row r="208" spans="7:9">
      <c r="G208" s="203"/>
      <c r="H208" s="203"/>
    </row>
    <row r="209" spans="7:8">
      <c r="G209" s="203"/>
      <c r="H209" s="203"/>
    </row>
    <row r="210" spans="7:8">
      <c r="G210" s="203"/>
      <c r="H210" s="203"/>
    </row>
    <row r="211" spans="7:8">
      <c r="G211" s="203"/>
      <c r="H211" s="203"/>
    </row>
    <row r="212" spans="7:8">
      <c r="G212" s="203"/>
      <c r="H212" s="203"/>
    </row>
    <row r="213" spans="7:8">
      <c r="G213" s="203"/>
      <c r="H213" s="203"/>
    </row>
    <row r="214" spans="7:8">
      <c r="G214" s="203"/>
      <c r="H214" s="203"/>
    </row>
  </sheetData>
  <phoneticPr fontId="6" type="noConversion"/>
  <printOptions horizontalCentered="1"/>
  <pageMargins left="0.25" right="0.25" top="0.75" bottom="0.75" header="0.3" footer="0.3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11</vt:i4>
      </vt:variant>
    </vt:vector>
  </HeadingPairs>
  <TitlesOfParts>
    <vt:vector size="16" baseType="lpstr">
      <vt:lpstr>Appendix B</vt:lpstr>
      <vt:lpstr>Table 1</vt:lpstr>
      <vt:lpstr>Table 2</vt:lpstr>
      <vt:lpstr>Table 3</vt:lpstr>
      <vt:lpstr>Table 4</vt:lpstr>
      <vt:lpstr>_2024_CCCT</vt:lpstr>
      <vt:lpstr>_2028_CCCT</vt:lpstr>
      <vt:lpstr>Discount_Rate</vt:lpstr>
      <vt:lpstr>'Appendix B'!Print_Area</vt:lpstr>
      <vt:lpstr>'Table 1'!Print_Area</vt:lpstr>
      <vt:lpstr>'Table 2'!Print_Area</vt:lpstr>
      <vt:lpstr>'Table 3'!Print_Area</vt:lpstr>
      <vt:lpstr>'Table 4'!Print_Area</vt:lpstr>
      <vt:lpstr>'Table 2'!Print_Titles</vt:lpstr>
      <vt:lpstr>'Table 3'!Print_Titles</vt:lpstr>
      <vt:lpstr>Study_Cap_Adj</vt:lpstr>
    </vt:vector>
  </TitlesOfParts>
  <Company>PacifiCorp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PacifiCorp</dc:creator>
  <cp:lastModifiedBy>laurieharris</cp:lastModifiedBy>
  <cp:lastPrinted>2013-12-24T15:45:52Z</cp:lastPrinted>
  <dcterms:created xsi:type="dcterms:W3CDTF">2001-03-19T15:45:46Z</dcterms:created>
  <dcterms:modified xsi:type="dcterms:W3CDTF">2013-12-26T18:55:18Z</dcterms:modified>
</cp:coreProperties>
</file>