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 defaultThemeVersion="124226"/>
  <bookViews>
    <workbookView xWindow="15" yWindow="15" windowWidth="16245" windowHeight="9330" tabRatio="605"/>
  </bookViews>
  <sheets>
    <sheet name="Table 1" sheetId="30" r:id="rId1"/>
    <sheet name="Table 2" sheetId="17" r:id="rId2"/>
    <sheet name="Tables 3 to 6" sheetId="5" r:id="rId3"/>
    <sheet name="Table 7" sheetId="13" r:id="rId4"/>
    <sheet name="Table 8" sheetId="28" r:id="rId5"/>
    <sheet name="Table 9" sheetId="29" r:id="rId6"/>
    <sheet name="Table 10" sheetId="32" r:id="rId7"/>
    <sheet name="Table 11" sheetId="34" r:id="rId8"/>
    <sheet name="Not Printed ----&gt;" sheetId="37" r:id="rId9"/>
    <sheet name="Tariff Page" sheetId="36" r:id="rId10"/>
  </sheets>
  <externalReferences>
    <externalReference r:id="rId11"/>
  </externalReferences>
  <definedNames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dateTable">'[1]on off peak hours'!$C$15:$ED$15</definedName>
    <definedName name="DispatchSum">"GRID Thermal Generation!R2C1:R4C2"</definedName>
    <definedName name="HoursHoliday">'[1]on off peak hours'!$C$16:$ED$20</definedName>
    <definedName name="_xlnm.Print_Area" localSheetId="0">'Table 1'!$B$1:$M$29</definedName>
    <definedName name="_xlnm.Print_Area" localSheetId="6">'Table 10'!$A$1:$G$39</definedName>
    <definedName name="_xlnm.Print_Area" localSheetId="7">'Table 11'!$A$1:$Q$33</definedName>
    <definedName name="_xlnm.Print_Area" localSheetId="1">'Table 2'!$A$1:$M$72</definedName>
    <definedName name="_xlnm.Print_Area" localSheetId="3">'Table 7'!$A$1:$E$46</definedName>
    <definedName name="_xlnm.Print_Area" localSheetId="4">'Table 8'!$B$1:$K$143</definedName>
    <definedName name="_xlnm.Print_Area" localSheetId="5">'Table 9'!$A$1:$D$42</definedName>
    <definedName name="_xlnm.Print_Area" localSheetId="2">'Tables 3 to 6'!$A$1:$Z$46</definedName>
    <definedName name="_xlnm.Print_Area" localSheetId="9">'Tariff Page'!$A$1:$H$47</definedName>
    <definedName name="RevenueSum">"GRID Thermal Revenue!R2C1:R4C2"</definedName>
    <definedName name="Study_Name">[1]ImportData!$D$7</definedName>
  </definedNames>
  <calcPr calcId="125725" calcOnSave="0"/>
</workbook>
</file>

<file path=xl/calcChain.xml><?xml version="1.0" encoding="utf-8"?>
<calcChain xmlns="http://schemas.openxmlformats.org/spreadsheetml/2006/main">
  <c r="C70" i="17"/>
  <c r="V42" i="5" l="1"/>
  <c r="C43"/>
  <c r="C45"/>
  <c r="S9" l="1"/>
  <c r="R9"/>
  <c r="Q9"/>
  <c r="Y9" l="1"/>
  <c r="Z9"/>
  <c r="C45" i="28" l="1"/>
  <c r="C46"/>
  <c r="C49"/>
  <c r="C48"/>
  <c r="D49"/>
  <c r="D48"/>
  <c r="D47"/>
  <c r="D46"/>
  <c r="R29" i="36"/>
  <c r="C124" i="28"/>
  <c r="D123"/>
  <c r="C121"/>
  <c r="C123" s="1"/>
  <c r="F108"/>
  <c r="F109"/>
  <c r="H108"/>
  <c r="H109"/>
  <c r="B10" i="29" l="1"/>
  <c r="B10" i="32"/>
  <c r="B7" i="34"/>
  <c r="B22" s="1"/>
  <c r="B25" i="5"/>
  <c r="B14"/>
  <c r="B15" s="1"/>
  <c r="B8" i="34" l="1"/>
  <c r="B16" i="5"/>
  <c r="U15"/>
  <c r="N15"/>
  <c r="H15"/>
  <c r="H14"/>
  <c r="N14"/>
  <c r="U14"/>
  <c r="B23" i="34" l="1"/>
  <c r="B9"/>
  <c r="B17" i="5"/>
  <c r="U16"/>
  <c r="N16"/>
  <c r="H16"/>
  <c r="B24" i="34" l="1"/>
  <c r="B10"/>
  <c r="B18" i="5"/>
  <c r="U17"/>
  <c r="N17"/>
  <c r="H17"/>
  <c r="B25" i="34" l="1"/>
  <c r="B11"/>
  <c r="B19" i="5"/>
  <c r="U18"/>
  <c r="N18"/>
  <c r="H18"/>
  <c r="B26" i="34" l="1"/>
  <c r="B12"/>
  <c r="B20" i="5"/>
  <c r="U19"/>
  <c r="N19"/>
  <c r="H19"/>
  <c r="B27" i="34" l="1"/>
  <c r="B13"/>
  <c r="B21" i="5"/>
  <c r="U20"/>
  <c r="N20"/>
  <c r="H20"/>
  <c r="B28" i="34" l="1"/>
  <c r="B14"/>
  <c r="B22" i="5"/>
  <c r="U21"/>
  <c r="N21"/>
  <c r="H21"/>
  <c r="B29" i="34" l="1"/>
  <c r="B15"/>
  <c r="U22" i="5"/>
  <c r="N22"/>
  <c r="H22"/>
  <c r="B30" i="34" l="1"/>
  <c r="B16"/>
  <c r="B31" s="1"/>
  <c r="B17" l="1"/>
  <c r="B32" s="1"/>
  <c r="B18" l="1"/>
  <c r="J8" i="36" l="1"/>
  <c r="R30"/>
  <c r="J9" l="1"/>
  <c r="J10" s="1"/>
  <c r="J11" s="1"/>
  <c r="J12" s="1"/>
  <c r="J13" s="1"/>
  <c r="J14" s="1"/>
  <c r="J15" s="1"/>
  <c r="J16" s="1"/>
  <c r="J17" s="1"/>
  <c r="J18" s="1"/>
  <c r="B8"/>
  <c r="B9" s="1"/>
  <c r="B10" s="1"/>
  <c r="B11" s="1"/>
  <c r="B12" s="1"/>
  <c r="B13" s="1"/>
  <c r="B14" s="1"/>
  <c r="B15" s="1"/>
  <c r="B16" s="1"/>
  <c r="B17" s="1"/>
  <c r="B18" s="1"/>
  <c r="D126" i="28" l="1"/>
  <c r="B19" i="36" l="1"/>
  <c r="B20" l="1"/>
  <c r="B21" l="1"/>
  <c r="B22" l="1"/>
  <c r="J19"/>
  <c r="B23" l="1"/>
  <c r="J20"/>
  <c r="B24" l="1"/>
  <c r="J21"/>
  <c r="B25" l="1"/>
  <c r="J22"/>
  <c r="B26" l="1"/>
  <c r="J23"/>
  <c r="B27" l="1"/>
  <c r="J24"/>
  <c r="B28" l="1"/>
  <c r="J25"/>
  <c r="B29" l="1"/>
  <c r="J26"/>
  <c r="B30" l="1"/>
  <c r="J27"/>
  <c r="B31" l="1"/>
  <c r="J28"/>
  <c r="B32" l="1"/>
  <c r="J29"/>
  <c r="J30" l="1"/>
  <c r="J31" l="1"/>
  <c r="J32" l="1"/>
  <c r="A40" i="17" l="1"/>
  <c r="A41" s="1"/>
  <c r="A42" s="1"/>
  <c r="A43" s="1"/>
  <c r="A44" s="1"/>
  <c r="A45" s="1"/>
  <c r="A46" s="1"/>
  <c r="A47" s="1"/>
  <c r="A48" s="1"/>
  <c r="A49" s="1"/>
  <c r="A50" s="1"/>
  <c r="A25"/>
  <c r="A10"/>
  <c r="A11" l="1"/>
  <c r="A12" s="1"/>
  <c r="A26"/>
  <c r="A13" l="1"/>
  <c r="A59"/>
  <c r="A27"/>
  <c r="A28" l="1"/>
  <c r="A14"/>
  <c r="A60"/>
  <c r="H59" l="1"/>
  <c r="F10" i="36" s="1"/>
  <c r="L59" i="17"/>
  <c r="L14" i="5" s="1"/>
  <c r="D59" i="17"/>
  <c r="E10" i="36" s="1"/>
  <c r="A15" i="17"/>
  <c r="A61"/>
  <c r="A29"/>
  <c r="H60" l="1"/>
  <c r="F11" i="36" s="1"/>
  <c r="L60" i="17"/>
  <c r="L15" i="5" s="1"/>
  <c r="D60" i="17"/>
  <c r="E11" i="36" s="1"/>
  <c r="A30" i="17"/>
  <c r="A16"/>
  <c r="A62"/>
  <c r="P14" i="5"/>
  <c r="M10" i="36" s="1"/>
  <c r="X14" i="5"/>
  <c r="Z14" s="1"/>
  <c r="A17" i="17" l="1"/>
  <c r="A63"/>
  <c r="H61"/>
  <c r="F12" i="36" s="1"/>
  <c r="L61" i="17"/>
  <c r="L16" i="5" s="1"/>
  <c r="D61" i="17"/>
  <c r="E12" i="36" s="1"/>
  <c r="A31" i="17"/>
  <c r="X15" i="5"/>
  <c r="Z15" s="1"/>
  <c r="P15"/>
  <c r="M11" i="36" s="1"/>
  <c r="A32" i="17" l="1"/>
  <c r="X16" i="5"/>
  <c r="P16"/>
  <c r="M12" i="36" s="1"/>
  <c r="H62" i="17"/>
  <c r="F13" i="36" s="1"/>
  <c r="L62" i="17"/>
  <c r="L17" i="5" s="1"/>
  <c r="D62" i="17"/>
  <c r="E13" i="36" s="1"/>
  <c r="A18" i="17"/>
  <c r="A64"/>
  <c r="A19" l="1"/>
  <c r="A65"/>
  <c r="Z16" i="5"/>
  <c r="H63" i="17"/>
  <c r="F14" i="36" s="1"/>
  <c r="L63" i="17"/>
  <c r="L18" i="5" s="1"/>
  <c r="D63" i="17"/>
  <c r="E14" i="36" s="1"/>
  <c r="P17" i="5"/>
  <c r="M13" i="36" s="1"/>
  <c r="X17" i="5"/>
  <c r="H64" i="17"/>
  <c r="F15" i="36" s="1"/>
  <c r="A33" i="17"/>
  <c r="A34" l="1"/>
  <c r="X18" i="5"/>
  <c r="P18"/>
  <c r="M14" i="36" s="1"/>
  <c r="L64" i="17"/>
  <c r="L19" i="5" s="1"/>
  <c r="D64" i="17"/>
  <c r="E15" i="36" s="1"/>
  <c r="Z17" i="5"/>
  <c r="A20" i="17"/>
  <c r="A67" s="1"/>
  <c r="A66"/>
  <c r="P19" i="5" l="1"/>
  <c r="M15" i="36" s="1"/>
  <c r="X19" i="5"/>
  <c r="Z19" s="1"/>
  <c r="Z18"/>
  <c r="L65" i="17"/>
  <c r="L20" i="5" s="1"/>
  <c r="D65" i="17"/>
  <c r="E16" i="36" s="1"/>
  <c r="H65" i="17"/>
  <c r="F16" i="36" s="1"/>
  <c r="A35" i="17"/>
  <c r="L66" l="1"/>
  <c r="L21" i="5" s="1"/>
  <c r="D66" i="17"/>
  <c r="E17" i="36" s="1"/>
  <c r="H66" i="17"/>
  <c r="F17" i="36" s="1"/>
  <c r="X20" i="5"/>
  <c r="Z20" s="1"/>
  <c r="P20"/>
  <c r="M16" i="36" s="1"/>
  <c r="P21" i="5" l="1"/>
  <c r="M17" i="36" s="1"/>
  <c r="X21" i="5"/>
  <c r="Z21" s="1"/>
  <c r="B11" i="32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C132" i="28"/>
  <c r="B35" i="32" l="1"/>
  <c r="D38" i="28" l="1"/>
  <c r="B38"/>
  <c r="D39"/>
  <c r="B11" i="29" l="1"/>
  <c r="B12" l="1"/>
  <c r="C134" i="28"/>
  <c r="E11" s="1"/>
  <c r="B13" i="29" l="1"/>
  <c r="C135" i="28"/>
  <c r="B14" i="29" l="1"/>
  <c r="C136" i="28"/>
  <c r="B15" i="29" l="1"/>
  <c r="C137" i="28"/>
  <c r="B16" i="29" l="1"/>
  <c r="C138" i="28"/>
  <c r="B17" i="29" l="1"/>
  <c r="C139" i="28"/>
  <c r="B18" i="29" l="1"/>
  <c r="C140" i="28"/>
  <c r="B19" i="29" l="1"/>
  <c r="C141" i="28"/>
  <c r="B20" i="29" l="1"/>
  <c r="F133" i="28"/>
  <c r="B21" i="29" l="1"/>
  <c r="F134" i="28"/>
  <c r="B22" i="29" l="1"/>
  <c r="F135" i="28"/>
  <c r="B23" i="29" l="1"/>
  <c r="F136" i="28"/>
  <c r="B24" i="29" l="1"/>
  <c r="F137" i="28"/>
  <c r="B25" i="29" l="1"/>
  <c r="F138" i="28"/>
  <c r="B26" i="29" l="1"/>
  <c r="F139" i="28"/>
  <c r="B27" i="29" l="1"/>
  <c r="F140" i="28"/>
  <c r="B28" i="29" l="1"/>
  <c r="F141" i="28"/>
  <c r="B29" i="29" l="1"/>
  <c r="I133" i="28"/>
  <c r="B30" i="29" l="1"/>
  <c r="I134" i="28"/>
  <c r="B31" i="29" l="1"/>
  <c r="I135" i="28"/>
  <c r="B32" i="29" l="1"/>
  <c r="B33" s="1"/>
  <c r="B34" s="1"/>
  <c r="B35" s="1"/>
  <c r="I136" i="28"/>
  <c r="I137" l="1"/>
  <c r="I138" l="1"/>
  <c r="I139" l="1"/>
  <c r="I140" l="1"/>
  <c r="I141" l="1"/>
  <c r="J114"/>
  <c r="J113"/>
  <c r="E118"/>
  <c r="D97" l="1"/>
  <c r="D100" l="1"/>
  <c r="U44" i="5" l="1"/>
  <c r="B45"/>
  <c r="B13"/>
  <c r="I108" i="28"/>
  <c r="C10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E10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F113"/>
  <c r="F114"/>
  <c r="I109"/>
  <c r="A11" i="13"/>
  <c r="C41" i="5"/>
  <c r="C42" s="1"/>
  <c r="K113" i="28"/>
  <c r="K114"/>
  <c r="H12" i="5"/>
  <c r="I41"/>
  <c r="B9" i="28"/>
  <c r="B11"/>
  <c r="C39"/>
  <c r="C40"/>
  <c r="D40"/>
  <c r="C41"/>
  <c r="D41"/>
  <c r="B53"/>
  <c r="B54"/>
  <c r="B61"/>
  <c r="B63"/>
  <c r="B90"/>
  <c r="B91"/>
  <c r="C97"/>
  <c r="C98"/>
  <c r="C99"/>
  <c r="D99"/>
  <c r="C100"/>
  <c r="C101"/>
  <c r="C102"/>
  <c r="D102"/>
  <c r="C113"/>
  <c r="G113"/>
  <c r="C114"/>
  <c r="G114"/>
  <c r="N134"/>
  <c r="N135" s="1"/>
  <c r="N136" s="1"/>
  <c r="N137" s="1"/>
  <c r="N138" s="1"/>
  <c r="N139" s="1"/>
  <c r="V41" i="5"/>
  <c r="H42"/>
  <c r="U12"/>
  <c r="N13"/>
  <c r="N12"/>
  <c r="B44"/>
  <c r="E9"/>
  <c r="O41"/>
  <c r="O42"/>
  <c r="I43"/>
  <c r="V44"/>
  <c r="H44"/>
  <c r="U42"/>
  <c r="Z5"/>
  <c r="Y5"/>
  <c r="U41"/>
  <c r="B42"/>
  <c r="B41"/>
  <c r="L9"/>
  <c r="H43"/>
  <c r="H41"/>
  <c r="N42"/>
  <c r="N41"/>
  <c r="B41" i="13"/>
  <c r="E9"/>
  <c r="A42"/>
  <c r="A41"/>
  <c r="B12" i="28" l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U13" i="5"/>
  <c r="B64" i="28"/>
  <c r="B65" s="1"/>
  <c r="B66" s="1"/>
  <c r="B67" s="1"/>
  <c r="B68" s="1"/>
  <c r="B69" s="1"/>
  <c r="B70" s="1"/>
  <c r="H114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H13" i="5"/>
  <c r="H113" i="28"/>
  <c r="H115" s="1"/>
  <c r="D128" s="1"/>
  <c r="A12" i="13"/>
  <c r="F110" i="28"/>
  <c r="G108" s="1"/>
  <c r="G109" s="1"/>
  <c r="G110" s="1"/>
  <c r="F115"/>
  <c r="H110"/>
  <c r="C62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N140"/>
  <c r="F36" l="1"/>
  <c r="G36" s="1"/>
  <c r="H36" s="1"/>
  <c r="G10"/>
  <c r="H10" s="1"/>
  <c r="I110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D129"/>
  <c r="E129"/>
  <c r="A13" i="13"/>
  <c r="B71" i="28"/>
  <c r="I113"/>
  <c r="I114" s="1"/>
  <c r="J115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N141"/>
  <c r="G115"/>
  <c r="D98" s="1"/>
  <c r="G88" l="1"/>
  <c r="H88" s="1"/>
  <c r="G11"/>
  <c r="H11" s="1"/>
  <c r="A14" i="13"/>
  <c r="G63" i="28"/>
  <c r="K115"/>
  <c r="B72"/>
  <c r="B73" s="1"/>
  <c r="B74" s="1"/>
  <c r="I115"/>
  <c r="F6" i="5"/>
  <c r="K6" s="1"/>
  <c r="F9"/>
  <c r="N142" i="28"/>
  <c r="G62"/>
  <c r="H62" s="1"/>
  <c r="B75" l="1"/>
  <c r="D101"/>
  <c r="J24" i="5"/>
  <c r="I42"/>
  <c r="G12" i="28"/>
  <c r="H12" s="1"/>
  <c r="A15" i="13"/>
  <c r="G64" i="28"/>
  <c r="H63"/>
  <c r="N143"/>
  <c r="W9" i="5"/>
  <c r="B76" i="28" l="1"/>
  <c r="G13"/>
  <c r="H13" s="1"/>
  <c r="A16" i="13"/>
  <c r="G65" i="28"/>
  <c r="N144"/>
  <c r="H64"/>
  <c r="B77" l="1"/>
  <c r="G14"/>
  <c r="H14" s="1"/>
  <c r="A17" i="13"/>
  <c r="G66" i="28"/>
  <c r="H65"/>
  <c r="N145"/>
  <c r="B78" l="1"/>
  <c r="G15"/>
  <c r="H15" s="1"/>
  <c r="A18" i="13"/>
  <c r="G67" i="28"/>
  <c r="H67" s="1"/>
  <c r="N146"/>
  <c r="H66"/>
  <c r="B79" l="1"/>
  <c r="A19" i="13"/>
  <c r="N147" i="28"/>
  <c r="I44" i="5" l="1"/>
  <c r="B26"/>
  <c r="B80" i="28"/>
  <c r="N25" i="5"/>
  <c r="U25"/>
  <c r="A20" i="13"/>
  <c r="N148" i="28"/>
  <c r="H25" i="5" l="1"/>
  <c r="B81" i="28"/>
  <c r="B27" i="5"/>
  <c r="U26"/>
  <c r="H26"/>
  <c r="N26"/>
  <c r="A21" i="13"/>
  <c r="N149" i="28"/>
  <c r="B82" l="1"/>
  <c r="H27" i="5"/>
  <c r="N27"/>
  <c r="U27"/>
  <c r="B28"/>
  <c r="A22" i="13"/>
  <c r="B83" i="28" l="1"/>
  <c r="B29" i="5"/>
  <c r="H28"/>
  <c r="U28"/>
  <c r="N28"/>
  <c r="A23" i="13"/>
  <c r="B84" i="28" l="1"/>
  <c r="U29" i="5"/>
  <c r="B30"/>
  <c r="H29"/>
  <c r="N29"/>
  <c r="G16" i="28"/>
  <c r="H16" s="1"/>
  <c r="G68"/>
  <c r="H68" s="1"/>
  <c r="A24" i="13"/>
  <c r="B85" i="28" l="1"/>
  <c r="N30" i="5"/>
  <c r="H30"/>
  <c r="B31"/>
  <c r="U30"/>
  <c r="G69" i="28"/>
  <c r="H69" s="1"/>
  <c r="G17"/>
  <c r="H17" s="1"/>
  <c r="A25" i="13"/>
  <c r="B86" i="28" l="1"/>
  <c r="B32" i="5"/>
  <c r="N31"/>
  <c r="H31"/>
  <c r="U31"/>
  <c r="G18" i="28"/>
  <c r="H18" s="1"/>
  <c r="G70"/>
  <c r="H70" s="1"/>
  <c r="A26" i="13"/>
  <c r="B33" i="5" l="1"/>
  <c r="B87" i="28"/>
  <c r="B88" s="1"/>
  <c r="U32" i="5"/>
  <c r="N32"/>
  <c r="H32"/>
  <c r="G71" i="28"/>
  <c r="H71" s="1"/>
  <c r="G19"/>
  <c r="H19" s="1"/>
  <c r="A27" i="13"/>
  <c r="B34" i="5" l="1"/>
  <c r="G20" i="28"/>
  <c r="H20" s="1"/>
  <c r="G72"/>
  <c r="H72" s="1"/>
  <c r="A28" i="13"/>
  <c r="B35" i="5" l="1"/>
  <c r="G73" i="28"/>
  <c r="H73" s="1"/>
  <c r="G21"/>
  <c r="H21" s="1"/>
  <c r="A29" i="13"/>
  <c r="B36" i="5" l="1"/>
  <c r="G22" i="28"/>
  <c r="H22" s="1"/>
  <c r="D25" i="5" s="1"/>
  <c r="G74" i="28"/>
  <c r="H74" s="1"/>
  <c r="C25" i="5" s="1"/>
  <c r="A30" i="13"/>
  <c r="E25" i="5" l="1"/>
  <c r="A37" i="13"/>
  <c r="D38"/>
  <c r="B37" i="5"/>
  <c r="G75" i="28"/>
  <c r="H75" s="1"/>
  <c r="C26" i="5" s="1"/>
  <c r="G23" i="28"/>
  <c r="H23" s="1"/>
  <c r="D26" i="5" s="1"/>
  <c r="A31" i="13"/>
  <c r="E26" i="5" l="1"/>
  <c r="B38"/>
  <c r="G24" i="28"/>
  <c r="H24" s="1"/>
  <c r="D27" i="5" s="1"/>
  <c r="G76" i="28"/>
  <c r="H76" s="1"/>
  <c r="C27" i="5" s="1"/>
  <c r="E27" s="1"/>
  <c r="A32" i="13"/>
  <c r="N33" i="5" l="1"/>
  <c r="U33"/>
  <c r="H33"/>
  <c r="G77" i="28"/>
  <c r="H77" s="1"/>
  <c r="C28" i="5" s="1"/>
  <c r="G25" i="28"/>
  <c r="H25" s="1"/>
  <c r="D28" i="5" s="1"/>
  <c r="A33" i="13"/>
  <c r="H35" i="5" l="1"/>
  <c r="U35"/>
  <c r="N35"/>
  <c r="N34"/>
  <c r="U34"/>
  <c r="H34"/>
  <c r="G26" i="28"/>
  <c r="H26" s="1"/>
  <c r="D29" i="5" s="1"/>
  <c r="G78" i="28"/>
  <c r="H78" s="1"/>
  <c r="C29" i="5" s="1"/>
  <c r="A34" i="13"/>
  <c r="U36" i="5" l="1"/>
  <c r="H36"/>
  <c r="N36"/>
  <c r="G79" i="28"/>
  <c r="H79" s="1"/>
  <c r="C30" i="5" s="1"/>
  <c r="G27" i="28"/>
  <c r="H27" s="1"/>
  <c r="D30" i="5" s="1"/>
  <c r="A35" i="13"/>
  <c r="N37" i="5" l="1"/>
  <c r="H37"/>
  <c r="U37"/>
  <c r="G28" i="28"/>
  <c r="H28" s="1"/>
  <c r="D31" i="5" s="1"/>
  <c r="G80" i="28"/>
  <c r="H80" s="1"/>
  <c r="C31" i="5" s="1"/>
  <c r="U38" l="1"/>
  <c r="H38"/>
  <c r="N38"/>
  <c r="G81" i="28"/>
  <c r="H81" s="1"/>
  <c r="C32" i="5" s="1"/>
  <c r="G29" i="28"/>
  <c r="H29" s="1"/>
  <c r="D32" i="5" s="1"/>
  <c r="G30" i="28" l="1"/>
  <c r="H30" s="1"/>
  <c r="D33" i="5" s="1"/>
  <c r="G82" i="28"/>
  <c r="H82" s="1"/>
  <c r="C33" i="5" s="1"/>
  <c r="G83" i="28" l="1"/>
  <c r="H83" s="1"/>
  <c r="C34" i="5" s="1"/>
  <c r="G31" i="28"/>
  <c r="H31" s="1"/>
  <c r="D34" i="5" s="1"/>
  <c r="G32" i="28" l="1"/>
  <c r="H32" s="1"/>
  <c r="D35" i="5" s="1"/>
  <c r="G84" i="28"/>
  <c r="H84" s="1"/>
  <c r="C35" i="5" s="1"/>
  <c r="G85" i="28" l="1"/>
  <c r="H85" s="1"/>
  <c r="C36" i="5" s="1"/>
  <c r="G33" i="28"/>
  <c r="H33" s="1"/>
  <c r="D36" i="5" s="1"/>
  <c r="E35" l="1"/>
  <c r="F35" s="1"/>
  <c r="K35" s="1"/>
  <c r="G86" i="28"/>
  <c r="H86" s="1"/>
  <c r="C37" i="5" s="1"/>
  <c r="G87" i="28"/>
  <c r="H87" s="1"/>
  <c r="C38" i="5" s="1"/>
  <c r="G35" i="28"/>
  <c r="H35" s="1"/>
  <c r="D38" i="5" s="1"/>
  <c r="G34" i="28"/>
  <c r="H34" s="1"/>
  <c r="D37" i="5" s="1"/>
  <c r="O35" l="1"/>
  <c r="L29" i="36" s="1"/>
  <c r="V35" i="5"/>
  <c r="W35" s="1"/>
  <c r="A57" i="17" l="1"/>
  <c r="A58" l="1"/>
  <c r="A3" l="1"/>
  <c r="D56" i="30" l="1"/>
  <c r="E56" s="1"/>
  <c r="F56" s="1"/>
  <c r="G56" s="1"/>
  <c r="H56" s="1"/>
  <c r="I56" s="1"/>
  <c r="J56" s="1"/>
  <c r="K56" s="1"/>
  <c r="F27" i="5" l="1"/>
  <c r="K27" s="1"/>
  <c r="E28"/>
  <c r="F28" s="1"/>
  <c r="K28" s="1"/>
  <c r="E32"/>
  <c r="F32" s="1"/>
  <c r="K32" s="1"/>
  <c r="E36"/>
  <c r="F36" s="1"/>
  <c r="K36" s="1"/>
  <c r="F25"/>
  <c r="K25" s="1"/>
  <c r="E29"/>
  <c r="F29" s="1"/>
  <c r="K29" s="1"/>
  <c r="E30"/>
  <c r="F30" s="1"/>
  <c r="K30" s="1"/>
  <c r="F26"/>
  <c r="K26" s="1"/>
  <c r="E33"/>
  <c r="F33" s="1"/>
  <c r="K33" s="1"/>
  <c r="E34"/>
  <c r="F34" s="1"/>
  <c r="K34" s="1"/>
  <c r="E31"/>
  <c r="F31" s="1"/>
  <c r="K31" s="1"/>
  <c r="E37"/>
  <c r="F37" s="1"/>
  <c r="K37" s="1"/>
  <c r="E38" l="1"/>
  <c r="F38" s="1"/>
  <c r="K38" s="1"/>
  <c r="V37"/>
  <c r="W37" s="1"/>
  <c r="O37"/>
  <c r="L31" i="36" s="1"/>
  <c r="O34" i="5"/>
  <c r="L28" i="36" s="1"/>
  <c r="V34" i="5"/>
  <c r="W34" s="1"/>
  <c r="V32"/>
  <c r="W32" s="1"/>
  <c r="O32"/>
  <c r="L26" i="36" s="1"/>
  <c r="V30" i="5"/>
  <c r="W30" s="1"/>
  <c r="O30"/>
  <c r="L24" i="36" s="1"/>
  <c r="O28" i="5"/>
  <c r="L22" i="36" s="1"/>
  <c r="V28" i="5"/>
  <c r="W28" s="1"/>
  <c r="V26"/>
  <c r="W26" s="1"/>
  <c r="O26"/>
  <c r="L20" i="36" s="1"/>
  <c r="V25" i="5"/>
  <c r="W25" s="1"/>
  <c r="O25"/>
  <c r="L19" i="36" s="1"/>
  <c r="O36" i="5"/>
  <c r="L30" i="36" s="1"/>
  <c r="V36" i="5"/>
  <c r="W36" s="1"/>
  <c r="V33"/>
  <c r="W33" s="1"/>
  <c r="O33"/>
  <c r="L27" i="36" s="1"/>
  <c r="O31" i="5"/>
  <c r="L25" i="36" s="1"/>
  <c r="V31" i="5"/>
  <c r="W31" s="1"/>
  <c r="O29"/>
  <c r="V29"/>
  <c r="W29" s="1"/>
  <c r="O27"/>
  <c r="L21" i="36" s="1"/>
  <c r="V27" i="5"/>
  <c r="W27" s="1"/>
  <c r="K21" i="36" l="1"/>
  <c r="K20"/>
  <c r="K19"/>
  <c r="K22"/>
  <c r="K26"/>
  <c r="K30"/>
  <c r="K25"/>
  <c r="K29"/>
  <c r="K24"/>
  <c r="K28"/>
  <c r="O38" i="5"/>
  <c r="V38"/>
  <c r="W38" s="1"/>
  <c r="L23" i="36" l="1"/>
  <c r="K23" s="1"/>
  <c r="L32"/>
  <c r="K32" s="1"/>
  <c r="K27"/>
  <c r="K31"/>
  <c r="H58" i="17" l="1"/>
  <c r="F9" i="36" s="1"/>
  <c r="H57" i="17" l="1"/>
  <c r="F8" i="36" s="1"/>
  <c r="D57" i="17"/>
  <c r="E8" i="36" s="1"/>
  <c r="L57" i="17"/>
  <c r="L12" i="5" s="1"/>
  <c r="L58" i="17" l="1"/>
  <c r="D58"/>
  <c r="E9" i="36" s="1"/>
  <c r="X12" i="5"/>
  <c r="P12"/>
  <c r="M8" i="36" s="1"/>
  <c r="L13" i="5" l="1"/>
  <c r="P13" s="1"/>
  <c r="M9" i="36" s="1"/>
  <c r="Z12" i="5"/>
  <c r="X13"/>
  <c r="Z13" l="1"/>
  <c r="L67" i="17" l="1"/>
  <c r="L22" i="5" s="1"/>
  <c r="D67" i="17"/>
  <c r="E18" i="36" s="1"/>
  <c r="H67" i="17"/>
  <c r="F18" i="36" s="1"/>
  <c r="X22" i="5" l="1"/>
  <c r="P22"/>
  <c r="M18" i="36" l="1"/>
  <c r="Z22" i="5"/>
  <c r="I88" i="28" l="1"/>
  <c r="J88" s="1"/>
  <c r="K88" s="1"/>
  <c r="I38" i="5" l="1"/>
  <c r="J38" s="1"/>
  <c r="L38" s="1"/>
  <c r="I87" i="28"/>
  <c r="J87" s="1"/>
  <c r="K87" s="1"/>
  <c r="I30" i="5"/>
  <c r="J30" s="1"/>
  <c r="L30" s="1"/>
  <c r="I79" i="28"/>
  <c r="J79" s="1"/>
  <c r="K79" s="1"/>
  <c r="I31" i="5"/>
  <c r="J31" s="1"/>
  <c r="L31" s="1"/>
  <c r="I80" i="28"/>
  <c r="J80" s="1"/>
  <c r="K80" s="1"/>
  <c r="I27" i="5"/>
  <c r="J27" s="1"/>
  <c r="L27" s="1"/>
  <c r="I76" i="28"/>
  <c r="J76" s="1"/>
  <c r="K76" s="1"/>
  <c r="I25" i="5"/>
  <c r="J25" s="1"/>
  <c r="L25" s="1"/>
  <c r="I74" i="28"/>
  <c r="J74" s="1"/>
  <c r="K74" s="1"/>
  <c r="I36" i="5"/>
  <c r="J36" s="1"/>
  <c r="L36" s="1"/>
  <c r="I85" i="28"/>
  <c r="J85" s="1"/>
  <c r="K85" s="1"/>
  <c r="I34" i="5"/>
  <c r="J34" s="1"/>
  <c r="L34" s="1"/>
  <c r="I83" i="28"/>
  <c r="J83" s="1"/>
  <c r="K83" s="1"/>
  <c r="I29" i="5"/>
  <c r="J29" s="1"/>
  <c r="L29" s="1"/>
  <c r="I78" i="28"/>
  <c r="J78" s="1"/>
  <c r="K78" s="1"/>
  <c r="I28" i="5"/>
  <c r="J28" s="1"/>
  <c r="L28" s="1"/>
  <c r="I77" i="28"/>
  <c r="J77" s="1"/>
  <c r="K77" s="1"/>
  <c r="I35" i="5"/>
  <c r="J35" s="1"/>
  <c r="L35" s="1"/>
  <c r="I84" i="28"/>
  <c r="J84" s="1"/>
  <c r="K84" s="1"/>
  <c r="I37" i="5"/>
  <c r="J37" s="1"/>
  <c r="L37" s="1"/>
  <c r="I86" i="28"/>
  <c r="J86" s="1"/>
  <c r="K86" s="1"/>
  <c r="I33" i="5"/>
  <c r="J33" s="1"/>
  <c r="L33" s="1"/>
  <c r="I82" i="28"/>
  <c r="J82" s="1"/>
  <c r="K82" s="1"/>
  <c r="I32" i="5"/>
  <c r="J32" s="1"/>
  <c r="L32" s="1"/>
  <c r="I81" i="28"/>
  <c r="J81" s="1"/>
  <c r="K81" s="1"/>
  <c r="I26" i="5"/>
  <c r="J26" s="1"/>
  <c r="L26" s="1"/>
  <c r="I75" i="28"/>
  <c r="J75" s="1"/>
  <c r="K75" s="1"/>
  <c r="P32" i="5" l="1"/>
  <c r="X32"/>
  <c r="X37"/>
  <c r="P37"/>
  <c r="P28"/>
  <c r="X28"/>
  <c r="P34"/>
  <c r="X34"/>
  <c r="P27"/>
  <c r="X27"/>
  <c r="P26"/>
  <c r="X26"/>
  <c r="X33"/>
  <c r="P33"/>
  <c r="X30"/>
  <c r="P30"/>
  <c r="P35"/>
  <c r="X35"/>
  <c r="X29"/>
  <c r="P29"/>
  <c r="X36"/>
  <c r="P36"/>
  <c r="X25"/>
  <c r="P25"/>
  <c r="P31"/>
  <c r="X31"/>
  <c r="X38"/>
  <c r="P38"/>
  <c r="Z36" l="1"/>
  <c r="E30" i="36" s="1"/>
  <c r="F30" s="1"/>
  <c r="Y36" i="5"/>
  <c r="C30" i="36" s="1"/>
  <c r="D30" s="1"/>
  <c r="Z33" i="5"/>
  <c r="E27" i="36" s="1"/>
  <c r="F27" s="1"/>
  <c r="Y33" i="5"/>
  <c r="C27" i="36" s="1"/>
  <c r="D27" s="1"/>
  <c r="M21"/>
  <c r="H21" s="1"/>
  <c r="R27" i="5"/>
  <c r="Q27"/>
  <c r="S27"/>
  <c r="M22" i="36"/>
  <c r="H22" s="1"/>
  <c r="S28" i="5"/>
  <c r="R28"/>
  <c r="Q28"/>
  <c r="Y37"/>
  <c r="C31" i="36" s="1"/>
  <c r="D31" s="1"/>
  <c r="Z37" i="5"/>
  <c r="E31" i="36" s="1"/>
  <c r="F31" s="1"/>
  <c r="M25"/>
  <c r="H25" s="1"/>
  <c r="S31" i="5"/>
  <c r="R31"/>
  <c r="Q31"/>
  <c r="Y25"/>
  <c r="C19" i="36" s="1"/>
  <c r="D19" s="1"/>
  <c r="Z25" i="5"/>
  <c r="E19" i="36" s="1"/>
  <c r="Y29" i="5"/>
  <c r="C23" i="36" s="1"/>
  <c r="D23" s="1"/>
  <c r="Z29" i="5"/>
  <c r="E23" i="36" s="1"/>
  <c r="F23" s="1"/>
  <c r="Z30" i="5"/>
  <c r="E24" i="36" s="1"/>
  <c r="F24" s="1"/>
  <c r="Y30" i="5"/>
  <c r="C24" i="36" s="1"/>
  <c r="D24" s="1"/>
  <c r="R38" i="5"/>
  <c r="B35" i="13" s="1"/>
  <c r="M32" i="36"/>
  <c r="H32" s="1"/>
  <c r="S38" i="5"/>
  <c r="Q38"/>
  <c r="S36"/>
  <c r="M30" i="36"/>
  <c r="H30" s="1"/>
  <c r="R36" i="5"/>
  <c r="B33" i="13" s="1"/>
  <c r="E33" s="1"/>
  <c r="Q36" i="5"/>
  <c r="Y35"/>
  <c r="C29" i="36" s="1"/>
  <c r="D29" s="1"/>
  <c r="Z35" i="5"/>
  <c r="E29" i="36" s="1"/>
  <c r="F29" s="1"/>
  <c r="R33" i="5"/>
  <c r="S33"/>
  <c r="M27" i="36"/>
  <c r="H27" s="1"/>
  <c r="Q33" i="5"/>
  <c r="Z27"/>
  <c r="E21" i="36" s="1"/>
  <c r="F21" s="1"/>
  <c r="Y27" i="5"/>
  <c r="C21" i="36" s="1"/>
  <c r="D21" s="1"/>
  <c r="Y28" i="5"/>
  <c r="C22" i="36" s="1"/>
  <c r="D22" s="1"/>
  <c r="Z28" i="5"/>
  <c r="E22" i="36" s="1"/>
  <c r="F22" s="1"/>
  <c r="M31"/>
  <c r="H31" s="1"/>
  <c r="R37" i="5"/>
  <c r="B34" i="13" s="1"/>
  <c r="S37" i="5"/>
  <c r="Q37"/>
  <c r="Y38"/>
  <c r="C32" i="36" s="1"/>
  <c r="D32" s="1"/>
  <c r="Z38" i="5"/>
  <c r="E32" i="36" s="1"/>
  <c r="F32" s="1"/>
  <c r="M29"/>
  <c r="H29" s="1"/>
  <c r="Q35" i="5"/>
  <c r="R35"/>
  <c r="B32" i="13" s="1"/>
  <c r="E32" s="1"/>
  <c r="S35" i="5"/>
  <c r="Y31"/>
  <c r="C25" i="36" s="1"/>
  <c r="D25" s="1"/>
  <c r="Z31" i="5"/>
  <c r="E25" i="36" s="1"/>
  <c r="F25" s="1"/>
  <c r="M19"/>
  <c r="Q25" i="5"/>
  <c r="R25"/>
  <c r="S25"/>
  <c r="R29"/>
  <c r="S29"/>
  <c r="Q29"/>
  <c r="M23" i="36"/>
  <c r="H23" s="1"/>
  <c r="M24"/>
  <c r="H24" s="1"/>
  <c r="R30" i="5"/>
  <c r="Q30"/>
  <c r="S30"/>
  <c r="Z26"/>
  <c r="E20" i="36" s="1"/>
  <c r="F20" s="1"/>
  <c r="Y26" i="5"/>
  <c r="C20" i="36" s="1"/>
  <c r="D20" s="1"/>
  <c r="Z34" i="5"/>
  <c r="E28" i="36" s="1"/>
  <c r="F28" s="1"/>
  <c r="Y34" i="5"/>
  <c r="C28" i="36" s="1"/>
  <c r="D28" s="1"/>
  <c r="Y32" i="5"/>
  <c r="C26" i="36" s="1"/>
  <c r="D26" s="1"/>
  <c r="Z32" i="5"/>
  <c r="E26" i="36" s="1"/>
  <c r="F26" s="1"/>
  <c r="M20"/>
  <c r="H20" s="1"/>
  <c r="R26" i="5"/>
  <c r="S26"/>
  <c r="Q26"/>
  <c r="M28" i="36"/>
  <c r="H28" s="1"/>
  <c r="Q34" i="5"/>
  <c r="R34"/>
  <c r="B31" i="13" s="1"/>
  <c r="E31" s="1"/>
  <c r="S34" i="5"/>
  <c r="M26" i="36"/>
  <c r="H26" s="1"/>
  <c r="Q32" i="5"/>
  <c r="S32"/>
  <c r="R32"/>
  <c r="B29" i="13" l="1"/>
  <c r="E29" s="1"/>
  <c r="B27"/>
  <c r="E27" s="1"/>
  <c r="F19" i="36"/>
  <c r="F36" s="1"/>
  <c r="E36"/>
  <c r="H19"/>
  <c r="P8"/>
  <c r="B30" i="13"/>
  <c r="E30" s="1"/>
  <c r="B25"/>
  <c r="E25" s="1"/>
  <c r="B23"/>
  <c r="E23" s="1"/>
  <c r="B24"/>
  <c r="E24" s="1"/>
  <c r="B26"/>
  <c r="E26" s="1"/>
  <c r="B22"/>
  <c r="E22" s="1"/>
  <c r="B28"/>
  <c r="E28" s="1"/>
  <c r="C23" i="34" l="1"/>
  <c r="D13" i="5" s="1"/>
  <c r="V13" l="1"/>
  <c r="W13" s="1"/>
  <c r="O13"/>
  <c r="S13" l="1"/>
  <c r="L9" i="36"/>
  <c r="K9" s="1"/>
  <c r="H9" s="1"/>
  <c r="R13" i="5"/>
  <c r="B12" i="13" s="1"/>
  <c r="E12" s="1"/>
  <c r="Q13" i="5"/>
  <c r="L11" i="17"/>
  <c r="L41" s="1"/>
  <c r="I11"/>
  <c r="I41" s="1"/>
  <c r="Y13" i="5"/>
  <c r="B11" i="17"/>
  <c r="K11"/>
  <c r="K41" s="1"/>
  <c r="C11"/>
  <c r="C41" s="1"/>
  <c r="G11"/>
  <c r="D11"/>
  <c r="D41" s="1"/>
  <c r="J11"/>
  <c r="J41" s="1"/>
  <c r="F11"/>
  <c r="F41" s="1"/>
  <c r="H11"/>
  <c r="H41" s="1"/>
  <c r="E11"/>
  <c r="E41" s="1"/>
  <c r="M11"/>
  <c r="M41" s="1"/>
  <c r="B41" l="1"/>
  <c r="C58"/>
  <c r="C9" i="36" s="1"/>
  <c r="K58" i="17"/>
  <c r="G41"/>
  <c r="I58" s="1"/>
  <c r="G58"/>
  <c r="D9" i="36" s="1"/>
  <c r="M58" i="17" l="1"/>
  <c r="E58"/>
  <c r="E22" i="34" l="1"/>
  <c r="C22"/>
  <c r="D12" i="5" s="1"/>
  <c r="O12" l="1"/>
  <c r="V12"/>
  <c r="W12" s="1"/>
  <c r="K10" i="17" l="1"/>
  <c r="H10"/>
  <c r="J10"/>
  <c r="J40" s="1"/>
  <c r="L10"/>
  <c r="L40" s="1"/>
  <c r="Y12" i="5"/>
  <c r="I10" i="17"/>
  <c r="I40" s="1"/>
  <c r="M10"/>
  <c r="M40" s="1"/>
  <c r="L8" i="36"/>
  <c r="K8" s="1"/>
  <c r="R12" i="5"/>
  <c r="B11" i="13" s="1"/>
  <c r="Q12" i="5"/>
  <c r="S12"/>
  <c r="H8" i="36" l="1"/>
  <c r="H40" i="17"/>
  <c r="G57"/>
  <c r="D8" i="36" s="1"/>
  <c r="K57" i="17"/>
  <c r="E11" i="13"/>
  <c r="K40" i="17"/>
  <c r="E57" s="1"/>
  <c r="C57"/>
  <c r="C8" i="36" s="1"/>
  <c r="C24" i="34"/>
  <c r="D14" i="5" s="1"/>
  <c r="V14" l="1"/>
  <c r="W14" s="1"/>
  <c r="O14"/>
  <c r="I57" i="17"/>
  <c r="M57"/>
  <c r="L10" i="36" l="1"/>
  <c r="K10" s="1"/>
  <c r="Q14" i="5"/>
  <c r="R14"/>
  <c r="B13" i="13" s="1"/>
  <c r="S14" i="5"/>
  <c r="I12" i="17"/>
  <c r="I42" s="1"/>
  <c r="C12"/>
  <c r="C42" s="1"/>
  <c r="K12"/>
  <c r="K42" s="1"/>
  <c r="D12"/>
  <c r="D42" s="1"/>
  <c r="E12"/>
  <c r="E42" s="1"/>
  <c r="J12"/>
  <c r="J42" s="1"/>
  <c r="Y14" i="5"/>
  <c r="H12" i="17"/>
  <c r="H42" s="1"/>
  <c r="F12"/>
  <c r="F42" s="1"/>
  <c r="M12"/>
  <c r="M42" s="1"/>
  <c r="B12"/>
  <c r="G12"/>
  <c r="L12"/>
  <c r="L42" s="1"/>
  <c r="G59" l="1"/>
  <c r="D10" i="36" s="1"/>
  <c r="G42" i="17"/>
  <c r="I59" s="1"/>
  <c r="E13" i="13"/>
  <c r="B42" i="17"/>
  <c r="K59"/>
  <c r="C59"/>
  <c r="C10" i="36" s="1"/>
  <c r="H10"/>
  <c r="E59" i="17" l="1"/>
  <c r="M59"/>
  <c r="C25" i="34" l="1"/>
  <c r="D15" i="5" s="1"/>
  <c r="O15" l="1"/>
  <c r="V15"/>
  <c r="W15" s="1"/>
  <c r="Y15" l="1"/>
  <c r="J13" i="17"/>
  <c r="J43" s="1"/>
  <c r="G13"/>
  <c r="C13"/>
  <c r="C43" s="1"/>
  <c r="L13"/>
  <c r="L43" s="1"/>
  <c r="B13"/>
  <c r="D13"/>
  <c r="D43" s="1"/>
  <c r="E13"/>
  <c r="E43" s="1"/>
  <c r="I13"/>
  <c r="I43" s="1"/>
  <c r="M13"/>
  <c r="M43" s="1"/>
  <c r="K13"/>
  <c r="K43" s="1"/>
  <c r="F13"/>
  <c r="F43" s="1"/>
  <c r="H13"/>
  <c r="H43" s="1"/>
  <c r="S15" i="5"/>
  <c r="L11" i="36"/>
  <c r="K11" s="1"/>
  <c r="R15" i="5"/>
  <c r="B14" i="13" s="1"/>
  <c r="Q15" i="5"/>
  <c r="E14" i="13" l="1"/>
  <c r="C60" i="17"/>
  <c r="C11" i="36" s="1"/>
  <c r="K60" i="17"/>
  <c r="B43"/>
  <c r="H11" i="36"/>
  <c r="G43" i="17"/>
  <c r="I60" s="1"/>
  <c r="G60"/>
  <c r="D11" i="36" s="1"/>
  <c r="E60" i="17" l="1"/>
  <c r="M60"/>
  <c r="C26" i="34" l="1"/>
  <c r="D16" i="5" s="1"/>
  <c r="O16" l="1"/>
  <c r="V16"/>
  <c r="W16" s="1"/>
  <c r="Y16" l="1"/>
  <c r="L14" i="17"/>
  <c r="L44" s="1"/>
  <c r="F14"/>
  <c r="F44" s="1"/>
  <c r="E14"/>
  <c r="E44" s="1"/>
  <c r="B14"/>
  <c r="D14"/>
  <c r="D44" s="1"/>
  <c r="M14"/>
  <c r="M44" s="1"/>
  <c r="C14"/>
  <c r="C44" s="1"/>
  <c r="H14"/>
  <c r="H44" s="1"/>
  <c r="G14"/>
  <c r="K14"/>
  <c r="K44" s="1"/>
  <c r="I14"/>
  <c r="I44" s="1"/>
  <c r="J14"/>
  <c r="J44" s="1"/>
  <c r="Q16" i="5"/>
  <c r="L12" i="36"/>
  <c r="K12" s="1"/>
  <c r="S16" i="5"/>
  <c r="R16"/>
  <c r="B15" i="13" s="1"/>
  <c r="G44" i="17" l="1"/>
  <c r="I61" s="1"/>
  <c r="G61"/>
  <c r="D12" i="36" s="1"/>
  <c r="H12"/>
  <c r="E15" i="13"/>
  <c r="C61" i="17"/>
  <c r="C12" i="36" s="1"/>
  <c r="B44" i="17"/>
  <c r="K61"/>
  <c r="E61" l="1"/>
  <c r="M61"/>
  <c r="C27" i="34" l="1"/>
  <c r="D17" i="5" s="1"/>
  <c r="V17" s="1"/>
  <c r="W17" s="1"/>
  <c r="O17" l="1"/>
  <c r="S17" s="1"/>
  <c r="Y17"/>
  <c r="G15" i="17"/>
  <c r="F15"/>
  <c r="F45" s="1"/>
  <c r="K15"/>
  <c r="K45" s="1"/>
  <c r="E15"/>
  <c r="E45" s="1"/>
  <c r="H15"/>
  <c r="H45" s="1"/>
  <c r="B15"/>
  <c r="J15"/>
  <c r="J45" s="1"/>
  <c r="D15"/>
  <c r="D45" s="1"/>
  <c r="L15"/>
  <c r="L45" s="1"/>
  <c r="M15"/>
  <c r="M45" s="1"/>
  <c r="I15"/>
  <c r="I45" s="1"/>
  <c r="C15"/>
  <c r="C45" s="1"/>
  <c r="R17" i="5" l="1"/>
  <c r="B16" i="13" s="1"/>
  <c r="Q17" i="5"/>
  <c r="L13" i="36"/>
  <c r="K13" s="1"/>
  <c r="H13" s="1"/>
  <c r="B45" i="17"/>
  <c r="K62"/>
  <c r="C62"/>
  <c r="C13" i="36" s="1"/>
  <c r="E16" i="13"/>
  <c r="G45" i="17"/>
  <c r="I62" s="1"/>
  <c r="G62"/>
  <c r="D13" i="36" s="1"/>
  <c r="E62" i="17" l="1"/>
  <c r="M62"/>
  <c r="C28" i="34" l="1"/>
  <c r="D18" i="5" s="1"/>
  <c r="V18" l="1"/>
  <c r="W18" s="1"/>
  <c r="O18"/>
  <c r="S18" l="1"/>
  <c r="Q18"/>
  <c r="R18"/>
  <c r="B17" i="13" s="1"/>
  <c r="E17" s="1"/>
  <c r="L14" i="36"/>
  <c r="K14" s="1"/>
  <c r="H14" s="1"/>
  <c r="Y18" i="5"/>
  <c r="B16" i="17"/>
  <c r="E16"/>
  <c r="E46" s="1"/>
  <c r="J16"/>
  <c r="J46" s="1"/>
  <c r="D16"/>
  <c r="D46" s="1"/>
  <c r="L16"/>
  <c r="L46" s="1"/>
  <c r="K16"/>
  <c r="K46" s="1"/>
  <c r="M16"/>
  <c r="M46" s="1"/>
  <c r="F16"/>
  <c r="F46" s="1"/>
  <c r="I16"/>
  <c r="I46" s="1"/>
  <c r="C16"/>
  <c r="C46" s="1"/>
  <c r="H16"/>
  <c r="H46" s="1"/>
  <c r="G16"/>
  <c r="C63" l="1"/>
  <c r="C14" i="36" s="1"/>
  <c r="K63" i="17"/>
  <c r="B46"/>
  <c r="G63"/>
  <c r="D14" i="36" s="1"/>
  <c r="G46" i="17"/>
  <c r="I63" s="1"/>
  <c r="E63" l="1"/>
  <c r="M63"/>
  <c r="C29" i="34" l="1"/>
  <c r="D19" i="5" s="1"/>
  <c r="O19" l="1"/>
  <c r="V19"/>
  <c r="W19" s="1"/>
  <c r="H17" i="17" l="1"/>
  <c r="H47" s="1"/>
  <c r="E17"/>
  <c r="E47" s="1"/>
  <c r="K17"/>
  <c r="K47" s="1"/>
  <c r="L17"/>
  <c r="L47" s="1"/>
  <c r="G17"/>
  <c r="C17"/>
  <c r="C47" s="1"/>
  <c r="I17"/>
  <c r="I47" s="1"/>
  <c r="Y19" i="5"/>
  <c r="J17" i="17"/>
  <c r="J47" s="1"/>
  <c r="D17"/>
  <c r="D47" s="1"/>
  <c r="M17"/>
  <c r="M47" s="1"/>
  <c r="B17"/>
  <c r="F17"/>
  <c r="F47" s="1"/>
  <c r="R19" i="5"/>
  <c r="B18" i="13" s="1"/>
  <c r="E18" s="1"/>
  <c r="S19" i="5"/>
  <c r="Q19"/>
  <c r="L15" i="36"/>
  <c r="K15" s="1"/>
  <c r="H15" s="1"/>
  <c r="K64" i="17" l="1"/>
  <c r="C64"/>
  <c r="C15" i="36" s="1"/>
  <c r="B47" i="17"/>
  <c r="G47"/>
  <c r="I64" s="1"/>
  <c r="G64"/>
  <c r="D15" i="36" s="1"/>
  <c r="M64" i="17" l="1"/>
  <c r="E64"/>
  <c r="C30" i="34" l="1"/>
  <c r="D20" i="5" s="1"/>
  <c r="V20" l="1"/>
  <c r="W20" s="1"/>
  <c r="O20"/>
  <c r="Q20" l="1"/>
  <c r="S20"/>
  <c r="L16" i="36"/>
  <c r="K16" s="1"/>
  <c r="H16" s="1"/>
  <c r="R20" i="5"/>
  <c r="B19" i="13" s="1"/>
  <c r="E19" s="1"/>
  <c r="Y20" i="5"/>
  <c r="G18" i="17"/>
  <c r="B18"/>
  <c r="I18"/>
  <c r="I48" s="1"/>
  <c r="J18"/>
  <c r="J48" s="1"/>
  <c r="E18"/>
  <c r="E48" s="1"/>
  <c r="L18"/>
  <c r="L48" s="1"/>
  <c r="M18"/>
  <c r="M48" s="1"/>
  <c r="D18"/>
  <c r="D48" s="1"/>
  <c r="C18"/>
  <c r="C48" s="1"/>
  <c r="F18"/>
  <c r="F48" s="1"/>
  <c r="H18"/>
  <c r="H48" s="1"/>
  <c r="K18"/>
  <c r="K48" s="1"/>
  <c r="B48" l="1"/>
  <c r="K65"/>
  <c r="C65"/>
  <c r="C16" i="36" s="1"/>
  <c r="G65" i="17"/>
  <c r="D16" i="36" s="1"/>
  <c r="G48" i="17"/>
  <c r="I65" s="1"/>
  <c r="E65" l="1"/>
  <c r="M65"/>
  <c r="C31" i="34" l="1"/>
  <c r="D21" i="5" s="1"/>
  <c r="O21" l="1"/>
  <c r="V21"/>
  <c r="W21" s="1"/>
  <c r="Q21" l="1"/>
  <c r="R21"/>
  <c r="B20" i="13" s="1"/>
  <c r="E20" s="1"/>
  <c r="S21" i="5"/>
  <c r="L17" i="36"/>
  <c r="K17" s="1"/>
  <c r="H17" s="1"/>
  <c r="Y21" i="5"/>
  <c r="F19" i="17"/>
  <c r="F49" s="1"/>
  <c r="B19"/>
  <c r="M19"/>
  <c r="M49" s="1"/>
  <c r="E19"/>
  <c r="E49" s="1"/>
  <c r="J19"/>
  <c r="J49" s="1"/>
  <c r="G19"/>
  <c r="C19"/>
  <c r="C49" s="1"/>
  <c r="K19"/>
  <c r="K49" s="1"/>
  <c r="H19"/>
  <c r="H49" s="1"/>
  <c r="I19"/>
  <c r="I49" s="1"/>
  <c r="D19"/>
  <c r="D49" s="1"/>
  <c r="L19"/>
  <c r="L49" s="1"/>
  <c r="G49" l="1"/>
  <c r="I66" s="1"/>
  <c r="G66"/>
  <c r="D17" i="36" s="1"/>
  <c r="K66" i="17"/>
  <c r="C66"/>
  <c r="C17" i="36" s="1"/>
  <c r="B49" i="17"/>
  <c r="M66" l="1"/>
  <c r="E66"/>
  <c r="C32" i="34" l="1"/>
  <c r="D22" i="5" s="1"/>
  <c r="O22" l="1"/>
  <c r="V22"/>
  <c r="W22" s="1"/>
  <c r="M20" i="17" l="1"/>
  <c r="M50" s="1"/>
  <c r="L20"/>
  <c r="L50" s="1"/>
  <c r="G20"/>
  <c r="H20"/>
  <c r="H50" s="1"/>
  <c r="K20"/>
  <c r="K50" s="1"/>
  <c r="J20"/>
  <c r="J50" s="1"/>
  <c r="B20"/>
  <c r="E20"/>
  <c r="E50" s="1"/>
  <c r="I20"/>
  <c r="I50" s="1"/>
  <c r="D20"/>
  <c r="D50" s="1"/>
  <c r="C20"/>
  <c r="C50" s="1"/>
  <c r="Y22" i="5"/>
  <c r="F20" i="17"/>
  <c r="F50" s="1"/>
  <c r="Q22" i="5"/>
  <c r="L18" i="36"/>
  <c r="K18" s="1"/>
  <c r="R22" i="5"/>
  <c r="B21" i="13" s="1"/>
  <c r="S22" i="5"/>
  <c r="E21" i="13" l="1"/>
  <c r="B38"/>
  <c r="E38" s="1"/>
  <c r="H18" i="36"/>
  <c r="H36" s="1"/>
  <c r="O8"/>
  <c r="C67" i="17"/>
  <c r="C18" i="36" s="1"/>
  <c r="C36" s="1"/>
  <c r="K67" i="17"/>
  <c r="B50"/>
  <c r="G67"/>
  <c r="D18" i="36" s="1"/>
  <c r="D36" s="1"/>
  <c r="G50" i="17"/>
  <c r="I67" s="1"/>
  <c r="M67" l="1"/>
  <c r="E67"/>
</calcChain>
</file>

<file path=xl/sharedStrings.xml><?xml version="1.0" encoding="utf-8"?>
<sst xmlns="http://schemas.openxmlformats.org/spreadsheetml/2006/main" count="359" uniqueCount="197">
  <si>
    <t>On-Peak Hours</t>
  </si>
  <si>
    <t>On-Peak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</si>
  <si>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</si>
  <si>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</si>
  <si>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</si>
  <si>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</si>
  <si>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</si>
  <si>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</si>
  <si>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</si>
  <si>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</si>
  <si>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</si>
  <si>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</si>
  <si>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</si>
  <si>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</si>
  <si>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</si>
  <si>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</si>
  <si>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</si>
  <si>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</si>
  <si>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</si>
  <si>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Total Avoided Costs</t>
  </si>
  <si>
    <t>At Stated Capacity Factor</t>
  </si>
  <si>
    <t>Total Avoided 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</si>
  <si>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</si>
  <si>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</si>
  <si>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</si>
  <si>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</si>
  <si>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</si>
  <si>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</si>
  <si>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</si>
  <si>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</si>
  <si>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</si>
  <si>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</si>
  <si>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</si>
  <si>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On- &amp; Off- Peak Energy Prices</t>
  </si>
  <si>
    <t>(f)</t>
  </si>
  <si>
    <t>Fuel Cost</t>
  </si>
  <si>
    <t>Table 3</t>
  </si>
  <si>
    <t>Table 4</t>
  </si>
  <si>
    <t>Table 5</t>
  </si>
  <si>
    <t>Table 6</t>
  </si>
  <si>
    <t>Table 7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</si>
  <si>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</si>
  <si>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</si>
  <si>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</si>
  <si>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</si>
  <si>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</si>
  <si>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</si>
  <si>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</si>
  <si>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</si>
  <si>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</si>
  <si>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</si>
  <si>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</si>
  <si>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</si>
  <si>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</si>
  <si>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</si>
  <si>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</si>
  <si>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</si>
  <si>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</si>
  <si>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</si>
  <si>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</si>
  <si>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</si>
  <si>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</si>
  <si>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</si>
  <si>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</si>
  <si>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</si>
  <si>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</si>
  <si>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</si>
  <si>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</si>
  <si>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</si>
  <si>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</si>
  <si>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Current</t>
  </si>
  <si>
    <t>Avoided Costs</t>
  </si>
  <si>
    <t>Proposed</t>
  </si>
  <si>
    <t>Comparison between Proposed and Current Avoided Costs</t>
  </si>
  <si>
    <t xml:space="preserve"> </t>
  </si>
  <si>
    <t>Total Price @</t>
  </si>
  <si>
    <t>Price</t>
  </si>
  <si>
    <t>Capacity Factor</t>
  </si>
  <si>
    <t>Annual Seasonal Average</t>
  </si>
  <si>
    <t>Annual Average</t>
  </si>
  <si>
    <t>¢/kWh</t>
  </si>
  <si>
    <t>Cap Cost</t>
  </si>
  <si>
    <t>Fixed</t>
  </si>
  <si>
    <t>Heat Rate</t>
  </si>
  <si>
    <t>MW</t>
  </si>
  <si>
    <t>Table 1</t>
  </si>
  <si>
    <t xml:space="preserve"> $/kW-yr</t>
  </si>
  <si>
    <t>Table 2</t>
  </si>
  <si>
    <t>Percent</t>
  </si>
  <si>
    <t>CCCT Statistics</t>
  </si>
  <si>
    <t>Capacity Weighted</t>
  </si>
  <si>
    <t>CF</t>
  </si>
  <si>
    <t>Energy Weighted</t>
  </si>
  <si>
    <t>Fixed Cost x No. Months</t>
  </si>
  <si>
    <t>Fixed Cost</t>
  </si>
  <si>
    <t>Peak</t>
  </si>
  <si>
    <t>Source:</t>
  </si>
  <si>
    <t>Blended Resource</t>
  </si>
  <si>
    <t>Table 8</t>
  </si>
  <si>
    <t>Total Cost of Displaceable Resources</t>
  </si>
  <si>
    <t>Page 1 of 3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</si>
  <si>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</si>
  <si>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</si>
  <si>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</si>
  <si>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</si>
  <si>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</si>
  <si>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</si>
  <si>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</si>
  <si>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CCCT</t>
  </si>
  <si>
    <t>Duct Firing</t>
  </si>
  <si>
    <t>Table 9</t>
  </si>
  <si>
    <t>Burnertip</t>
  </si>
  <si>
    <t>Source</t>
  </si>
  <si>
    <t>Gas Fuel Costs</t>
  </si>
  <si>
    <t>Delivered</t>
  </si>
  <si>
    <t xml:space="preserve">Combined </t>
  </si>
  <si>
    <t>Note:</t>
  </si>
  <si>
    <t>Avoided Costs (1)</t>
  </si>
  <si>
    <t xml:space="preserve">     by QFs will depend upon actual generation levels.</t>
  </si>
  <si>
    <t>Total Avoided Costs with Capacity Costs included at 85% Capacity Factor</t>
  </si>
  <si>
    <t xml:space="preserve">(1)  Avoided costs are presented at expected levels.  Actual prices received </t>
  </si>
  <si>
    <t>East Side Gas</t>
  </si>
  <si>
    <t>Natural Gas Price - Delivered to Plant</t>
  </si>
  <si>
    <t>($/MWH)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</si>
  <si>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</si>
  <si>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</si>
  <si>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</si>
  <si>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</si>
  <si>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</si>
  <si>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</si>
  <si>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</si>
  <si>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</si>
  <si>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>month offset</t>
  </si>
  <si>
    <t xml:space="preserve">  Heat Rate in btu/kWh</t>
  </si>
  <si>
    <t xml:space="preserve">  Energy Weighted Capacity Factor</t>
  </si>
  <si>
    <t>Month</t>
  </si>
  <si>
    <t>Load and Resource (L&amp;R) Balance</t>
  </si>
  <si>
    <t>Peak (MW)</t>
  </si>
  <si>
    <t>Table 11</t>
  </si>
  <si>
    <t>Deficit</t>
  </si>
  <si>
    <t>Months / Year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</si>
  <si>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</si>
  <si>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</si>
  <si>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</si>
  <si>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</si>
  <si>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</si>
  <si>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</si>
  <si>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</si>
  <si>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 xml:space="preserve">Deliveries </t>
  </si>
  <si>
    <t xml:space="preserve">During </t>
  </si>
  <si>
    <t>Calendar Year</t>
  </si>
  <si>
    <t>Peak Energy Prices (¢/kWh)</t>
  </si>
  <si>
    <t>Off-Peak Energy Prices (¢/kWh)</t>
  </si>
  <si>
    <t xml:space="preserve">Deliveries During </t>
  </si>
  <si>
    <t xml:space="preserve"> $/kW-Mo</t>
  </si>
  <si>
    <t>All kWh</t>
  </si>
  <si>
    <t>Price (a)</t>
  </si>
  <si>
    <t xml:space="preserve">Capacity </t>
  </si>
  <si>
    <t>Energy Price</t>
  </si>
  <si>
    <t>Non-Levelized Prices</t>
  </si>
  <si>
    <t>Levelized Prices</t>
  </si>
  <si>
    <t>On-Peak (Average Energy plus Capacity Payments)</t>
  </si>
  <si>
    <t>Off-Peak (Average Energy Costs)</t>
  </si>
  <si>
    <t>IRP Preferred Portfolio</t>
  </si>
  <si>
    <t>Excerpt from 2013 IRP Table 8.7</t>
  </si>
  <si>
    <t>Discount Rate - 2013 IRP Page 164</t>
  </si>
  <si>
    <t>Combined ( 57% On-Peak 43% Off-Peak)</t>
  </si>
  <si>
    <t xml:space="preserve">   Peak</t>
  </si>
  <si>
    <t xml:space="preserve">   Off-Peak</t>
  </si>
  <si>
    <t xml:space="preserve">   Combined</t>
  </si>
  <si>
    <t>Plant Costs  - 2013 IRP - Table 6.1 &amp; 6.2</t>
  </si>
  <si>
    <t>CCCT Dry "J", Adv 1x1 - East Side Resource (5,050')</t>
  </si>
  <si>
    <t>CCCT Dry "J" - Duct Firing</t>
  </si>
  <si>
    <t>CCCT Dry "J" - Turbine</t>
  </si>
  <si>
    <t xml:space="preserve">  Fixed O&amp;M &amp; Capitalized O&amp;M</t>
  </si>
  <si>
    <t xml:space="preserve">  Variable O&amp;M Costs &amp; Capitalized Variable O&amp;M ($/MWh)</t>
  </si>
  <si>
    <t>Capacity Deficit Months per Year</t>
  </si>
  <si>
    <t xml:space="preserve">Capacity deficit months per year is a count of the number of months each year </t>
  </si>
  <si>
    <t xml:space="preserve">that the Company is capacity deficit.  Positive values reflect months when the </t>
  </si>
  <si>
    <t>Company is capacity surplus.  Negative values reflect months when the Company</t>
  </si>
  <si>
    <t xml:space="preserve">is capacity deficit. </t>
  </si>
  <si>
    <t>IRP Proxy Resource On-Line Year; QF receives long-run avoided cost</t>
  </si>
  <si>
    <t xml:space="preserve">    For partial year 2013, capacity is allocated across 4,416 hours</t>
  </si>
  <si>
    <t>Included</t>
  </si>
  <si>
    <t xml:space="preserve">  Schedule 37 avoided costs approved December 14, 2011</t>
  </si>
  <si>
    <t>Combined costs are 57% on-peak 43% off-peak</t>
  </si>
  <si>
    <t xml:space="preserve">  Capitalized energy split 50% as ordered in Docket No. 03-035-14</t>
  </si>
  <si>
    <t>(2)  2013 IRP discount rate</t>
  </si>
  <si>
    <t>Official Forward Price Curve dated March 2013</t>
  </si>
  <si>
    <t>Average energy costs from GRID production cost model study</t>
  </si>
  <si>
    <t>SCCT Frame UT (SCCT Frame "F" x 1 - 4,250')</t>
  </si>
  <si>
    <t xml:space="preserve">  Plant Capacity Cost - in $/kW</t>
  </si>
  <si>
    <t xml:space="preserve">  MW Plant Capacity</t>
  </si>
  <si>
    <t xml:space="preserve">  Fixed O&amp;M Including Fixed Pipeline &amp; Capitalized O&amp;M ($/kW-Yr)</t>
  </si>
  <si>
    <t xml:space="preserve">  Plant Capacity Cost</t>
  </si>
  <si>
    <t>The 2013 IRP was prepared using a 13% planning reserve margin.  See 2013 IRP, page 162.</t>
  </si>
  <si>
    <t>Prices on this tab are formatted to be cut and pasted directly into the tariff page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</si>
</sst>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mmm"/>
    <numFmt numFmtId="172" formatCode="&quot;$&quot;###0;[Red]\(&quot;$&quot;###0\)"/>
    <numFmt numFmtId="173" formatCode="_(&quot;$&quot;* #,##0_);_(&quot;$&quot;* \(#,##0\);_(&quot;$&quot;* &quot;-&quot;??_);_(@_)"/>
    <numFmt numFmtId="174" formatCode="_(* #,##0.000_);_(* \(#,##0.000\);_(* &quot;-&quot;_);_(@_)"/>
    <numFmt numFmtId="175" formatCode="&quot;$&quot;#,##0.000_);[Red]\(&quot;$&quot;#,##0.000\)"/>
    <numFmt numFmtId="176" formatCode="_(* #,##0_);[Red]_(* \(#,##0\);_(* &quot;-&quot;_);_(@_)"/>
    <numFmt numFmtId="177" formatCode="0.000"/>
    <numFmt numFmtId="178" formatCode="_(* #,##0.00_);[Red]_(* \(#,##0.00\);_(* &quot;-&quot;_);_(@_)"/>
    <numFmt numFmtId="179" formatCode="0.000%"/>
    <numFmt numFmtId="180" formatCode="#,##0.000_);\(#,##0.000\)"/>
  </numFmts>
  <fonts count="26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176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5" fillId="0" borderId="0" applyFont="0" applyFill="0" applyBorder="0" applyProtection="0">
      <alignment horizontal="right"/>
    </xf>
    <xf numFmtId="0" fontId="14" fillId="0" borderId="0" applyNumberFormat="0" applyFill="0" applyBorder="0" applyAlignment="0">
      <protection locked="0"/>
    </xf>
    <xf numFmtId="165" fontId="16" fillId="0" borderId="0" applyNumberFormat="0" applyFill="0" applyBorder="0" applyAlignment="0" applyProtection="0"/>
    <xf numFmtId="0" fontId="17" fillId="0" borderId="1" applyNumberFormat="0" applyBorder="0" applyAlignment="0"/>
    <xf numFmtId="41" fontId="3" fillId="0" borderId="0"/>
    <xf numFmtId="0" fontId="3" fillId="0" borderId="0"/>
    <xf numFmtId="176" fontId="3" fillId="0" borderId="0"/>
    <xf numFmtId="0" fontId="1" fillId="0" borderId="0"/>
    <xf numFmtId="176" fontId="1" fillId="0" borderId="0"/>
    <xf numFmtId="12" fontId="13" fillId="2" borderId="2">
      <alignment horizontal="left"/>
    </xf>
    <xf numFmtId="9" fontId="1" fillId="0" borderId="0" applyFont="0" applyFill="0" applyBorder="0" applyAlignment="0" applyProtection="0"/>
    <xf numFmtId="37" fontId="17" fillId="3" borderId="0" applyNumberFormat="0" applyBorder="0" applyAlignment="0" applyProtection="0"/>
    <xf numFmtId="37" fontId="18" fillId="0" borderId="0"/>
    <xf numFmtId="3" fontId="19" fillId="4" borderId="3" applyProtection="0"/>
    <xf numFmtId="176" fontId="1" fillId="0" borderId="0"/>
  </cellStyleXfs>
  <cellXfs count="288">
    <xf numFmtId="176" fontId="0" fillId="0" borderId="0" xfId="0"/>
    <xf numFmtId="176" fontId="4" fillId="0" borderId="0" xfId="0" applyFont="1" applyFill="1" applyAlignment="1">
      <alignment horizontal="centerContinuous"/>
    </xf>
    <xf numFmtId="176" fontId="12" fillId="0" borderId="0" xfId="0" applyFont="1" applyFill="1" applyAlignment="1">
      <alignment horizontal="centerContinuous"/>
    </xf>
    <xf numFmtId="176" fontId="5" fillId="0" borderId="0" xfId="0" applyFont="1" applyFill="1" applyAlignment="1">
      <alignment horizontal="centerContinuous"/>
    </xf>
    <xf numFmtId="8" fontId="7" fillId="0" borderId="0" xfId="0" applyNumberFormat="1" applyFont="1" applyFill="1" applyAlignment="1">
      <alignment horizontal="center"/>
    </xf>
    <xf numFmtId="176" fontId="8" fillId="0" borderId="0" xfId="0" applyFont="1" applyFill="1"/>
    <xf numFmtId="176" fontId="8" fillId="0" borderId="0" xfId="0" applyFont="1" applyFill="1" applyAlignment="1">
      <alignment horizontal="centerContinuous"/>
    </xf>
    <xf numFmtId="176" fontId="9" fillId="0" borderId="0" xfId="0" applyFont="1" applyFill="1"/>
    <xf numFmtId="176" fontId="4" fillId="0" borderId="0" xfId="0" applyFont="1" applyFill="1" applyBorder="1" applyAlignment="1">
      <alignment horizontal="center"/>
    </xf>
    <xf numFmtId="176" fontId="5" fillId="0" borderId="0" xfId="0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Continuous"/>
    </xf>
    <xf numFmtId="176" fontId="7" fillId="0" borderId="0" xfId="0" quotePrefix="1" applyFont="1" applyFill="1" applyAlignment="1">
      <alignment horizontal="center"/>
    </xf>
    <xf numFmtId="8" fontId="7" fillId="0" borderId="0" xfId="0" applyNumberFormat="1" applyFont="1" applyFill="1" applyAlignment="1"/>
    <xf numFmtId="176" fontId="2" fillId="0" borderId="0" xfId="0" applyFont="1" applyFill="1" applyBorder="1" applyAlignment="1">
      <alignment horizontal="left"/>
    </xf>
    <xf numFmtId="176" fontId="9" fillId="0" borderId="0" xfId="0" applyFont="1" applyFill="1" applyAlignment="1">
      <alignment horizontal="centerContinuous"/>
    </xf>
    <xf numFmtId="176" fontId="4" fillId="0" borderId="0" xfId="0" applyFont="1" applyFill="1" applyBorder="1" applyAlignment="1">
      <alignment horizontal="centerContinuous"/>
    </xf>
    <xf numFmtId="176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69" fontId="10" fillId="0" borderId="0" xfId="13" applyNumberFormat="1" applyFont="1" applyFill="1"/>
    <xf numFmtId="41" fontId="10" fillId="0" borderId="0" xfId="7" applyFont="1" applyFill="1"/>
    <xf numFmtId="164" fontId="10" fillId="0" borderId="0" xfId="7" applyNumberFormat="1" applyFont="1" applyFill="1"/>
    <xf numFmtId="176" fontId="6" fillId="0" borderId="0" xfId="0" applyFont="1" applyFill="1" applyBorder="1" applyAlignment="1">
      <alignment horizontal="center"/>
    </xf>
    <xf numFmtId="176" fontId="6" fillId="0" borderId="0" xfId="0" quotePrefix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76" fontId="4" fillId="0" borderId="0" xfId="9" applyFont="1" applyFill="1" applyAlignment="1">
      <alignment horizontal="centerContinuous"/>
    </xf>
    <xf numFmtId="176" fontId="2" fillId="0" borderId="4" xfId="9" applyFont="1" applyFill="1" applyBorder="1" applyAlignment="1">
      <alignment horizontal="center"/>
    </xf>
    <xf numFmtId="176" fontId="2" fillId="0" borderId="4" xfId="9" applyFont="1" applyFill="1" applyBorder="1" applyAlignment="1">
      <alignment horizontal="center" wrapText="1"/>
    </xf>
    <xf numFmtId="176" fontId="12" fillId="0" borderId="10" xfId="9" applyFont="1" applyFill="1" applyBorder="1" applyAlignment="1">
      <alignment horizontal="centerContinuous"/>
    </xf>
    <xf numFmtId="176" fontId="20" fillId="0" borderId="10" xfId="9" quotePrefix="1" applyFont="1" applyFill="1" applyBorder="1" applyAlignment="1">
      <alignment horizontal="center" wrapText="1"/>
    </xf>
    <xf numFmtId="176" fontId="20" fillId="0" borderId="10" xfId="9" applyFont="1" applyFill="1" applyBorder="1" applyAlignment="1">
      <alignment horizontal="center" wrapText="1"/>
    </xf>
    <xf numFmtId="176" fontId="6" fillId="0" borderId="0" xfId="9" quotePrefix="1" applyFont="1" applyFill="1" applyBorder="1" applyAlignment="1">
      <alignment horizontal="center"/>
    </xf>
    <xf numFmtId="176" fontId="21" fillId="0" borderId="0" xfId="9" applyFont="1" applyFill="1" applyBorder="1"/>
    <xf numFmtId="176" fontId="2" fillId="0" borderId="19" xfId="9" applyFont="1" applyFill="1" applyBorder="1" applyAlignment="1">
      <alignment horizontal="centerContinuous"/>
    </xf>
    <xf numFmtId="176" fontId="2" fillId="0" borderId="20" xfId="9" applyFont="1" applyFill="1" applyBorder="1" applyAlignment="1">
      <alignment horizontal="centerContinuous"/>
    </xf>
    <xf numFmtId="176" fontId="2" fillId="0" borderId="21" xfId="9" applyFont="1" applyFill="1" applyBorder="1" applyAlignment="1">
      <alignment horizontal="centerContinuous"/>
    </xf>
    <xf numFmtId="41" fontId="2" fillId="0" borderId="20" xfId="7" applyFont="1" applyFill="1" applyBorder="1" applyAlignment="1">
      <alignment horizontal="centerContinuous"/>
    </xf>
    <xf numFmtId="41" fontId="2" fillId="0" borderId="22" xfId="7" applyFont="1" applyFill="1" applyBorder="1" applyAlignment="1">
      <alignment horizontal="centerContinuous"/>
    </xf>
    <xf numFmtId="176" fontId="5" fillId="0" borderId="0" xfId="9" applyFont="1" applyFill="1" applyAlignment="1">
      <alignment horizontal="centerContinuous"/>
    </xf>
    <xf numFmtId="176" fontId="2" fillId="0" borderId="0" xfId="9" applyFont="1" applyFill="1" applyAlignment="1">
      <alignment horizontal="centerContinuous"/>
    </xf>
    <xf numFmtId="176" fontId="2" fillId="0" borderId="11" xfId="9" applyFont="1" applyFill="1" applyBorder="1" applyAlignment="1">
      <alignment horizontal="centerContinuous"/>
    </xf>
    <xf numFmtId="176" fontId="2" fillId="0" borderId="5" xfId="9" applyFont="1" applyFill="1" applyBorder="1" applyAlignment="1">
      <alignment horizontal="centerContinuous"/>
    </xf>
    <xf numFmtId="176" fontId="2" fillId="0" borderId="11" xfId="9" applyFont="1" applyFill="1" applyBorder="1" applyAlignment="1">
      <alignment horizontal="center"/>
    </xf>
    <xf numFmtId="41" fontId="10" fillId="0" borderId="0" xfId="9" applyNumberFormat="1" applyFont="1" applyFill="1"/>
    <xf numFmtId="6" fontId="10" fillId="0" borderId="0" xfId="2" applyNumberFormat="1" applyFont="1" applyFill="1"/>
    <xf numFmtId="8" fontId="10" fillId="0" borderId="0" xfId="2" applyNumberFormat="1" applyFont="1" applyFill="1"/>
    <xf numFmtId="176" fontId="10" fillId="0" borderId="0" xfId="9" applyFont="1" applyFill="1"/>
    <xf numFmtId="43" fontId="10" fillId="0" borderId="0" xfId="2" applyNumberFormat="1" applyFont="1" applyFill="1"/>
    <xf numFmtId="164" fontId="6" fillId="0" borderId="0" xfId="9" applyNumberFormat="1" applyFont="1" applyFill="1" applyAlignment="1">
      <alignment horizontal="right"/>
    </xf>
    <xf numFmtId="176" fontId="2" fillId="0" borderId="8" xfId="9" applyFont="1" applyFill="1" applyBorder="1" applyAlignment="1">
      <alignment horizontal="centerContinuous"/>
    </xf>
    <xf numFmtId="176" fontId="2" fillId="0" borderId="6" xfId="9" applyFont="1" applyFill="1" applyBorder="1" applyAlignment="1">
      <alignment horizontal="center"/>
    </xf>
    <xf numFmtId="176" fontId="2" fillId="0" borderId="10" xfId="9" applyFont="1" applyFill="1" applyBorder="1" applyAlignment="1">
      <alignment horizontal="center"/>
    </xf>
    <xf numFmtId="176" fontId="22" fillId="0" borderId="0" xfId="9" applyFont="1" applyFill="1" applyAlignment="1">
      <alignment horizontal="left"/>
    </xf>
    <xf numFmtId="167" fontId="7" fillId="0" borderId="0" xfId="0" applyNumberFormat="1" applyFont="1" applyFill="1" applyBorder="1" applyAlignment="1">
      <alignment horizontal="center"/>
    </xf>
    <xf numFmtId="176" fontId="4" fillId="0" borderId="0" xfId="11" applyFont="1" applyAlignment="1">
      <alignment horizontal="centerContinuous"/>
    </xf>
    <xf numFmtId="176" fontId="11" fillId="0" borderId="0" xfId="11" applyFont="1"/>
    <xf numFmtId="176" fontId="3" fillId="0" borderId="0" xfId="11" applyFont="1"/>
    <xf numFmtId="169" fontId="3" fillId="0" borderId="0" xfId="13" applyNumberFormat="1" applyFont="1"/>
    <xf numFmtId="176" fontId="6" fillId="0" borderId="10" xfId="0" quotePrefix="1" applyFont="1" applyFill="1" applyBorder="1" applyAlignment="1">
      <alignment horizontal="center"/>
    </xf>
    <xf numFmtId="176" fontId="3" fillId="0" borderId="0" xfId="0" applyFont="1"/>
    <xf numFmtId="171" fontId="6" fillId="0" borderId="0" xfId="0" quotePrefix="1" applyNumberFormat="1" applyFont="1" applyAlignment="1">
      <alignment horizontal="center"/>
    </xf>
    <xf numFmtId="164" fontId="3" fillId="0" borderId="0" xfId="0" applyNumberFormat="1" applyFont="1"/>
    <xf numFmtId="164" fontId="10" fillId="0" borderId="0" xfId="0" applyNumberFormat="1" applyFont="1"/>
    <xf numFmtId="1" fontId="3" fillId="0" borderId="0" xfId="0" applyNumberFormat="1" applyFont="1" applyFill="1"/>
    <xf numFmtId="41" fontId="10" fillId="0" borderId="0" xfId="9" applyNumberFormat="1" applyFont="1" applyFill="1" applyAlignment="1">
      <alignment horizontal="center"/>
    </xf>
    <xf numFmtId="176" fontId="2" fillId="0" borderId="20" xfId="0" applyFont="1" applyFill="1" applyBorder="1" applyAlignment="1">
      <alignment horizontal="centerContinuous"/>
    </xf>
    <xf numFmtId="176" fontId="2" fillId="0" borderId="23" xfId="0" applyFont="1" applyFill="1" applyBorder="1" applyAlignment="1">
      <alignment horizontal="centerContinuous"/>
    </xf>
    <xf numFmtId="176" fontId="0" fillId="0" borderId="0" xfId="9" applyFont="1" applyFill="1"/>
    <xf numFmtId="0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1" xfId="0" applyFont="1" applyFill="1" applyBorder="1" applyAlignment="1">
      <alignment horizontal="center"/>
    </xf>
    <xf numFmtId="176" fontId="0" fillId="0" borderId="5" xfId="0" applyFont="1" applyFill="1" applyBorder="1" applyAlignment="1">
      <alignment horizontal="centerContinuous"/>
    </xf>
    <xf numFmtId="176" fontId="0" fillId="0" borderId="17" xfId="0" applyFont="1" applyFill="1" applyBorder="1" applyAlignment="1">
      <alignment horizontal="centerContinuous"/>
    </xf>
    <xf numFmtId="176" fontId="0" fillId="0" borderId="0" xfId="0" applyFont="1" applyFill="1"/>
    <xf numFmtId="173" fontId="0" fillId="0" borderId="0" xfId="2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64" fontId="0" fillId="0" borderId="0" xfId="0" applyNumberFormat="1" applyFont="1" applyFill="1"/>
    <xf numFmtId="9" fontId="0" fillId="0" borderId="0" xfId="0" applyNumberFormat="1" applyFont="1" applyFill="1"/>
    <xf numFmtId="169" fontId="0" fillId="0" borderId="0" xfId="13" applyNumberFormat="1" applyFont="1" applyFill="1"/>
    <xf numFmtId="169" fontId="0" fillId="0" borderId="0" xfId="0" applyNumberFormat="1" applyFont="1" applyFill="1"/>
    <xf numFmtId="43" fontId="0" fillId="0" borderId="0" xfId="1" applyFont="1" applyFill="1"/>
    <xf numFmtId="176" fontId="2" fillId="0" borderId="19" xfId="0" applyFont="1" applyFill="1" applyBorder="1" applyAlignment="1">
      <alignment horizontal="centerContinuous"/>
    </xf>
    <xf numFmtId="176" fontId="0" fillId="0" borderId="22" xfId="0" applyFont="1" applyFill="1" applyBorder="1" applyAlignment="1">
      <alignment horizontal="centerContinuous"/>
    </xf>
    <xf numFmtId="1" fontId="0" fillId="0" borderId="0" xfId="10" applyNumberFormat="1" applyFont="1" applyFill="1" applyAlignment="1" applyProtection="1">
      <alignment horizontal="center"/>
      <protection locked="0"/>
    </xf>
    <xf numFmtId="176" fontId="0" fillId="0" borderId="0" xfId="0" applyFont="1" applyFill="1" applyBorder="1"/>
    <xf numFmtId="41" fontId="0" fillId="0" borderId="0" xfId="7" applyFont="1" applyFill="1"/>
    <xf numFmtId="176" fontId="0" fillId="0" borderId="0" xfId="0" applyFont="1"/>
    <xf numFmtId="176" fontId="2" fillId="0" borderId="0" xfId="17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176" fontId="2" fillId="0" borderId="4" xfId="0" applyFont="1" applyFill="1" applyBorder="1" applyAlignment="1">
      <alignment horizontal="centerContinuous" wrapText="1"/>
    </xf>
    <xf numFmtId="176" fontId="2" fillId="0" borderId="4" xfId="0" applyFont="1" applyFill="1" applyBorder="1" applyAlignment="1">
      <alignment horizontal="center" wrapText="1"/>
    </xf>
    <xf numFmtId="176" fontId="20" fillId="0" borderId="10" xfId="0" applyFont="1" applyFill="1" applyBorder="1" applyAlignment="1">
      <alignment horizontal="center" wrapText="1"/>
    </xf>
    <xf numFmtId="176" fontId="20" fillId="0" borderId="10" xfId="0" quotePrefix="1" applyFont="1" applyFill="1" applyBorder="1" applyAlignment="1">
      <alignment horizontal="center" wrapText="1"/>
    </xf>
    <xf numFmtId="8" fontId="0" fillId="0" borderId="0" xfId="0" applyNumberFormat="1" applyFont="1" applyFill="1" applyBorder="1"/>
    <xf numFmtId="8" fontId="0" fillId="0" borderId="2" xfId="0" applyNumberFormat="1" applyFont="1" applyFill="1" applyBorder="1"/>
    <xf numFmtId="176" fontId="4" fillId="0" borderId="0" xfId="17" applyFont="1" applyFill="1" applyAlignment="1">
      <alignment horizontal="centerContinuous"/>
    </xf>
    <xf numFmtId="0" fontId="2" fillId="0" borderId="0" xfId="17" applyNumberFormat="1" applyFont="1" applyFill="1" applyBorder="1" applyAlignment="1">
      <alignment horizontal="center"/>
    </xf>
    <xf numFmtId="176" fontId="2" fillId="0" borderId="0" xfId="17" applyFont="1" applyFill="1"/>
    <xf numFmtId="176" fontId="2" fillId="0" borderId="4" xfId="17" applyFont="1" applyFill="1" applyBorder="1" applyAlignment="1">
      <alignment horizontal="center"/>
    </xf>
    <xf numFmtId="0" fontId="2" fillId="0" borderId="13" xfId="17" applyNumberFormat="1" applyFont="1" applyFill="1" applyBorder="1" applyAlignment="1">
      <alignment horizontal="center"/>
    </xf>
    <xf numFmtId="0" fontId="2" fillId="0" borderId="12" xfId="17" applyNumberFormat="1" applyFont="1" applyFill="1" applyBorder="1" applyAlignment="1">
      <alignment horizontal="center"/>
    </xf>
    <xf numFmtId="0" fontId="2" fillId="0" borderId="4" xfId="17" applyNumberFormat="1" applyFont="1" applyFill="1" applyBorder="1" applyAlignment="1">
      <alignment horizontal="center"/>
    </xf>
    <xf numFmtId="0" fontId="2" fillId="0" borderId="6" xfId="17" applyNumberFormat="1" applyFont="1" applyFill="1" applyBorder="1" applyAlignment="1">
      <alignment horizontal="center"/>
    </xf>
    <xf numFmtId="8" fontId="7" fillId="0" borderId="0" xfId="0" applyNumberFormat="1" applyFont="1" applyFill="1" applyBorder="1" applyAlignment="1">
      <alignment horizontal="center"/>
    </xf>
    <xf numFmtId="176" fontId="0" fillId="0" borderId="0" xfId="0" quotePrefix="1" applyFont="1" applyFill="1" applyBorder="1" applyAlignment="1">
      <alignment horizontal="center"/>
    </xf>
    <xf numFmtId="176" fontId="0" fillId="0" borderId="4" xfId="0" applyFont="1" applyFill="1" applyBorder="1" applyAlignment="1">
      <alignment horizontal="center"/>
    </xf>
    <xf numFmtId="176" fontId="0" fillId="0" borderId="11" xfId="0" applyFont="1" applyFill="1" applyBorder="1" applyAlignment="1">
      <alignment horizontal="centerContinuous"/>
    </xf>
    <xf numFmtId="176" fontId="0" fillId="0" borderId="11" xfId="0" quotePrefix="1" applyFont="1" applyFill="1" applyBorder="1" applyAlignment="1">
      <alignment horizontal="centerContinuous"/>
    </xf>
    <xf numFmtId="176" fontId="0" fillId="0" borderId="10" xfId="0" applyFont="1" applyFill="1" applyBorder="1" applyAlignment="1">
      <alignment horizontal="center"/>
    </xf>
    <xf numFmtId="176" fontId="0" fillId="0" borderId="9" xfId="0" applyFont="1" applyFill="1" applyBorder="1" applyAlignment="1">
      <alignment horizontal="center"/>
    </xf>
    <xf numFmtId="176" fontId="0" fillId="0" borderId="16" xfId="0" applyFont="1" applyFill="1" applyBorder="1" applyAlignment="1">
      <alignment horizontal="center"/>
    </xf>
    <xf numFmtId="176" fontId="0" fillId="0" borderId="0" xfId="0" applyFont="1" applyFill="1" applyBorder="1" applyAlignment="1">
      <alignment horizontal="center"/>
    </xf>
    <xf numFmtId="176" fontId="0" fillId="0" borderId="0" xfId="0" quotePrefix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8" fontId="0" fillId="0" borderId="18" xfId="0" applyNumberFormat="1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8" fontId="0" fillId="0" borderId="12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0" fillId="0" borderId="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8" fontId="0" fillId="0" borderId="15" xfId="0" applyNumberFormat="1" applyFont="1" applyFill="1" applyBorder="1" applyAlignment="1">
      <alignment horizontal="center"/>
    </xf>
    <xf numFmtId="8" fontId="0" fillId="0" borderId="9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176" fontId="0" fillId="0" borderId="0" xfId="0" applyFont="1" applyFill="1" applyBorder="1" applyAlignment="1">
      <alignment horizontal="left"/>
    </xf>
    <xf numFmtId="176" fontId="0" fillId="0" borderId="0" xfId="0" quotePrefix="1" applyFont="1" applyFill="1"/>
    <xf numFmtId="176" fontId="0" fillId="0" borderId="11" xfId="0" applyFont="1" applyFill="1" applyBorder="1" applyAlignment="1">
      <alignment horizontal="center"/>
    </xf>
    <xf numFmtId="176" fontId="0" fillId="0" borderId="8" xfId="0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76" fontId="0" fillId="0" borderId="0" xfId="17" applyFont="1" applyFill="1" applyAlignment="1">
      <alignment horizontal="centerContinuous"/>
    </xf>
    <xf numFmtId="176" fontId="0" fillId="0" borderId="0" xfId="17" applyFont="1" applyFill="1"/>
    <xf numFmtId="176" fontId="0" fillId="0" borderId="4" xfId="17" applyFont="1" applyFill="1" applyBorder="1"/>
    <xf numFmtId="164" fontId="0" fillId="0" borderId="4" xfId="17" applyNumberFormat="1" applyFont="1" applyFill="1" applyBorder="1"/>
    <xf numFmtId="176" fontId="0" fillId="0" borderId="18" xfId="17" applyFont="1" applyFill="1" applyBorder="1"/>
    <xf numFmtId="164" fontId="0" fillId="0" borderId="13" xfId="17" applyNumberFormat="1" applyFont="1" applyFill="1" applyBorder="1"/>
    <xf numFmtId="164" fontId="0" fillId="0" borderId="18" xfId="17" applyNumberFormat="1" applyFont="1" applyFill="1" applyBorder="1"/>
    <xf numFmtId="164" fontId="0" fillId="0" borderId="14" xfId="17" applyNumberFormat="1" applyFont="1" applyFill="1" applyBorder="1"/>
    <xf numFmtId="164" fontId="0" fillId="0" borderId="6" xfId="17" applyNumberFormat="1" applyFont="1" applyFill="1" applyBorder="1"/>
    <xf numFmtId="176" fontId="0" fillId="0" borderId="0" xfId="17" applyFont="1" applyFill="1" applyBorder="1"/>
    <xf numFmtId="164" fontId="0" fillId="0" borderId="12" xfId="17" applyNumberFormat="1" applyFont="1" applyFill="1" applyBorder="1"/>
    <xf numFmtId="164" fontId="0" fillId="0" borderId="0" xfId="17" applyNumberFormat="1" applyFont="1" applyFill="1" applyBorder="1"/>
    <xf numFmtId="164" fontId="0" fillId="0" borderId="7" xfId="17" applyNumberFormat="1" applyFont="1" applyFill="1" applyBorder="1"/>
    <xf numFmtId="176" fontId="0" fillId="0" borderId="0" xfId="9" applyFont="1" applyFill="1" applyAlignment="1">
      <alignment horizontal="centerContinuous"/>
    </xf>
    <xf numFmtId="176" fontId="0" fillId="0" borderId="10" xfId="9" applyFont="1" applyFill="1" applyBorder="1"/>
    <xf numFmtId="176" fontId="0" fillId="0" borderId="0" xfId="9" quotePrefix="1" applyFont="1" applyFill="1" applyBorder="1" applyAlignment="1">
      <alignment horizontal="center"/>
    </xf>
    <xf numFmtId="0" fontId="0" fillId="0" borderId="0" xfId="9" applyNumberFormat="1" applyFont="1" applyFill="1" applyAlignment="1">
      <alignment horizontal="center"/>
    </xf>
    <xf numFmtId="167" fontId="0" fillId="0" borderId="0" xfId="9" applyNumberFormat="1" applyFont="1" applyFill="1" applyBorder="1" applyAlignment="1">
      <alignment horizontal="center"/>
    </xf>
    <xf numFmtId="176" fontId="0" fillId="0" borderId="0" xfId="9" applyFont="1" applyFill="1" applyAlignment="1">
      <alignment horizontal="right"/>
    </xf>
    <xf numFmtId="176" fontId="0" fillId="0" borderId="0" xfId="9" applyFont="1" applyFill="1" applyBorder="1" applyAlignment="1">
      <alignment horizontal="center"/>
    </xf>
    <xf numFmtId="176" fontId="0" fillId="0" borderId="0" xfId="9" applyFont="1" applyFill="1" applyBorder="1" applyAlignment="1">
      <alignment horizontal="centerContinuous"/>
    </xf>
    <xf numFmtId="176" fontId="0" fillId="0" borderId="0" xfId="9" applyFont="1" applyFill="1" applyBorder="1"/>
    <xf numFmtId="176" fontId="0" fillId="0" borderId="7" xfId="9" applyFont="1" applyFill="1" applyBorder="1"/>
    <xf numFmtId="0" fontId="0" fillId="0" borderId="0" xfId="9" applyNumberFormat="1" applyFont="1" applyFill="1"/>
    <xf numFmtId="6" fontId="0" fillId="0" borderId="0" xfId="9" applyNumberFormat="1" applyFont="1" applyFill="1" applyAlignment="1">
      <alignment horizontal="right"/>
    </xf>
    <xf numFmtId="8" fontId="0" fillId="0" borderId="0" xfId="9" applyNumberFormat="1" applyFont="1" applyFill="1" applyAlignment="1">
      <alignment horizontal="right"/>
    </xf>
    <xf numFmtId="8" fontId="0" fillId="0" borderId="0" xfId="9" applyNumberFormat="1" applyFont="1" applyFill="1" applyBorder="1" applyAlignment="1">
      <alignment horizontal="right"/>
    </xf>
    <xf numFmtId="166" fontId="0" fillId="0" borderId="0" xfId="9" applyNumberFormat="1" applyFont="1" applyFill="1" applyAlignment="1">
      <alignment horizontal="center"/>
    </xf>
    <xf numFmtId="168" fontId="0" fillId="0" borderId="0" xfId="9" applyNumberFormat="1" applyFont="1" applyFill="1" applyBorder="1"/>
    <xf numFmtId="43" fontId="0" fillId="0" borderId="0" xfId="9" applyNumberFormat="1" applyFont="1" applyFill="1"/>
    <xf numFmtId="8" fontId="0" fillId="0" borderId="0" xfId="9" applyNumberFormat="1" applyFont="1" applyFill="1" applyBorder="1"/>
    <xf numFmtId="0" fontId="0" fillId="0" borderId="0" xfId="9" applyNumberFormat="1" applyFont="1" applyFill="1" applyBorder="1"/>
    <xf numFmtId="166" fontId="0" fillId="0" borderId="0" xfId="9" applyNumberFormat="1" applyFont="1" applyFill="1" applyBorder="1" applyAlignment="1">
      <alignment horizontal="center"/>
    </xf>
    <xf numFmtId="8" fontId="0" fillId="0" borderId="0" xfId="9" applyNumberFormat="1" applyFont="1" applyFill="1" applyBorder="1" applyAlignment="1">
      <alignment horizontal="center"/>
    </xf>
    <xf numFmtId="43" fontId="0" fillId="0" borderId="0" xfId="9" applyNumberFormat="1" applyFont="1" applyFill="1" applyBorder="1"/>
    <xf numFmtId="41" fontId="0" fillId="0" borderId="0" xfId="7" applyFont="1" applyFill="1" applyAlignment="1">
      <alignment horizontal="center"/>
    </xf>
    <xf numFmtId="8" fontId="0" fillId="0" borderId="0" xfId="7" applyNumberFormat="1" applyFont="1" applyFill="1" applyBorder="1"/>
    <xf numFmtId="41" fontId="0" fillId="0" borderId="0" xfId="7" applyFont="1" applyFill="1" applyAlignment="1">
      <alignment horizontal="left"/>
    </xf>
    <xf numFmtId="9" fontId="0" fillId="0" borderId="0" xfId="9" applyNumberFormat="1" applyFont="1" applyFill="1"/>
    <xf numFmtId="170" fontId="0" fillId="0" borderId="0" xfId="7" applyNumberFormat="1" applyFont="1" applyFill="1"/>
    <xf numFmtId="43" fontId="0" fillId="0" borderId="0" xfId="7" applyNumberFormat="1" applyFont="1" applyFill="1"/>
    <xf numFmtId="164" fontId="0" fillId="0" borderId="0" xfId="7" applyNumberFormat="1" applyFont="1" applyFill="1"/>
    <xf numFmtId="8" fontId="0" fillId="0" borderId="0" xfId="9" applyNumberFormat="1" applyFont="1" applyFill="1"/>
    <xf numFmtId="0" fontId="0" fillId="0" borderId="2" xfId="9" applyNumberFormat="1" applyFont="1" applyFill="1" applyBorder="1"/>
    <xf numFmtId="166" fontId="0" fillId="0" borderId="2" xfId="9" applyNumberFormat="1" applyFont="1" applyFill="1" applyBorder="1" applyAlignment="1">
      <alignment horizontal="center"/>
    </xf>
    <xf numFmtId="8" fontId="0" fillId="0" borderId="2" xfId="9" applyNumberFormat="1" applyFont="1" applyFill="1" applyBorder="1" applyAlignment="1">
      <alignment horizontal="right"/>
    </xf>
    <xf numFmtId="8" fontId="0" fillId="0" borderId="2" xfId="9" applyNumberFormat="1" applyFont="1" applyFill="1" applyBorder="1"/>
    <xf numFmtId="174" fontId="0" fillId="0" borderId="0" xfId="9" applyNumberFormat="1" applyFont="1" applyFill="1"/>
    <xf numFmtId="176" fontId="0" fillId="0" borderId="0" xfId="9" applyFont="1" applyFill="1" applyAlignment="1">
      <alignment horizontal="center"/>
    </xf>
    <xf numFmtId="41" fontId="0" fillId="0" borderId="0" xfId="9" applyNumberFormat="1" applyFont="1" applyFill="1" applyBorder="1"/>
    <xf numFmtId="175" fontId="0" fillId="0" borderId="0" xfId="9" applyNumberFormat="1" applyFont="1" applyFill="1" applyBorder="1"/>
    <xf numFmtId="41" fontId="0" fillId="0" borderId="0" xfId="9" applyNumberFormat="1" applyFont="1" applyFill="1"/>
    <xf numFmtId="176" fontId="0" fillId="0" borderId="0" xfId="9" applyFont="1" applyFill="1" applyAlignment="1">
      <alignment horizontal="left"/>
    </xf>
    <xf numFmtId="41" fontId="0" fillId="0" borderId="0" xfId="9" applyNumberFormat="1" applyFont="1" applyFill="1" applyAlignment="1">
      <alignment horizontal="center"/>
    </xf>
    <xf numFmtId="169" fontId="0" fillId="0" borderId="0" xfId="9" applyNumberFormat="1" applyFont="1" applyFill="1"/>
    <xf numFmtId="1" fontId="0" fillId="0" borderId="0" xfId="9" applyNumberFormat="1" applyFont="1" applyFill="1"/>
    <xf numFmtId="10" fontId="0" fillId="0" borderId="0" xfId="9" applyNumberFormat="1" applyFont="1" applyFill="1"/>
    <xf numFmtId="176" fontId="0" fillId="0" borderId="4" xfId="0" applyFont="1" applyFill="1" applyBorder="1"/>
    <xf numFmtId="176" fontId="0" fillId="0" borderId="4" xfId="0" applyFont="1" applyFill="1" applyBorder="1" applyAlignment="1">
      <alignment horizontal="centerContinuous"/>
    </xf>
    <xf numFmtId="176" fontId="0" fillId="0" borderId="12" xfId="0" applyFont="1" applyFill="1" applyBorder="1" applyAlignment="1">
      <alignment horizontal="center"/>
    </xf>
    <xf numFmtId="176" fontId="0" fillId="0" borderId="13" xfId="0" applyFont="1" applyFill="1" applyBorder="1" applyAlignment="1">
      <alignment horizontal="centerContinuous"/>
    </xf>
    <xf numFmtId="176" fontId="0" fillId="0" borderId="14" xfId="0" applyFont="1" applyFill="1" applyBorder="1" applyAlignment="1">
      <alignment horizontal="centerContinuous"/>
    </xf>
    <xf numFmtId="176" fontId="0" fillId="0" borderId="7" xfId="0" applyFont="1" applyFill="1" applyBorder="1" applyAlignment="1">
      <alignment horizontal="center"/>
    </xf>
    <xf numFmtId="176" fontId="0" fillId="0" borderId="6" xfId="0" applyFont="1" applyFill="1" applyBorder="1" applyAlignment="1">
      <alignment horizontal="center"/>
    </xf>
    <xf numFmtId="176" fontId="0" fillId="0" borderId="12" xfId="0" applyFont="1" applyFill="1" applyBorder="1"/>
    <xf numFmtId="17" fontId="0" fillId="0" borderId="12" xfId="0" applyNumberFormat="1" applyFont="1" applyFill="1" applyBorder="1" applyAlignment="1">
      <alignment horizontal="centerContinuous"/>
    </xf>
    <xf numFmtId="17" fontId="0" fillId="0" borderId="7" xfId="0" applyNumberFormat="1" applyFont="1" applyFill="1" applyBorder="1" applyAlignment="1">
      <alignment horizontal="centerContinuous"/>
    </xf>
    <xf numFmtId="17" fontId="0" fillId="0" borderId="7" xfId="0" applyNumberFormat="1" applyFont="1" applyFill="1" applyBorder="1" applyAlignment="1">
      <alignment horizontal="center"/>
    </xf>
    <xf numFmtId="176" fontId="0" fillId="0" borderId="15" xfId="0" applyFont="1" applyFill="1" applyBorder="1"/>
    <xf numFmtId="176" fontId="0" fillId="0" borderId="15" xfId="0" applyFont="1" applyFill="1" applyBorder="1" applyAlignment="1">
      <alignment horizontal="centerContinuous"/>
    </xf>
    <xf numFmtId="176" fontId="0" fillId="0" borderId="16" xfId="0" applyFont="1" applyFill="1" applyBorder="1" applyAlignment="1">
      <alignment horizontal="centerContinuous"/>
    </xf>
    <xf numFmtId="176" fontId="0" fillId="0" borderId="0" xfId="0" quotePrefix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/>
    </xf>
    <xf numFmtId="176" fontId="0" fillId="0" borderId="0" xfId="0" applyFont="1" applyFill="1" applyAlignment="1">
      <alignment horizontal="left"/>
    </xf>
    <xf numFmtId="10" fontId="0" fillId="0" borderId="0" xfId="0" applyNumberFormat="1" applyFont="1" applyFill="1" applyAlignment="1">
      <alignment horizontal="center"/>
    </xf>
    <xf numFmtId="176" fontId="0" fillId="0" borderId="0" xfId="0" applyFont="1" applyFill="1" applyAlignment="1">
      <alignment horizontal="right"/>
    </xf>
    <xf numFmtId="39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6" fontId="0" fillId="0" borderId="0" xfId="0" quotePrefix="1" applyFont="1" applyFill="1" applyAlignment="1">
      <alignment horizontal="right"/>
    </xf>
    <xf numFmtId="0" fontId="0" fillId="0" borderId="0" xfId="8" applyFont="1" applyFill="1"/>
    <xf numFmtId="176" fontId="0" fillId="0" borderId="13" xfId="0" applyFont="1" applyFill="1" applyBorder="1" applyAlignment="1">
      <alignment horizontal="center"/>
    </xf>
    <xf numFmtId="176" fontId="0" fillId="0" borderId="14" xfId="0" applyFont="1" applyFill="1" applyBorder="1" applyAlignment="1">
      <alignment horizontal="center"/>
    </xf>
    <xf numFmtId="176" fontId="0" fillId="0" borderId="13" xfId="0" applyFont="1" applyFill="1" applyBorder="1"/>
    <xf numFmtId="176" fontId="0" fillId="0" borderId="12" xfId="0" applyFont="1" applyFill="1" applyBorder="1" applyAlignment="1">
      <alignment horizontal="centerContinuous"/>
    </xf>
    <xf numFmtId="176" fontId="0" fillId="0" borderId="6" xfId="0" applyFont="1" applyFill="1" applyBorder="1" applyAlignment="1">
      <alignment horizontal="centerContinuous"/>
    </xf>
    <xf numFmtId="176" fontId="0" fillId="0" borderId="9" xfId="0" applyFont="1" applyFill="1" applyBorder="1" applyAlignment="1">
      <alignment horizontal="centerContinuous"/>
    </xf>
    <xf numFmtId="176" fontId="0" fillId="0" borderId="6" xfId="0" applyFont="1" applyFill="1" applyBorder="1"/>
    <xf numFmtId="176" fontId="0" fillId="0" borderId="7" xfId="0" quotePrefix="1" applyFont="1" applyFill="1" applyBorder="1" applyAlignment="1">
      <alignment horizontal="center"/>
    </xf>
    <xf numFmtId="9" fontId="0" fillId="0" borderId="6" xfId="13" applyFont="1" applyFill="1" applyBorder="1" applyAlignment="1">
      <alignment horizontal="center"/>
    </xf>
    <xf numFmtId="176" fontId="0" fillId="0" borderId="10" xfId="0" applyFont="1" applyFill="1" applyBorder="1"/>
    <xf numFmtId="176" fontId="0" fillId="0" borderId="10" xfId="0" quotePrefix="1" applyFont="1" applyFill="1" applyBorder="1" applyAlignment="1">
      <alignment horizontal="center"/>
    </xf>
    <xf numFmtId="176" fontId="0" fillId="0" borderId="8" xfId="0" quotePrefix="1" applyFont="1" applyFill="1" applyBorder="1" applyAlignment="1">
      <alignment horizontal="centerContinuous"/>
    </xf>
    <xf numFmtId="8" fontId="0" fillId="0" borderId="0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horizontal="center"/>
    </xf>
    <xf numFmtId="176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left"/>
    </xf>
    <xf numFmtId="8" fontId="0" fillId="0" borderId="0" xfId="0" applyNumberFormat="1" applyFont="1" applyFill="1"/>
    <xf numFmtId="179" fontId="0" fillId="0" borderId="0" xfId="7" applyNumberFormat="1" applyFont="1" applyFill="1" applyBorder="1"/>
    <xf numFmtId="176" fontId="0" fillId="0" borderId="17" xfId="0" applyFont="1" applyFill="1" applyBorder="1" applyAlignment="1">
      <alignment horizontal="center"/>
    </xf>
    <xf numFmtId="164" fontId="0" fillId="0" borderId="0" xfId="17" applyNumberFormat="1" applyFont="1" applyFill="1" applyBorder="1" applyAlignment="1">
      <alignment horizontal="centerContinuous"/>
    </xf>
    <xf numFmtId="164" fontId="0" fillId="0" borderId="7" xfId="17" applyNumberFormat="1" applyFont="1" applyFill="1" applyBorder="1" applyAlignment="1">
      <alignment horizontal="centerContinuous"/>
    </xf>
    <xf numFmtId="164" fontId="0" fillId="0" borderId="12" xfId="17" applyNumberFormat="1" applyFont="1" applyFill="1" applyBorder="1" applyAlignment="1">
      <alignment horizontal="centerContinuous"/>
    </xf>
    <xf numFmtId="0" fontId="2" fillId="0" borderId="18" xfId="17" applyNumberFormat="1" applyFont="1" applyFill="1" applyBorder="1" applyAlignment="1">
      <alignment horizontal="center"/>
    </xf>
    <xf numFmtId="176" fontId="0" fillId="0" borderId="18" xfId="0" applyFont="1" applyFill="1" applyBorder="1"/>
    <xf numFmtId="176" fontId="0" fillId="0" borderId="18" xfId="0" quotePrefix="1" applyFont="1" applyFill="1" applyBorder="1"/>
    <xf numFmtId="176" fontId="0" fillId="0" borderId="18" xfId="0" applyFont="1" applyFill="1" applyBorder="1" applyAlignment="1">
      <alignment horizontal="left"/>
    </xf>
    <xf numFmtId="176" fontId="0" fillId="0" borderId="18" xfId="0" applyFont="1" applyFill="1" applyBorder="1" applyAlignment="1">
      <alignment horizontal="center"/>
    </xf>
    <xf numFmtId="176" fontId="4" fillId="0" borderId="0" xfId="11" applyFont="1" applyFill="1" applyAlignment="1">
      <alignment horizontal="centerContinuous"/>
    </xf>
    <xf numFmtId="17" fontId="4" fillId="0" borderId="0" xfId="0" quotePrefix="1" applyNumberFormat="1" applyFont="1" applyFill="1" applyAlignment="1">
      <alignment horizontal="centerContinuous"/>
    </xf>
    <xf numFmtId="0" fontId="0" fillId="0" borderId="4" xfId="17" applyNumberFormat="1" applyFont="1" applyFill="1" applyBorder="1" applyAlignment="1">
      <alignment horizontal="center"/>
    </xf>
    <xf numFmtId="0" fontId="0" fillId="0" borderId="6" xfId="17" applyNumberFormat="1" applyFont="1" applyFill="1" applyBorder="1" applyAlignment="1">
      <alignment horizontal="center"/>
    </xf>
    <xf numFmtId="179" fontId="0" fillId="0" borderId="0" xfId="0" applyNumberFormat="1" applyFont="1" applyFill="1" applyBorder="1"/>
    <xf numFmtId="0" fontId="0" fillId="0" borderId="10" xfId="17" applyNumberFormat="1" applyFont="1" applyFill="1" applyBorder="1" applyAlignment="1">
      <alignment horizontal="center"/>
    </xf>
    <xf numFmtId="176" fontId="2" fillId="0" borderId="0" xfId="0" applyFont="1" applyBorder="1" applyAlignment="1">
      <alignment horizontal="center"/>
    </xf>
    <xf numFmtId="176" fontId="3" fillId="0" borderId="0" xfId="0" applyFont="1" applyBorder="1"/>
    <xf numFmtId="1" fontId="3" fillId="0" borderId="0" xfId="0" applyNumberFormat="1" applyFont="1" applyFill="1" applyBorder="1"/>
    <xf numFmtId="176" fontId="11" fillId="0" borderId="0" xfId="11" applyFont="1" applyAlignment="1">
      <alignment horizontal="centerContinuous"/>
    </xf>
    <xf numFmtId="176" fontId="7" fillId="0" borderId="0" xfId="0" applyNumberFormat="1" applyFont="1" applyFill="1" applyAlignment="1">
      <alignment horizontal="center"/>
    </xf>
    <xf numFmtId="176" fontId="23" fillId="0" borderId="0" xfId="0" applyFont="1" applyFill="1" applyAlignment="1">
      <alignment horizontal="centerContinuous"/>
    </xf>
    <xf numFmtId="176" fontId="23" fillId="0" borderId="0" xfId="0" applyFont="1" applyFill="1"/>
    <xf numFmtId="8" fontId="23" fillId="0" borderId="0" xfId="0" applyNumberFormat="1" applyFont="1" applyFill="1"/>
    <xf numFmtId="176" fontId="23" fillId="0" borderId="0" xfId="0" applyFont="1" applyFill="1" applyBorder="1" applyAlignment="1">
      <alignment horizontal="center"/>
    </xf>
    <xf numFmtId="176" fontId="23" fillId="0" borderId="0" xfId="0" applyFont="1" applyFill="1" applyAlignment="1">
      <alignment horizontal="center"/>
    </xf>
    <xf numFmtId="176" fontId="23" fillId="0" borderId="9" xfId="0" applyFont="1" applyFill="1" applyBorder="1" applyAlignment="1"/>
    <xf numFmtId="9" fontId="23" fillId="0" borderId="0" xfId="13" applyFont="1" applyFill="1" applyAlignment="1">
      <alignment horizontal="center"/>
    </xf>
    <xf numFmtId="176" fontId="24" fillId="0" borderId="0" xfId="0" applyFont="1" applyFill="1" applyBorder="1" applyAlignment="1">
      <alignment horizontal="centerContinuous"/>
    </xf>
    <xf numFmtId="176" fontId="25" fillId="0" borderId="0" xfId="0" applyFont="1" applyFill="1" applyBorder="1" applyAlignment="1">
      <alignment horizontal="center"/>
    </xf>
    <xf numFmtId="176" fontId="25" fillId="0" borderId="0" xfId="0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77" fontId="23" fillId="0" borderId="0" xfId="0" applyNumberFormat="1" applyFont="1" applyFill="1" applyAlignment="1">
      <alignment horizontal="center"/>
    </xf>
    <xf numFmtId="178" fontId="23" fillId="0" borderId="0" xfId="0" applyNumberFormat="1" applyFont="1" applyFill="1"/>
    <xf numFmtId="8" fontId="23" fillId="0" borderId="0" xfId="0" applyNumberFormat="1" applyFont="1" applyFill="1" applyAlignment="1">
      <alignment horizontal="center"/>
    </xf>
    <xf numFmtId="180" fontId="23" fillId="0" borderId="0" xfId="0" applyNumberFormat="1" applyFont="1" applyFill="1" applyBorder="1" applyAlignment="1">
      <alignment horizontal="center"/>
    </xf>
    <xf numFmtId="177" fontId="23" fillId="0" borderId="0" xfId="0" applyNumberFormat="1" applyFont="1" applyFill="1" applyBorder="1" applyAlignment="1">
      <alignment horizontal="center"/>
    </xf>
    <xf numFmtId="8" fontId="23" fillId="0" borderId="0" xfId="0" applyNumberFormat="1" applyFont="1" applyFill="1" applyAlignment="1">
      <alignment horizontal="left"/>
    </xf>
    <xf numFmtId="179" fontId="23" fillId="0" borderId="0" xfId="0" applyNumberFormat="1" applyFont="1" applyFill="1" applyAlignment="1">
      <alignment horizontal="center"/>
    </xf>
    <xf numFmtId="176" fontId="23" fillId="0" borderId="0" xfId="0" applyFont="1" applyFill="1" applyAlignment="1">
      <alignment horizontal="right"/>
    </xf>
    <xf numFmtId="176" fontId="23" fillId="0" borderId="0" xfId="0" applyFont="1" applyFill="1" applyBorder="1" applyAlignment="1">
      <alignment horizontal="right" vertical="center" wrapText="1"/>
    </xf>
    <xf numFmtId="180" fontId="23" fillId="0" borderId="0" xfId="0" applyNumberFormat="1" applyFont="1" applyFill="1" applyBorder="1" applyAlignment="1">
      <alignment horizontal="center" vertical="center"/>
    </xf>
    <xf numFmtId="176" fontId="23" fillId="0" borderId="0" xfId="0" applyFont="1" applyFill="1" applyBorder="1"/>
    <xf numFmtId="1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Border="1" applyAlignment="1">
      <alignment horizontal="center"/>
    </xf>
    <xf numFmtId="39" fontId="23" fillId="0" borderId="0" xfId="0" applyNumberFormat="1" applyFont="1" applyFill="1" applyBorder="1" applyAlignment="1">
      <alignment horizontal="center" vertical="center"/>
    </xf>
    <xf numFmtId="43" fontId="0" fillId="0" borderId="0" xfId="1" applyNumberFormat="1" applyFont="1" applyFill="1" applyBorder="1" applyAlignment="1">
      <alignment horizontal="left"/>
    </xf>
    <xf numFmtId="178" fontId="0" fillId="0" borderId="0" xfId="9" applyNumberFormat="1" applyFont="1" applyFill="1" applyBorder="1" applyAlignment="1">
      <alignment horizontal="left"/>
    </xf>
    <xf numFmtId="176" fontId="3" fillId="0" borderId="0" xfId="0" applyFont="1" applyFill="1" applyBorder="1"/>
  </cellXfs>
  <cellStyles count="18">
    <cellStyle name="Comma" xfId="1" builtinId="3"/>
    <cellStyle name="Currency" xfId="2" builtinId="4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2" xfId="17"/>
    <cellStyle name="Normal_DRR AC Study - Utah Valley - 53 MW 90 CF (2.28.2005)" xfId="7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Password" xfId="12"/>
    <cellStyle name="Percent" xfId="13" builtinId="5"/>
    <cellStyle name="Unprot" xfId="14"/>
    <cellStyle name="Unprot$" xfId="15"/>
    <cellStyle name="Unprotect" xfId="16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152401</xdr:rowOff>
    </xdr:from>
    <xdr:to>
      <xdr:col>12</xdr:col>
      <xdr:colOff>600075</xdr:colOff>
      <xdr:row>26</xdr:row>
      <xdr:rowOff>62128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914401"/>
          <a:ext cx="9829800" cy="33673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3%20May%20-%20Sch%2037%20Update\Scenario\UT%20Sch%2037%202013%20-%202a%20-%20L&amp;R%20%20Study%20_2013%2005%20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M56"/>
  <sheetViews>
    <sheetView showGridLines="0" tabSelected="1" zoomScaleNormal="100" workbookViewId="0">
      <selection activeCell="B28" sqref="B28"/>
    </sheetView>
  </sheetViews>
  <sheetFormatPr defaultColWidth="10.6640625" defaultRowHeight="12.75"/>
  <cols>
    <col min="1" max="1" width="1.83203125" style="54" customWidth="1"/>
    <col min="2" max="2" width="32.5" style="54" customWidth="1"/>
    <col min="3" max="3" width="13.1640625" style="54" customWidth="1"/>
    <col min="4" max="11" width="13.1640625" style="54" bestFit="1" customWidth="1"/>
    <col min="12" max="13" width="10.6640625" style="54"/>
    <col min="14" max="14" width="1.6640625" style="54" customWidth="1"/>
    <col min="15" max="16384" width="10.6640625" style="54"/>
  </cols>
  <sheetData>
    <row r="1" spans="2:13" ht="15.75">
      <c r="B1" s="53" t="s">
        <v>85</v>
      </c>
      <c r="C1" s="53"/>
      <c r="D1" s="53"/>
      <c r="E1" s="53"/>
      <c r="F1" s="53"/>
      <c r="G1" s="53"/>
      <c r="H1" s="53"/>
      <c r="I1" s="53"/>
      <c r="J1" s="53"/>
      <c r="K1" s="53"/>
      <c r="L1" s="257"/>
      <c r="M1" s="257"/>
    </row>
    <row r="2" spans="2:13" ht="15.75">
      <c r="B2" s="248" t="s">
        <v>163</v>
      </c>
      <c r="C2" s="53"/>
      <c r="D2" s="53"/>
      <c r="E2" s="53"/>
      <c r="F2" s="53"/>
      <c r="G2" s="53"/>
      <c r="H2" s="53"/>
      <c r="I2" s="53"/>
      <c r="J2" s="53"/>
      <c r="K2" s="53"/>
      <c r="L2" s="257"/>
      <c r="M2" s="257"/>
    </row>
    <row r="3" spans="2:13" ht="15.75">
      <c r="B3" s="249" t="s">
        <v>164</v>
      </c>
      <c r="C3" s="53"/>
      <c r="D3" s="53"/>
      <c r="E3" s="53"/>
      <c r="F3" s="53"/>
      <c r="G3" s="53"/>
      <c r="H3" s="53"/>
      <c r="I3" s="53"/>
      <c r="J3" s="53"/>
      <c r="K3" s="53"/>
      <c r="L3" s="257"/>
      <c r="M3" s="257"/>
    </row>
    <row r="5" spans="2:13" s="55" customFormat="1">
      <c r="B5" s="58"/>
      <c r="C5" s="67"/>
      <c r="D5" s="67"/>
      <c r="E5" s="67"/>
      <c r="F5" s="67"/>
      <c r="G5" s="67"/>
      <c r="H5" s="67"/>
      <c r="I5" s="67"/>
      <c r="J5" s="67"/>
      <c r="K5" s="67"/>
    </row>
    <row r="6" spans="2:13" s="55" customFormat="1">
      <c r="B6" s="254"/>
      <c r="C6" s="58"/>
      <c r="D6" s="58"/>
      <c r="E6" s="58"/>
      <c r="F6" s="58"/>
      <c r="G6" s="58"/>
      <c r="H6" s="58"/>
      <c r="I6" s="58"/>
      <c r="J6" s="58"/>
      <c r="K6" s="58"/>
    </row>
    <row r="7" spans="2:13" s="55" customFormat="1">
      <c r="B7" s="255"/>
      <c r="C7" s="60"/>
      <c r="D7" s="60"/>
      <c r="E7" s="60"/>
      <c r="F7" s="60"/>
      <c r="G7" s="60"/>
      <c r="H7" s="60"/>
      <c r="I7" s="60"/>
      <c r="J7" s="60"/>
      <c r="K7" s="60"/>
    </row>
    <row r="8" spans="2:13" s="55" customFormat="1">
      <c r="B8" s="255"/>
      <c r="C8" s="60"/>
      <c r="D8" s="60"/>
      <c r="E8" s="60"/>
      <c r="F8" s="60"/>
      <c r="G8" s="60"/>
      <c r="H8" s="60"/>
      <c r="I8" s="60"/>
      <c r="J8" s="60"/>
      <c r="K8" s="60"/>
    </row>
    <row r="9" spans="2:13">
      <c r="B9" s="255"/>
      <c r="C9" s="61"/>
      <c r="D9" s="61"/>
      <c r="E9" s="61"/>
      <c r="F9" s="61"/>
      <c r="G9" s="61"/>
      <c r="H9" s="61"/>
      <c r="I9" s="61"/>
      <c r="J9" s="61"/>
      <c r="K9" s="61"/>
    </row>
    <row r="10" spans="2:13">
      <c r="B10" s="255"/>
      <c r="C10" s="60"/>
      <c r="D10" s="60"/>
      <c r="E10" s="60"/>
      <c r="F10" s="60"/>
      <c r="G10" s="60"/>
      <c r="H10" s="60"/>
      <c r="I10" s="60"/>
      <c r="J10" s="60"/>
      <c r="K10" s="60"/>
    </row>
    <row r="11" spans="2:13">
      <c r="B11" s="255"/>
      <c r="C11" s="60"/>
      <c r="D11" s="60"/>
      <c r="E11" s="60"/>
      <c r="F11" s="60"/>
      <c r="G11" s="60"/>
      <c r="H11" s="60"/>
      <c r="I11" s="60"/>
      <c r="J11" s="60"/>
      <c r="K11" s="60"/>
    </row>
    <row r="12" spans="2:13">
      <c r="B12" s="255"/>
      <c r="C12" s="60"/>
      <c r="D12" s="60"/>
      <c r="E12" s="60"/>
      <c r="F12" s="60"/>
      <c r="G12" s="60"/>
      <c r="H12" s="60"/>
      <c r="I12" s="60"/>
      <c r="J12" s="60"/>
      <c r="K12" s="60"/>
    </row>
    <row r="13" spans="2:13">
      <c r="B13" s="255"/>
      <c r="C13" s="60"/>
      <c r="D13" s="60"/>
      <c r="E13" s="60"/>
      <c r="F13" s="60"/>
      <c r="G13" s="60"/>
      <c r="H13" s="60"/>
      <c r="I13" s="60"/>
      <c r="J13" s="60"/>
      <c r="K13" s="60"/>
    </row>
    <row r="14" spans="2:13">
      <c r="B14" s="255"/>
      <c r="C14" s="60"/>
      <c r="D14" s="60"/>
      <c r="E14" s="60"/>
      <c r="F14" s="60"/>
      <c r="G14" s="60"/>
      <c r="H14" s="60"/>
      <c r="I14" s="60"/>
      <c r="J14" s="60"/>
      <c r="K14" s="60"/>
    </row>
    <row r="15" spans="2:13">
      <c r="B15" s="255"/>
      <c r="C15" s="60"/>
      <c r="D15" s="60"/>
      <c r="E15" s="60"/>
      <c r="F15" s="60"/>
      <c r="G15" s="60"/>
      <c r="H15" s="60"/>
      <c r="I15" s="60"/>
      <c r="J15" s="60"/>
      <c r="K15" s="60"/>
    </row>
    <row r="16" spans="2:13">
      <c r="B16" s="255"/>
      <c r="C16" s="61"/>
      <c r="D16" s="61"/>
      <c r="E16" s="61"/>
      <c r="F16" s="61"/>
      <c r="G16" s="61"/>
      <c r="H16" s="61"/>
      <c r="I16" s="61"/>
      <c r="J16" s="61"/>
      <c r="K16" s="61"/>
    </row>
    <row r="17" spans="2:11">
      <c r="B17" s="255"/>
      <c r="C17" s="60"/>
      <c r="D17" s="60"/>
      <c r="E17" s="60"/>
      <c r="F17" s="60"/>
      <c r="G17" s="60"/>
      <c r="H17" s="60"/>
      <c r="I17" s="60"/>
      <c r="J17" s="60"/>
      <c r="K17" s="60"/>
    </row>
    <row r="18" spans="2:11" ht="4.5" customHeight="1">
      <c r="B18" s="255"/>
      <c r="C18" s="60"/>
      <c r="D18" s="60"/>
      <c r="E18" s="60"/>
      <c r="F18" s="60"/>
      <c r="G18" s="60"/>
      <c r="H18" s="60"/>
      <c r="I18" s="60"/>
      <c r="J18" s="60"/>
      <c r="K18" s="60"/>
    </row>
    <row r="19" spans="2:11">
      <c r="B19" s="256"/>
      <c r="C19" s="60"/>
      <c r="D19" s="60"/>
      <c r="E19" s="60"/>
      <c r="F19" s="60"/>
      <c r="G19" s="60"/>
      <c r="H19" s="60"/>
      <c r="I19" s="60"/>
      <c r="J19" s="60"/>
      <c r="K19" s="60"/>
    </row>
    <row r="20" spans="2:11">
      <c r="B20" s="256"/>
      <c r="C20" s="56"/>
      <c r="D20" s="56"/>
      <c r="E20" s="56"/>
      <c r="F20" s="56"/>
      <c r="G20" s="56"/>
      <c r="H20" s="56"/>
      <c r="I20" s="56"/>
      <c r="J20" s="56"/>
      <c r="K20" s="56"/>
    </row>
    <row r="21" spans="2:11">
      <c r="B21" s="255"/>
      <c r="C21" s="58"/>
      <c r="D21" s="58"/>
      <c r="E21" s="58"/>
      <c r="F21" s="58"/>
      <c r="G21" s="58"/>
      <c r="H21" s="58"/>
      <c r="I21" s="58"/>
      <c r="J21" s="58"/>
      <c r="K21" s="58"/>
    </row>
    <row r="22" spans="2:11">
      <c r="B22" s="254"/>
      <c r="C22" s="59"/>
      <c r="D22" s="59"/>
      <c r="E22" s="59"/>
      <c r="F22" s="59"/>
      <c r="G22" s="59"/>
      <c r="H22" s="59"/>
      <c r="I22" s="59"/>
      <c r="J22" s="59"/>
      <c r="K22" s="59"/>
    </row>
    <row r="23" spans="2:11">
      <c r="B23" s="255"/>
      <c r="C23" s="60"/>
      <c r="D23" s="60"/>
      <c r="E23" s="60"/>
      <c r="F23" s="60"/>
      <c r="G23" s="60"/>
      <c r="H23" s="60"/>
      <c r="I23" s="60"/>
      <c r="J23" s="60"/>
      <c r="K23" s="60"/>
    </row>
    <row r="24" spans="2:11">
      <c r="B24" s="255"/>
      <c r="C24" s="60"/>
      <c r="D24" s="60"/>
      <c r="E24" s="60"/>
      <c r="F24" s="60"/>
      <c r="G24" s="60"/>
      <c r="H24" s="60"/>
      <c r="I24" s="60"/>
      <c r="J24" s="60"/>
      <c r="K24" s="60"/>
    </row>
    <row r="25" spans="2:11">
      <c r="B25" s="255"/>
      <c r="C25" s="61"/>
      <c r="D25" s="61"/>
      <c r="E25" s="61"/>
      <c r="F25" s="61"/>
      <c r="G25" s="61"/>
      <c r="H25" s="61"/>
      <c r="I25" s="61"/>
      <c r="J25" s="61"/>
      <c r="K25" s="61"/>
    </row>
    <row r="26" spans="2:11">
      <c r="B26" s="255"/>
      <c r="C26" s="60"/>
      <c r="D26" s="60"/>
      <c r="E26" s="60"/>
      <c r="F26" s="60"/>
      <c r="G26" s="60"/>
      <c r="H26" s="60"/>
      <c r="I26" s="60"/>
      <c r="J26" s="60"/>
      <c r="K26" s="60"/>
    </row>
    <row r="27" spans="2:11">
      <c r="B27" s="255"/>
      <c r="C27" s="60"/>
      <c r="D27" s="60"/>
      <c r="E27" s="60"/>
      <c r="F27" s="60"/>
      <c r="G27" s="60"/>
      <c r="H27" s="60"/>
      <c r="I27" s="60"/>
      <c r="J27" s="60"/>
      <c r="K27" s="60"/>
    </row>
    <row r="28" spans="2:11">
      <c r="B28" s="287" t="s">
        <v>195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2:11">
      <c r="B29" s="255"/>
      <c r="C29" s="60"/>
      <c r="D29" s="60"/>
      <c r="E29" s="60"/>
      <c r="F29" s="60"/>
      <c r="G29" s="60"/>
      <c r="H29" s="60"/>
      <c r="I29" s="60"/>
      <c r="J29" s="60"/>
      <c r="K29" s="60"/>
    </row>
    <row r="30" spans="2:11">
      <c r="B30" s="255"/>
      <c r="C30" s="60"/>
      <c r="D30" s="60"/>
      <c r="E30" s="60"/>
      <c r="F30" s="60"/>
      <c r="G30" s="60"/>
      <c r="H30" s="60"/>
      <c r="I30" s="60"/>
      <c r="J30" s="60"/>
      <c r="K30" s="60"/>
    </row>
    <row r="31" spans="2:11">
      <c r="B31" s="255"/>
      <c r="C31" s="60"/>
      <c r="D31" s="60"/>
      <c r="E31" s="60"/>
      <c r="F31" s="60"/>
      <c r="G31" s="60"/>
      <c r="H31" s="60"/>
      <c r="I31" s="60"/>
      <c r="J31" s="60"/>
      <c r="K31" s="60"/>
    </row>
    <row r="32" spans="2:11">
      <c r="B32" s="255"/>
      <c r="C32" s="61"/>
      <c r="D32" s="61"/>
      <c r="E32" s="61"/>
      <c r="F32" s="61"/>
      <c r="G32" s="61"/>
      <c r="H32" s="61"/>
      <c r="I32" s="61"/>
      <c r="J32" s="61"/>
      <c r="K32" s="61"/>
    </row>
    <row r="33" spans="2:11">
      <c r="B33" s="255"/>
      <c r="C33" s="60"/>
      <c r="D33" s="60"/>
      <c r="E33" s="60"/>
      <c r="F33" s="60"/>
      <c r="G33" s="60"/>
      <c r="H33" s="60"/>
      <c r="I33" s="60"/>
      <c r="J33" s="60"/>
      <c r="K33" s="60"/>
    </row>
    <row r="34" spans="2:11" ht="4.5" customHeight="1">
      <c r="B34" s="255"/>
      <c r="C34" s="60"/>
      <c r="D34" s="60"/>
      <c r="E34" s="60"/>
      <c r="F34" s="60"/>
      <c r="G34" s="60"/>
      <c r="H34" s="60"/>
      <c r="I34" s="60"/>
      <c r="J34" s="60"/>
      <c r="K34" s="60"/>
    </row>
    <row r="35" spans="2:11">
      <c r="B35" s="256"/>
      <c r="C35" s="60"/>
      <c r="D35" s="60"/>
      <c r="E35" s="60"/>
      <c r="F35" s="60"/>
      <c r="G35" s="60"/>
      <c r="H35" s="60"/>
      <c r="I35" s="60"/>
      <c r="J35" s="60"/>
      <c r="K35" s="60"/>
    </row>
    <row r="36" spans="2:11">
      <c r="B36" s="256"/>
      <c r="C36" s="56"/>
      <c r="D36" s="56"/>
      <c r="E36" s="56"/>
      <c r="F36" s="56"/>
      <c r="G36" s="56"/>
      <c r="H36" s="56"/>
      <c r="I36" s="56"/>
      <c r="J36" s="56"/>
      <c r="K36" s="56"/>
    </row>
    <row r="37" spans="2:11">
      <c r="B37" s="255"/>
      <c r="C37" s="58"/>
      <c r="D37" s="58"/>
      <c r="E37" s="58"/>
      <c r="F37" s="58"/>
      <c r="G37" s="58"/>
      <c r="H37" s="58"/>
      <c r="I37" s="58"/>
      <c r="J37" s="58"/>
      <c r="K37" s="58"/>
    </row>
    <row r="38" spans="2:11">
      <c r="B38" s="254"/>
      <c r="C38" s="59"/>
      <c r="D38" s="59"/>
      <c r="E38" s="59"/>
      <c r="F38" s="59"/>
      <c r="G38" s="59"/>
      <c r="H38" s="59"/>
      <c r="I38" s="59"/>
      <c r="J38" s="59"/>
      <c r="K38" s="59"/>
    </row>
    <row r="39" spans="2:11">
      <c r="B39" s="255"/>
      <c r="C39" s="60"/>
      <c r="D39" s="60"/>
      <c r="E39" s="60"/>
      <c r="F39" s="60"/>
      <c r="G39" s="60"/>
      <c r="H39" s="60"/>
      <c r="I39" s="60"/>
      <c r="J39" s="60"/>
      <c r="K39" s="60"/>
    </row>
    <row r="40" spans="2:11">
      <c r="B40" s="255"/>
      <c r="C40" s="60"/>
      <c r="D40" s="60"/>
      <c r="E40" s="60"/>
      <c r="F40" s="60"/>
      <c r="G40" s="60"/>
      <c r="H40" s="60"/>
      <c r="I40" s="60"/>
      <c r="J40" s="60"/>
      <c r="K40" s="60"/>
    </row>
    <row r="41" spans="2:11">
      <c r="B41" s="58"/>
      <c r="C41" s="61"/>
      <c r="D41" s="61"/>
      <c r="E41" s="61"/>
      <c r="F41" s="61"/>
      <c r="G41" s="61"/>
      <c r="H41" s="61"/>
      <c r="I41" s="61"/>
      <c r="J41" s="61"/>
      <c r="K41" s="61"/>
    </row>
    <row r="42" spans="2:11">
      <c r="B42" s="58"/>
      <c r="C42" s="60"/>
      <c r="D42" s="60"/>
      <c r="E42" s="60"/>
      <c r="F42" s="60"/>
      <c r="G42" s="60"/>
      <c r="H42" s="60"/>
      <c r="I42" s="60"/>
      <c r="J42" s="60"/>
      <c r="K42" s="60"/>
    </row>
    <row r="43" spans="2:11">
      <c r="B43" s="58"/>
      <c r="C43" s="60"/>
      <c r="D43" s="60"/>
      <c r="E43" s="60"/>
      <c r="F43" s="60"/>
      <c r="G43" s="60"/>
      <c r="H43" s="60"/>
      <c r="I43" s="60"/>
      <c r="J43" s="60"/>
      <c r="K43" s="60"/>
    </row>
    <row r="44" spans="2:11">
      <c r="B44" s="58"/>
      <c r="C44" s="60"/>
      <c r="D44" s="60"/>
      <c r="E44" s="60"/>
      <c r="F44" s="60"/>
      <c r="G44" s="60"/>
      <c r="H44" s="60"/>
      <c r="I44" s="60"/>
      <c r="J44" s="60"/>
      <c r="K44" s="60"/>
    </row>
    <row r="45" spans="2:11">
      <c r="B45" s="58"/>
      <c r="C45" s="60"/>
      <c r="D45" s="60"/>
      <c r="E45" s="60"/>
      <c r="F45" s="60"/>
      <c r="G45" s="60"/>
      <c r="H45" s="60"/>
      <c r="I45" s="60"/>
      <c r="J45" s="60"/>
      <c r="K45" s="60"/>
    </row>
    <row r="46" spans="2:11">
      <c r="B46" s="58"/>
      <c r="C46" s="60"/>
      <c r="D46" s="60"/>
      <c r="E46" s="60"/>
      <c r="F46" s="60"/>
      <c r="G46" s="60"/>
      <c r="H46" s="60"/>
      <c r="I46" s="60"/>
      <c r="J46" s="60"/>
      <c r="K46" s="60"/>
    </row>
    <row r="47" spans="2:11">
      <c r="B47" s="58"/>
      <c r="C47" s="60"/>
      <c r="D47" s="60"/>
      <c r="E47" s="60"/>
      <c r="F47" s="60"/>
      <c r="G47" s="60"/>
      <c r="H47" s="60"/>
      <c r="I47" s="60"/>
      <c r="J47" s="60"/>
      <c r="K47" s="60"/>
    </row>
    <row r="48" spans="2:11">
      <c r="B48" s="58"/>
      <c r="C48" s="61"/>
      <c r="D48" s="61"/>
      <c r="E48" s="61"/>
      <c r="F48" s="61"/>
      <c r="G48" s="61"/>
      <c r="H48" s="61"/>
      <c r="I48" s="61"/>
      <c r="J48" s="61"/>
      <c r="K48" s="61"/>
    </row>
    <row r="49" spans="2:11">
      <c r="B49" s="58"/>
      <c r="C49" s="60"/>
      <c r="D49" s="60"/>
      <c r="E49" s="60"/>
      <c r="F49" s="60"/>
      <c r="G49" s="60"/>
      <c r="H49" s="60"/>
      <c r="I49" s="60"/>
      <c r="J49" s="60"/>
      <c r="K49" s="60"/>
    </row>
    <row r="50" spans="2:11" ht="4.5" customHeight="1">
      <c r="B50" s="5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2"/>
      <c r="C51" s="60"/>
      <c r="D51" s="60"/>
      <c r="E51" s="60"/>
      <c r="F51" s="60"/>
      <c r="G51" s="60"/>
      <c r="H51" s="60"/>
      <c r="I51" s="60"/>
      <c r="J51" s="60"/>
      <c r="K51" s="60"/>
    </row>
    <row r="52" spans="2:11">
      <c r="B52" s="62"/>
      <c r="C52" s="56"/>
      <c r="D52" s="56"/>
      <c r="E52" s="56"/>
      <c r="F52" s="56"/>
      <c r="G52" s="56"/>
      <c r="H52" s="56"/>
      <c r="I52" s="56"/>
      <c r="J52" s="56"/>
      <c r="K52" s="56"/>
    </row>
    <row r="53" spans="2:11"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2:11">
      <c r="B54" s="86"/>
      <c r="C54" s="58"/>
      <c r="D54" s="58"/>
      <c r="E54" s="58"/>
      <c r="F54" s="58"/>
      <c r="G54" s="58"/>
      <c r="H54" s="58"/>
      <c r="I54" s="58"/>
      <c r="J54" s="58"/>
      <c r="K54" s="58"/>
    </row>
    <row r="55" spans="2:11">
      <c r="B55" s="59"/>
      <c r="C55" s="58"/>
      <c r="D55" s="58"/>
      <c r="E55" s="58"/>
      <c r="F55" s="58"/>
      <c r="G55" s="58"/>
      <c r="H55" s="58"/>
      <c r="I55" s="58"/>
      <c r="J55" s="58"/>
      <c r="K55" s="58"/>
    </row>
    <row r="56" spans="2:11" hidden="1">
      <c r="B56" s="58" t="s">
        <v>132</v>
      </c>
      <c r="C56" s="58">
        <v>0</v>
      </c>
      <c r="D56" s="58">
        <f t="shared" ref="D56:E56" si="0">C56+13</f>
        <v>13</v>
      </c>
      <c r="E56" s="58">
        <f t="shared" si="0"/>
        <v>26</v>
      </c>
      <c r="F56" s="58">
        <f t="shared" ref="F56" si="1">E56+13</f>
        <v>39</v>
      </c>
      <c r="G56" s="58">
        <f t="shared" ref="G56" si="2">F56+13</f>
        <v>52</v>
      </c>
      <c r="H56" s="58">
        <f t="shared" ref="H56" si="3">G56+13</f>
        <v>65</v>
      </c>
      <c r="I56" s="58">
        <f t="shared" ref="I56" si="4">H56+13</f>
        <v>78</v>
      </c>
      <c r="J56" s="58">
        <f t="shared" ref="J56" si="5">I56+13</f>
        <v>91</v>
      </c>
      <c r="K56" s="58">
        <f t="shared" ref="K56" si="6">J56+13</f>
        <v>104</v>
      </c>
    </row>
  </sheetData>
  <phoneticPr fontId="18" type="noConversion"/>
  <conditionalFormatting sqref="C35:K35 C51:K51 C19:K19">
    <cfRule type="cellIs" dxfId="0" priority="6" stopIfTrue="1" operator="lessThan">
      <formula>0</formula>
    </cfRule>
  </conditionalFormatting>
  <printOptions horizontalCentered="1"/>
  <pageMargins left="0.25" right="0.25" top="0.75" bottom="0.75" header="0.3" footer="0.3"/>
  <pageSetup scale="86" fitToHeight="0" orientation="landscape" r:id="rId1"/>
  <headerFooter alignWithMargins="0">
    <oddFooter>&amp;L&amp;8NPC Group - &amp;F   ( &amp;A )&amp;C &amp;R &amp;8&amp;D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Normal="100" zoomScaleSheetLayoutView="85" workbookViewId="0">
      <pane xSplit="1" ySplit="7" topLeftCell="B17" activePane="bottomRight" state="frozen"/>
      <selection activeCell="G24" sqref="G24"/>
      <selection pane="topRight" activeCell="G24" sqref="G24"/>
      <selection pane="bottomLeft" activeCell="G24" sqref="G24"/>
      <selection pane="bottomRight" activeCell="C36" sqref="C36:F36"/>
    </sheetView>
  </sheetViews>
  <sheetFormatPr defaultRowHeight="12"/>
  <cols>
    <col min="1" max="1" width="2.83203125" style="260" customWidth="1"/>
    <col min="2" max="2" width="22.33203125" style="260" customWidth="1"/>
    <col min="3" max="6" width="19.5" style="260" customWidth="1"/>
    <col min="7" max="7" width="15.33203125" style="260" customWidth="1"/>
    <col min="8" max="8" width="15.83203125" style="260" customWidth="1"/>
    <col min="9" max="9" width="9.33203125" style="260"/>
    <col min="10" max="10" width="19" style="260" customWidth="1"/>
    <col min="11" max="11" width="17.1640625" style="260" customWidth="1"/>
    <col min="12" max="12" width="22" style="260" hidden="1" customWidth="1"/>
    <col min="13" max="13" width="17.1640625" style="260" customWidth="1"/>
    <col min="14" max="14" width="3.5" style="260" customWidth="1"/>
    <col min="15" max="16" width="17.1640625" style="260" customWidth="1"/>
    <col min="17" max="16384" width="9.33203125" style="260"/>
  </cols>
  <sheetData>
    <row r="1" spans="1:16">
      <c r="A1" s="2"/>
      <c r="B1" s="2"/>
      <c r="C1" s="2"/>
      <c r="D1" s="2"/>
      <c r="E1" s="2"/>
      <c r="F1" s="2"/>
      <c r="G1" s="2"/>
      <c r="H1" s="259"/>
      <c r="J1" s="2"/>
      <c r="K1" s="2"/>
      <c r="L1" s="2"/>
      <c r="M1" s="2"/>
    </row>
    <row r="2" spans="1:16">
      <c r="A2" s="2"/>
      <c r="B2" s="2" t="s">
        <v>196</v>
      </c>
      <c r="C2" s="2"/>
      <c r="D2" s="2"/>
      <c r="E2" s="2"/>
      <c r="F2" s="2"/>
      <c r="G2" s="2"/>
      <c r="H2" s="259"/>
      <c r="J2" s="2" t="s">
        <v>196</v>
      </c>
      <c r="K2" s="2"/>
      <c r="L2" s="2"/>
      <c r="M2" s="2"/>
    </row>
    <row r="3" spans="1:16">
      <c r="K3" s="261" t="s">
        <v>74</v>
      </c>
      <c r="L3" s="261"/>
    </row>
    <row r="4" spans="1:16">
      <c r="A4" s="262"/>
      <c r="C4" s="262"/>
      <c r="D4" s="262"/>
      <c r="E4" s="262"/>
      <c r="F4" s="262"/>
      <c r="H4" s="263" t="s">
        <v>75</v>
      </c>
      <c r="K4" s="264" t="s">
        <v>159</v>
      </c>
      <c r="L4" s="264"/>
      <c r="M4" s="264"/>
      <c r="O4" s="264" t="s">
        <v>160</v>
      </c>
      <c r="P4" s="264"/>
    </row>
    <row r="5" spans="1:16">
      <c r="A5" s="262"/>
      <c r="B5" s="262"/>
      <c r="H5" s="265">
        <v>0.85</v>
      </c>
      <c r="J5" s="263" t="s">
        <v>148</v>
      </c>
      <c r="K5" s="263" t="s">
        <v>157</v>
      </c>
      <c r="L5" s="263" t="s">
        <v>29</v>
      </c>
      <c r="M5" s="262" t="s">
        <v>158</v>
      </c>
      <c r="O5" s="263" t="s">
        <v>157</v>
      </c>
      <c r="P5" s="262" t="s">
        <v>158</v>
      </c>
    </row>
    <row r="6" spans="1:16">
      <c r="A6" s="262"/>
      <c r="B6" s="263" t="s">
        <v>153</v>
      </c>
      <c r="C6" s="266" t="s">
        <v>151</v>
      </c>
      <c r="D6" s="266"/>
      <c r="E6" s="266" t="s">
        <v>152</v>
      </c>
      <c r="F6" s="266"/>
      <c r="H6" s="262" t="s">
        <v>77</v>
      </c>
      <c r="J6" s="263" t="s">
        <v>149</v>
      </c>
      <c r="K6" s="263" t="s">
        <v>156</v>
      </c>
      <c r="L6" s="263" t="s">
        <v>76</v>
      </c>
      <c r="M6" s="262" t="s">
        <v>80</v>
      </c>
      <c r="O6" s="263" t="s">
        <v>156</v>
      </c>
      <c r="P6" s="262" t="s">
        <v>80</v>
      </c>
    </row>
    <row r="7" spans="1:16" ht="14.25">
      <c r="A7" s="262"/>
      <c r="B7" s="263" t="s">
        <v>150</v>
      </c>
      <c r="C7" s="267" t="s">
        <v>65</v>
      </c>
      <c r="D7" s="267" t="s">
        <v>66</v>
      </c>
      <c r="E7" s="267" t="s">
        <v>65</v>
      </c>
      <c r="F7" s="267" t="s">
        <v>66</v>
      </c>
      <c r="H7" s="262" t="s">
        <v>80</v>
      </c>
      <c r="J7" s="268" t="s">
        <v>150</v>
      </c>
      <c r="K7" s="268" t="s">
        <v>154</v>
      </c>
      <c r="L7" s="268" t="s">
        <v>86</v>
      </c>
      <c r="M7" s="268" t="s">
        <v>155</v>
      </c>
      <c r="O7" s="268" t="s">
        <v>154</v>
      </c>
      <c r="P7" s="268" t="s">
        <v>155</v>
      </c>
    </row>
    <row r="8" spans="1:16">
      <c r="A8" s="269"/>
      <c r="B8" s="270">
        <f>J8</f>
        <v>2013</v>
      </c>
      <c r="C8" s="271">
        <f>ROUND('Table 2'!C57/10,3)</f>
        <v>4.6550000000000002</v>
      </c>
      <c r="D8" s="271">
        <f>ROUND('Table 2'!G57/10,3)</f>
        <v>4.6289999999999996</v>
      </c>
      <c r="E8" s="271">
        <f>ROUND('Table 2'!D57/10,3)</f>
        <v>3.4319999999999999</v>
      </c>
      <c r="F8" s="271">
        <f>ROUND('Table 2'!H57/10,3)</f>
        <v>3.4060000000000001</v>
      </c>
      <c r="H8" s="271">
        <f>ROUND((K8*6*100/(4416*$H$5)+M8),3)</f>
        <v>4.165</v>
      </c>
      <c r="I8" s="272"/>
      <c r="J8" s="270">
        <f>'Tables 3 to 6'!B12</f>
        <v>2013</v>
      </c>
      <c r="K8" s="273">
        <f>ROUND(L8/6,2)</f>
        <v>4.67</v>
      </c>
      <c r="L8" s="273">
        <f>ROUND(INDEX('Tables 3 to 6'!O:O,MATCH(J8,'Tables 3 to 6'!B:B,0)),2)</f>
        <v>28.04</v>
      </c>
      <c r="M8" s="271">
        <f>ROUND(INDEX('Tables 3 to 6'!P:P,MATCH(J8,'Tables 3 to 6'!B:B,0)),2)/10</f>
        <v>3.4189999999999996</v>
      </c>
      <c r="O8" s="273">
        <f>-PMT($R$30,COUNT(K8:K27),NPV($R$30,K8:K27))</f>
        <v>8.0145503695976021</v>
      </c>
      <c r="P8" s="274">
        <f>-PMT($R$30,COUNT(M8:M27),NPV($R$30,M8:M27))</f>
        <v>3.9735009646834771</v>
      </c>
    </row>
    <row r="9" spans="1:16">
      <c r="A9" s="269"/>
      <c r="B9" s="270">
        <f>B8+1</f>
        <v>2014</v>
      </c>
      <c r="C9" s="271">
        <f>ROUND('Table 2'!C58/10,3)</f>
        <v>4.1740000000000004</v>
      </c>
      <c r="D9" s="271">
        <f>ROUND('Table 2'!G58/10,3)</f>
        <v>4.0410000000000004</v>
      </c>
      <c r="E9" s="271">
        <f>ROUND('Table 2'!D58/10,3)</f>
        <v>3.129</v>
      </c>
      <c r="F9" s="271">
        <f>ROUND('Table 2'!H58/10,3)</f>
        <v>2.996</v>
      </c>
      <c r="H9" s="271">
        <f t="shared" ref="H9:H32" si="0">ROUND((K9*12*100/(8760*$H$5)+M9),3)</f>
        <v>3.722</v>
      </c>
      <c r="I9" s="272"/>
      <c r="J9" s="270">
        <f>J8+1</f>
        <v>2014</v>
      </c>
      <c r="K9" s="273">
        <f>ROUND(L9/12,2)</f>
        <v>3.96</v>
      </c>
      <c r="L9" s="273">
        <f>ROUND(INDEX('Tables 3 to 6'!O:O,MATCH(J9,'Tables 3 to 6'!B:B,0)),2)</f>
        <v>47.52</v>
      </c>
      <c r="M9" s="271">
        <f>ROUND(INDEX('Tables 3 to 6'!P:P,MATCH(J9,'Tables 3 to 6'!B:B,0)),2)/10</f>
        <v>3.0840000000000001</v>
      </c>
    </row>
    <row r="10" spans="1:16">
      <c r="A10" s="269"/>
      <c r="B10" s="270">
        <f t="shared" ref="B10:B18" si="1">B9+1</f>
        <v>2015</v>
      </c>
      <c r="C10" s="271">
        <f>ROUND('Table 2'!C59/10,3)</f>
        <v>4.3559999999999999</v>
      </c>
      <c r="D10" s="271">
        <f>ROUND('Table 2'!G59/10,3)</f>
        <v>4.5549999999999997</v>
      </c>
      <c r="E10" s="271">
        <f>ROUND('Table 2'!D59/10,3)</f>
        <v>3.0819999999999999</v>
      </c>
      <c r="F10" s="271">
        <f>ROUND('Table 2'!H59/10,3)</f>
        <v>3.2810000000000001</v>
      </c>
      <c r="H10" s="271">
        <f t="shared" si="0"/>
        <v>3.9260000000000002</v>
      </c>
      <c r="I10" s="272"/>
      <c r="J10" s="270">
        <f t="shared" ref="J10:J18" si="2">J9+1</f>
        <v>2015</v>
      </c>
      <c r="K10" s="273">
        <f t="shared" ref="K10:K18" si="3">ROUND(L10/12,2)</f>
        <v>4.83</v>
      </c>
      <c r="L10" s="273">
        <f>ROUND(INDEX('Tables 3 to 6'!O:O,MATCH(J10,'Tables 3 to 6'!B:B,0)),2)</f>
        <v>57.94</v>
      </c>
      <c r="M10" s="271">
        <f>ROUND(INDEX('Tables 3 to 6'!P:P,MATCH(J10,'Tables 3 to 6'!B:B,0)),2)/10</f>
        <v>3.1480000000000001</v>
      </c>
    </row>
    <row r="11" spans="1:16">
      <c r="A11" s="269"/>
      <c r="B11" s="270">
        <f t="shared" si="1"/>
        <v>2016</v>
      </c>
      <c r="C11" s="271">
        <f>ROUND('Table 2'!C60/10,3)</f>
        <v>4.6230000000000002</v>
      </c>
      <c r="D11" s="271">
        <f>ROUND('Table 2'!G60/10,3)</f>
        <v>4.9130000000000003</v>
      </c>
      <c r="E11" s="271">
        <f>ROUND('Table 2'!D60/10,3)</f>
        <v>3.113</v>
      </c>
      <c r="F11" s="271">
        <f>ROUND('Table 2'!H60/10,3)</f>
        <v>3.403</v>
      </c>
      <c r="H11" s="271">
        <f t="shared" si="0"/>
        <v>4.1319999999999997</v>
      </c>
      <c r="I11" s="272"/>
      <c r="J11" s="270">
        <f t="shared" si="2"/>
        <v>2016</v>
      </c>
      <c r="K11" s="273">
        <f t="shared" si="3"/>
        <v>5.72</v>
      </c>
      <c r="L11" s="273">
        <f>ROUND(INDEX('Tables 3 to 6'!O:O,MATCH(J11,'Tables 3 to 6'!B:B,0)),2)</f>
        <v>68.680000000000007</v>
      </c>
      <c r="M11" s="271">
        <f>ROUND(INDEX('Tables 3 to 6'!P:P,MATCH(J11,'Tables 3 to 6'!B:B,0)),2)/10</f>
        <v>3.21</v>
      </c>
    </row>
    <row r="12" spans="1:16">
      <c r="A12" s="269"/>
      <c r="B12" s="270">
        <f t="shared" si="1"/>
        <v>2017</v>
      </c>
      <c r="C12" s="271">
        <f>ROUND('Table 2'!C61/10,3)</f>
        <v>4.7690000000000001</v>
      </c>
      <c r="D12" s="271">
        <f>ROUND('Table 2'!G61/10,3)</f>
        <v>5.1870000000000003</v>
      </c>
      <c r="E12" s="271">
        <f>ROUND('Table 2'!D61/10,3)</f>
        <v>3.2330000000000001</v>
      </c>
      <c r="F12" s="271">
        <f>ROUND('Table 2'!H61/10,3)</f>
        <v>3.6509999999999998</v>
      </c>
      <c r="H12" s="271">
        <f t="shared" si="0"/>
        <v>4.3109999999999999</v>
      </c>
      <c r="I12" s="272"/>
      <c r="J12" s="270">
        <f t="shared" si="2"/>
        <v>2017</v>
      </c>
      <c r="K12" s="273">
        <f t="shared" si="3"/>
        <v>5.82</v>
      </c>
      <c r="L12" s="273">
        <f>ROUND(INDEX('Tables 3 to 6'!O:O,MATCH(J12,'Tables 3 to 6'!B:B,0)),2)</f>
        <v>69.849999999999994</v>
      </c>
      <c r="M12" s="271">
        <f>ROUND(INDEX('Tables 3 to 6'!P:P,MATCH(J12,'Tables 3 to 6'!B:B,0)),2)/10</f>
        <v>3.3729999999999998</v>
      </c>
    </row>
    <row r="13" spans="1:16">
      <c r="A13" s="269"/>
      <c r="B13" s="270">
        <f t="shared" si="1"/>
        <v>2018</v>
      </c>
      <c r="C13" s="271">
        <f>ROUND('Table 2'!C62/10,3)</f>
        <v>5.0629999999999997</v>
      </c>
      <c r="D13" s="271">
        <f>ROUND('Table 2'!G62/10,3)</f>
        <v>5.6760000000000002</v>
      </c>
      <c r="E13" s="271">
        <f>ROUND('Table 2'!D62/10,3)</f>
        <v>3.2770000000000001</v>
      </c>
      <c r="F13" s="271">
        <f>ROUND('Table 2'!H62/10,3)</f>
        <v>3.89</v>
      </c>
      <c r="H13" s="271">
        <f t="shared" si="0"/>
        <v>4.5730000000000004</v>
      </c>
      <c r="I13" s="272"/>
      <c r="J13" s="270">
        <f t="shared" si="2"/>
        <v>2018</v>
      </c>
      <c r="K13" s="273">
        <f t="shared" si="3"/>
        <v>6.77</v>
      </c>
      <c r="L13" s="273">
        <f>ROUND(INDEX('Tables 3 to 6'!O:O,MATCH(J13,'Tables 3 to 6'!B:B,0)),2)</f>
        <v>81.260000000000005</v>
      </c>
      <c r="M13" s="271">
        <f>ROUND(INDEX('Tables 3 to 6'!P:P,MATCH(J13,'Tables 3 to 6'!B:B,0)),2)/10</f>
        <v>3.4820000000000002</v>
      </c>
    </row>
    <row r="14" spans="1:16">
      <c r="A14" s="269"/>
      <c r="B14" s="270">
        <f t="shared" si="1"/>
        <v>2019</v>
      </c>
      <c r="C14" s="271">
        <f>ROUND('Table 2'!C63/10,3)</f>
        <v>5.2279999999999998</v>
      </c>
      <c r="D14" s="271">
        <f>ROUND('Table 2'!G63/10,3)</f>
        <v>6.1589999999999998</v>
      </c>
      <c r="E14" s="271">
        <f>ROUND('Table 2'!D63/10,3)</f>
        <v>3.41</v>
      </c>
      <c r="F14" s="271">
        <f>ROUND('Table 2'!H63/10,3)</f>
        <v>4.3410000000000002</v>
      </c>
      <c r="H14" s="271">
        <f t="shared" si="0"/>
        <v>4.83</v>
      </c>
      <c r="I14" s="272"/>
      <c r="J14" s="270">
        <f t="shared" si="2"/>
        <v>2019</v>
      </c>
      <c r="K14" s="273">
        <f t="shared" si="3"/>
        <v>6.89</v>
      </c>
      <c r="L14" s="273">
        <f>ROUND(INDEX('Tables 3 to 6'!O:O,MATCH(J14,'Tables 3 to 6'!B:B,0)),2)</f>
        <v>82.72</v>
      </c>
      <c r="M14" s="271">
        <f>ROUND(INDEX('Tables 3 to 6'!P:P,MATCH(J14,'Tables 3 to 6'!B:B,0)),2)/10</f>
        <v>3.72</v>
      </c>
    </row>
    <row r="15" spans="1:16">
      <c r="A15" s="269"/>
      <c r="B15" s="270">
        <f t="shared" si="1"/>
        <v>2020</v>
      </c>
      <c r="C15" s="271">
        <f>ROUND('Table 2'!C64/10,3)</f>
        <v>5.6520000000000001</v>
      </c>
      <c r="D15" s="271">
        <f>ROUND('Table 2'!G64/10,3)</f>
        <v>6.6630000000000003</v>
      </c>
      <c r="E15" s="271">
        <f>ROUND('Table 2'!D64/10,3)</f>
        <v>3.8010000000000002</v>
      </c>
      <c r="F15" s="271">
        <f>ROUND('Table 2'!H64/10,3)</f>
        <v>4.8120000000000003</v>
      </c>
      <c r="H15" s="271">
        <f t="shared" si="0"/>
        <v>5.2690000000000001</v>
      </c>
      <c r="I15" s="272"/>
      <c r="J15" s="270">
        <f t="shared" si="2"/>
        <v>2020</v>
      </c>
      <c r="K15" s="273">
        <f t="shared" si="3"/>
        <v>7.02</v>
      </c>
      <c r="L15" s="273">
        <f>ROUND(INDEX('Tables 3 to 6'!O:O,MATCH(J15,'Tables 3 to 6'!B:B,0)),2)</f>
        <v>84.21</v>
      </c>
      <c r="M15" s="271">
        <f>ROUND(INDEX('Tables 3 to 6'!P:P,MATCH(J15,'Tables 3 to 6'!B:B,0)),2)/10</f>
        <v>4.1379999999999999</v>
      </c>
    </row>
    <row r="16" spans="1:16">
      <c r="A16" s="269"/>
      <c r="B16" s="270">
        <f t="shared" si="1"/>
        <v>2021</v>
      </c>
      <c r="C16" s="271">
        <f>ROUND('Table 2'!C65/10,3)</f>
        <v>6.5970000000000004</v>
      </c>
      <c r="D16" s="271">
        <f>ROUND('Table 2'!G65/10,3)</f>
        <v>7.1779999999999999</v>
      </c>
      <c r="E16" s="271">
        <f>ROUND('Table 2'!D65/10,3)</f>
        <v>4.4770000000000003</v>
      </c>
      <c r="F16" s="271">
        <f>ROUND('Table 2'!H65/10,3)</f>
        <v>5.0579999999999998</v>
      </c>
      <c r="H16" s="271">
        <f t="shared" si="0"/>
        <v>5.9660000000000002</v>
      </c>
      <c r="I16" s="272"/>
      <c r="J16" s="270">
        <f t="shared" si="2"/>
        <v>2021</v>
      </c>
      <c r="K16" s="273">
        <f t="shared" si="3"/>
        <v>8.0399999999999991</v>
      </c>
      <c r="L16" s="273">
        <f>ROUND(INDEX('Tables 3 to 6'!O:O,MATCH(J16,'Tables 3 to 6'!B:B,0)),2)</f>
        <v>96.44</v>
      </c>
      <c r="M16" s="271">
        <f>ROUND(INDEX('Tables 3 to 6'!P:P,MATCH(J16,'Tables 3 to 6'!B:B,0)),2)/10</f>
        <v>4.67</v>
      </c>
    </row>
    <row r="17" spans="1:18">
      <c r="A17" s="269"/>
      <c r="B17" s="270">
        <f t="shared" si="1"/>
        <v>2022</v>
      </c>
      <c r="C17" s="271">
        <f>ROUND('Table 2'!C66/10,3)</f>
        <v>7.6029999999999998</v>
      </c>
      <c r="D17" s="271">
        <f>ROUND('Table 2'!G66/10,3)</f>
        <v>8.0150000000000006</v>
      </c>
      <c r="E17" s="271">
        <f>ROUND('Table 2'!D66/10,3)</f>
        <v>5.202</v>
      </c>
      <c r="F17" s="271">
        <f>ROUND('Table 2'!H66/10,3)</f>
        <v>5.6139999999999999</v>
      </c>
      <c r="H17" s="271">
        <f t="shared" si="0"/>
        <v>6.806</v>
      </c>
      <c r="I17" s="272"/>
      <c r="J17" s="270">
        <f t="shared" si="2"/>
        <v>2022</v>
      </c>
      <c r="K17" s="273">
        <f t="shared" si="3"/>
        <v>9.1</v>
      </c>
      <c r="L17" s="273">
        <f>ROUND(INDEX('Tables 3 to 6'!O:O,MATCH(J17,'Tables 3 to 6'!B:B,0)),2)</f>
        <v>109.21</v>
      </c>
      <c r="M17" s="271">
        <f>ROUND(INDEX('Tables 3 to 6'!P:P,MATCH(J17,'Tables 3 to 6'!B:B,0)),2)/10</f>
        <v>5.3390000000000004</v>
      </c>
    </row>
    <row r="18" spans="1:18">
      <c r="A18" s="269"/>
      <c r="B18" s="270">
        <f t="shared" si="1"/>
        <v>2023</v>
      </c>
      <c r="C18" s="271">
        <f>ROUND('Table 2'!C67/10,3)</f>
        <v>7.8789999999999996</v>
      </c>
      <c r="D18" s="271">
        <f>ROUND('Table 2'!G67/10,3)</f>
        <v>8.4179999999999993</v>
      </c>
      <c r="E18" s="271">
        <f>ROUND('Table 2'!D67/10,3)</f>
        <v>5.6769999999999996</v>
      </c>
      <c r="F18" s="271">
        <f>ROUND('Table 2'!H67/10,3)</f>
        <v>6.2160000000000002</v>
      </c>
      <c r="H18" s="271">
        <f t="shared" si="0"/>
        <v>7.2030000000000003</v>
      </c>
      <c r="I18" s="272"/>
      <c r="J18" s="270">
        <f t="shared" si="2"/>
        <v>2023</v>
      </c>
      <c r="K18" s="273">
        <f t="shared" si="3"/>
        <v>8.35</v>
      </c>
      <c r="L18" s="273">
        <f>ROUND(INDEX('Tables 3 to 6'!O:O,MATCH(J18,'Tables 3 to 6'!B:B,0)),2)</f>
        <v>100.15</v>
      </c>
      <c r="M18" s="271">
        <f>ROUND(INDEX('Tables 3 to 6'!P:P,MATCH(J18,'Tables 3 to 6'!B:B,0)),2)/10</f>
        <v>5.8570000000000002</v>
      </c>
    </row>
    <row r="19" spans="1:18">
      <c r="A19" s="269"/>
      <c r="B19" s="270">
        <f t="shared" ref="B19:B27" si="4">B18+1</f>
        <v>2024</v>
      </c>
      <c r="C19" s="275">
        <f>ROUND(INDEX('Tables 3 to 6'!Y:Y,MATCH(B19,'Tables 3 to 6'!B:B,0))/10,3)</f>
        <v>7.2460000000000004</v>
      </c>
      <c r="D19" s="271">
        <f t="shared" ref="D19:D32" si="5">C19</f>
        <v>7.2460000000000004</v>
      </c>
      <c r="E19" s="275">
        <f>ROUND(INDEX('Tables 3 to 6'!Z:Z,MATCH(B19,'Tables 3 to 6'!B:B,0))/10,3)</f>
        <v>4.1710000000000003</v>
      </c>
      <c r="F19" s="275">
        <f t="shared" ref="F19:F32" si="6">E19</f>
        <v>4.1710000000000003</v>
      </c>
      <c r="H19" s="271">
        <f t="shared" si="0"/>
        <v>6.05</v>
      </c>
      <c r="I19" s="272"/>
      <c r="J19" s="270">
        <f t="shared" ref="J19:J27" si="7">J18+1</f>
        <v>2024</v>
      </c>
      <c r="K19" s="273">
        <f t="shared" ref="K19:K32" si="8">ROUND(L19/12,2)</f>
        <v>11.66</v>
      </c>
      <c r="L19" s="273">
        <f>ROUND(INDEX('Tables 3 to 6'!O:O,MATCH(J19,'Tables 3 to 6'!B:B,0)),2)</f>
        <v>139.88999999999999</v>
      </c>
      <c r="M19" s="271">
        <f>ROUND(INDEX('Tables 3 to 6'!P:P,MATCH(J19,'Tables 3 to 6'!B:B,0)),2)/10</f>
        <v>4.1710000000000003</v>
      </c>
    </row>
    <row r="20" spans="1:18">
      <c r="A20" s="269"/>
      <c r="B20" s="270">
        <f t="shared" si="4"/>
        <v>2025</v>
      </c>
      <c r="C20" s="275">
        <f>ROUND(INDEX('Tables 3 to 6'!Y:Y,MATCH(B20,'Tables 3 to 6'!B:B,0))/10,3)</f>
        <v>7.3070000000000004</v>
      </c>
      <c r="D20" s="271">
        <f t="shared" si="5"/>
        <v>7.3070000000000004</v>
      </c>
      <c r="E20" s="275">
        <f>ROUND(INDEX('Tables 3 to 6'!Z:Z,MATCH(B20,'Tables 3 to 6'!B:B,0))/10,3)</f>
        <v>4.173</v>
      </c>
      <c r="F20" s="275">
        <f t="shared" si="6"/>
        <v>4.173</v>
      </c>
      <c r="H20" s="271">
        <f t="shared" si="0"/>
        <v>6.0880000000000001</v>
      </c>
      <c r="I20" s="272"/>
      <c r="J20" s="270">
        <f t="shared" si="7"/>
        <v>2025</v>
      </c>
      <c r="K20" s="273">
        <f t="shared" si="8"/>
        <v>11.88</v>
      </c>
      <c r="L20" s="273">
        <f>ROUND(INDEX('Tables 3 to 6'!O:O,MATCH(J20,'Tables 3 to 6'!B:B,0)),2)</f>
        <v>142.55000000000001</v>
      </c>
      <c r="M20" s="271">
        <f>ROUND(INDEX('Tables 3 to 6'!P:P,MATCH(J20,'Tables 3 to 6'!B:B,0)),2)/10</f>
        <v>4.173</v>
      </c>
      <c r="R20" s="276"/>
    </row>
    <row r="21" spans="1:18">
      <c r="A21" s="269"/>
      <c r="B21" s="270">
        <f t="shared" si="4"/>
        <v>2026</v>
      </c>
      <c r="C21" s="275">
        <f>ROUND(INDEX('Tables 3 to 6'!Y:Y,MATCH(B21,'Tables 3 to 6'!B:B,0))/10,3)</f>
        <v>7.4980000000000002</v>
      </c>
      <c r="D21" s="271">
        <f t="shared" si="5"/>
        <v>7.4980000000000002</v>
      </c>
      <c r="E21" s="275">
        <f>ROUND(INDEX('Tables 3 to 6'!Z:Z,MATCH(B21,'Tables 3 to 6'!B:B,0))/10,3)</f>
        <v>4.3049999999999997</v>
      </c>
      <c r="F21" s="275">
        <f t="shared" si="6"/>
        <v>4.3049999999999997</v>
      </c>
      <c r="H21" s="271">
        <f t="shared" si="0"/>
        <v>6.2549999999999999</v>
      </c>
      <c r="I21" s="272"/>
      <c r="J21" s="270">
        <f t="shared" si="7"/>
        <v>2026</v>
      </c>
      <c r="K21" s="273">
        <f t="shared" si="8"/>
        <v>12.1</v>
      </c>
      <c r="L21" s="273">
        <f>ROUND(INDEX('Tables 3 to 6'!O:O,MATCH(J21,'Tables 3 to 6'!B:B,0)),2)</f>
        <v>145.25</v>
      </c>
      <c r="M21" s="271">
        <f>ROUND(INDEX('Tables 3 to 6'!P:P,MATCH(J21,'Tables 3 to 6'!B:B,0)),2)/10</f>
        <v>4.3049999999999997</v>
      </c>
    </row>
    <row r="22" spans="1:18">
      <c r="A22" s="269"/>
      <c r="B22" s="270">
        <f t="shared" si="4"/>
        <v>2027</v>
      </c>
      <c r="C22" s="275">
        <f>ROUND(INDEX('Tables 3 to 6'!Y:Y,MATCH(B22,'Tables 3 to 6'!B:B,0))/10,3)</f>
        <v>7.5510000000000002</v>
      </c>
      <c r="D22" s="271">
        <f t="shared" si="5"/>
        <v>7.5510000000000002</v>
      </c>
      <c r="E22" s="275">
        <f>ROUND(INDEX('Tables 3 to 6'!Z:Z,MATCH(B22,'Tables 3 to 6'!B:B,0))/10,3)</f>
        <v>4.3010000000000002</v>
      </c>
      <c r="F22" s="275">
        <f t="shared" si="6"/>
        <v>4.3010000000000002</v>
      </c>
      <c r="H22" s="271">
        <f t="shared" si="0"/>
        <v>6.2859999999999996</v>
      </c>
      <c r="I22" s="272"/>
      <c r="J22" s="270">
        <f t="shared" si="7"/>
        <v>2027</v>
      </c>
      <c r="K22" s="273">
        <f t="shared" si="8"/>
        <v>12.32</v>
      </c>
      <c r="L22" s="273">
        <f>ROUND(INDEX('Tables 3 to 6'!O:O,MATCH(J22,'Tables 3 to 6'!B:B,0)),2)</f>
        <v>147.85</v>
      </c>
      <c r="M22" s="271">
        <f>ROUND(INDEX('Tables 3 to 6'!P:P,MATCH(J22,'Tables 3 to 6'!B:B,0)),2)/10</f>
        <v>4.3010000000000002</v>
      </c>
    </row>
    <row r="23" spans="1:18">
      <c r="A23" s="269"/>
      <c r="B23" s="270">
        <f t="shared" si="4"/>
        <v>2028</v>
      </c>
      <c r="C23" s="275">
        <f>ROUND(INDEX('Tables 3 to 6'!Y:Y,MATCH(B23,'Tables 3 to 6'!B:B,0))/10,3)</f>
        <v>7.7679999999999998</v>
      </c>
      <c r="D23" s="271">
        <f t="shared" si="5"/>
        <v>7.7679999999999998</v>
      </c>
      <c r="E23" s="275">
        <f>ROUND(INDEX('Tables 3 to 6'!Z:Z,MATCH(B23,'Tables 3 to 6'!B:B,0))/10,3)</f>
        <v>4.4589999999999996</v>
      </c>
      <c r="F23" s="275">
        <f t="shared" si="6"/>
        <v>4.4589999999999996</v>
      </c>
      <c r="H23" s="271">
        <f t="shared" si="0"/>
        <v>6.48</v>
      </c>
      <c r="I23" s="272"/>
      <c r="J23" s="270">
        <f t="shared" si="7"/>
        <v>2028</v>
      </c>
      <c r="K23" s="273">
        <f t="shared" si="8"/>
        <v>12.54</v>
      </c>
      <c r="L23" s="273">
        <f>ROUND(INDEX('Tables 3 to 6'!O:O,MATCH(J23,'Tables 3 to 6'!B:B,0)),2)</f>
        <v>150.51</v>
      </c>
      <c r="M23" s="271">
        <f>ROUND(INDEX('Tables 3 to 6'!P:P,MATCH(J23,'Tables 3 to 6'!B:B,0)),2)/10</f>
        <v>4.4590000000000005</v>
      </c>
    </row>
    <row r="24" spans="1:18">
      <c r="A24" s="269"/>
      <c r="B24" s="270">
        <f t="shared" si="4"/>
        <v>2029</v>
      </c>
      <c r="C24" s="275">
        <f>ROUND(INDEX('Tables 3 to 6'!Y:Y,MATCH(B24,'Tables 3 to 6'!B:B,0))/10,3)</f>
        <v>7.9640000000000004</v>
      </c>
      <c r="D24" s="271">
        <f t="shared" si="5"/>
        <v>7.9640000000000004</v>
      </c>
      <c r="E24" s="275">
        <f>ROUND(INDEX('Tables 3 to 6'!Z:Z,MATCH(B24,'Tables 3 to 6'!B:B,0))/10,3)</f>
        <v>4.5919999999999996</v>
      </c>
      <c r="F24" s="275">
        <f t="shared" si="6"/>
        <v>4.5919999999999996</v>
      </c>
      <c r="H24" s="271">
        <f t="shared" si="0"/>
        <v>6.6520000000000001</v>
      </c>
      <c r="I24" s="272"/>
      <c r="J24" s="270">
        <f t="shared" si="7"/>
        <v>2029</v>
      </c>
      <c r="K24" s="273">
        <f t="shared" si="8"/>
        <v>12.78</v>
      </c>
      <c r="L24" s="273">
        <f>ROUND(INDEX('Tables 3 to 6'!O:O,MATCH(J24,'Tables 3 to 6'!B:B,0)),2)</f>
        <v>153.38</v>
      </c>
      <c r="M24" s="271">
        <f>ROUND(INDEX('Tables 3 to 6'!P:P,MATCH(J24,'Tables 3 to 6'!B:B,0)),2)/10</f>
        <v>4.5920000000000005</v>
      </c>
    </row>
    <row r="25" spans="1:18">
      <c r="A25" s="269"/>
      <c r="B25" s="270">
        <f t="shared" si="4"/>
        <v>2030</v>
      </c>
      <c r="C25" s="275">
        <f>ROUND(INDEX('Tables 3 to 6'!Y:Y,MATCH(B25,'Tables 3 to 6'!B:B,0))/10,3)</f>
        <v>8.0630000000000006</v>
      </c>
      <c r="D25" s="271">
        <f t="shared" si="5"/>
        <v>8.0630000000000006</v>
      </c>
      <c r="E25" s="275">
        <f>ROUND(INDEX('Tables 3 to 6'!Z:Z,MATCH(B25,'Tables 3 to 6'!B:B,0))/10,3)</f>
        <v>4.6269999999999998</v>
      </c>
      <c r="F25" s="275">
        <f t="shared" si="6"/>
        <v>4.6269999999999998</v>
      </c>
      <c r="G25" s="269"/>
      <c r="H25" s="271">
        <f t="shared" si="0"/>
        <v>6.7249999999999996</v>
      </c>
      <c r="I25" s="272"/>
      <c r="J25" s="270">
        <f t="shared" si="7"/>
        <v>2030</v>
      </c>
      <c r="K25" s="273">
        <f t="shared" si="8"/>
        <v>13.02</v>
      </c>
      <c r="L25" s="273">
        <f>ROUND(INDEX('Tables 3 to 6'!O:O,MATCH(J25,'Tables 3 to 6'!B:B,0)),2)</f>
        <v>156.29</v>
      </c>
      <c r="M25" s="271">
        <f>ROUND(INDEX('Tables 3 to 6'!P:P,MATCH(J25,'Tables 3 to 6'!B:B,0)),2)/10</f>
        <v>4.6270000000000007</v>
      </c>
    </row>
    <row r="26" spans="1:18">
      <c r="A26" s="269"/>
      <c r="B26" s="270">
        <f t="shared" si="4"/>
        <v>2031</v>
      </c>
      <c r="C26" s="275">
        <f>ROUND(INDEX('Tables 3 to 6'!Y:Y,MATCH(B26,'Tables 3 to 6'!B:B,0))/10,3)</f>
        <v>8.1690000000000005</v>
      </c>
      <c r="D26" s="271">
        <f t="shared" si="5"/>
        <v>8.1690000000000005</v>
      </c>
      <c r="E26" s="275">
        <f>ROUND(INDEX('Tables 3 to 6'!Z:Z,MATCH(B26,'Tables 3 to 6'!B:B,0))/10,3)</f>
        <v>4.6680000000000001</v>
      </c>
      <c r="F26" s="275">
        <f t="shared" si="6"/>
        <v>4.6680000000000001</v>
      </c>
      <c r="G26" s="269"/>
      <c r="H26" s="271">
        <f t="shared" si="0"/>
        <v>6.8070000000000004</v>
      </c>
      <c r="I26" s="272"/>
      <c r="J26" s="270">
        <f t="shared" si="7"/>
        <v>2031</v>
      </c>
      <c r="K26" s="273">
        <f t="shared" si="8"/>
        <v>13.27</v>
      </c>
      <c r="L26" s="273">
        <f>ROUND(INDEX('Tables 3 to 6'!O:O,MATCH(J26,'Tables 3 to 6'!B:B,0)),2)</f>
        <v>159.27000000000001</v>
      </c>
      <c r="M26" s="271">
        <f>ROUND(INDEX('Tables 3 to 6'!P:P,MATCH(J26,'Tables 3 to 6'!B:B,0)),2)/10</f>
        <v>4.6680000000000001</v>
      </c>
    </row>
    <row r="27" spans="1:18">
      <c r="A27" s="269"/>
      <c r="B27" s="270">
        <f t="shared" si="4"/>
        <v>2032</v>
      </c>
      <c r="C27" s="275">
        <f>ROUND(INDEX('Tables 3 to 6'!Y:Y,MATCH(B27,'Tables 3 to 6'!B:B,0))/10,3)</f>
        <v>8.3239999999999998</v>
      </c>
      <c r="D27" s="271">
        <f t="shared" si="5"/>
        <v>8.3239999999999998</v>
      </c>
      <c r="E27" s="275">
        <f>ROUND(INDEX('Tables 3 to 6'!Z:Z,MATCH(B27,'Tables 3 to 6'!B:B,0))/10,3)</f>
        <v>4.7560000000000002</v>
      </c>
      <c r="F27" s="275">
        <f t="shared" si="6"/>
        <v>4.7560000000000002</v>
      </c>
      <c r="G27" s="269"/>
      <c r="H27" s="271">
        <f t="shared" si="0"/>
        <v>6.9349999999999996</v>
      </c>
      <c r="I27" s="272"/>
      <c r="J27" s="270">
        <f t="shared" si="7"/>
        <v>2032</v>
      </c>
      <c r="K27" s="273">
        <f t="shared" si="8"/>
        <v>13.52</v>
      </c>
      <c r="L27" s="273">
        <f>ROUND(INDEX('Tables 3 to 6'!O:O,MATCH(J27,'Tables 3 to 6'!B:B,0)),2)</f>
        <v>162.29</v>
      </c>
      <c r="M27" s="271">
        <f>ROUND(INDEX('Tables 3 to 6'!P:P,MATCH(J27,'Tables 3 to 6'!B:B,0)),2)/10</f>
        <v>4.7560000000000002</v>
      </c>
    </row>
    <row r="28" spans="1:18">
      <c r="A28" s="269"/>
      <c r="B28" s="270">
        <f>B27+1</f>
        <v>2033</v>
      </c>
      <c r="C28" s="275">
        <f>ROUND(INDEX('Tables 3 to 6'!Y:Y,MATCH(B28,'Tables 3 to 6'!B:B,0))/10,3)</f>
        <v>8.4830000000000005</v>
      </c>
      <c r="D28" s="271">
        <f t="shared" si="5"/>
        <v>8.4830000000000005</v>
      </c>
      <c r="E28" s="275">
        <f>ROUND(INDEX('Tables 3 to 6'!Z:Z,MATCH(B28,'Tables 3 to 6'!B:B,0))/10,3)</f>
        <v>4.8479999999999999</v>
      </c>
      <c r="F28" s="275">
        <f t="shared" si="6"/>
        <v>4.8479999999999999</v>
      </c>
      <c r="G28" s="269"/>
      <c r="H28" s="271">
        <f t="shared" si="0"/>
        <v>7.069</v>
      </c>
      <c r="I28" s="272"/>
      <c r="J28" s="270">
        <f>J27+1</f>
        <v>2033</v>
      </c>
      <c r="K28" s="273">
        <f t="shared" si="8"/>
        <v>13.78</v>
      </c>
      <c r="L28" s="273">
        <f>ROUND(INDEX('Tables 3 to 6'!O:O,MATCH(J28,'Tables 3 to 6'!B:B,0)),2)</f>
        <v>165.37</v>
      </c>
      <c r="M28" s="271">
        <f>ROUND(INDEX('Tables 3 to 6'!P:P,MATCH(J28,'Tables 3 to 6'!B:B,0)),2)/10</f>
        <v>4.8479999999999999</v>
      </c>
    </row>
    <row r="29" spans="1:18">
      <c r="A29" s="269"/>
      <c r="B29" s="270">
        <f>B28+1</f>
        <v>2034</v>
      </c>
      <c r="C29" s="275">
        <f>ROUND(INDEX('Tables 3 to 6'!Y:Y,MATCH(B29,'Tables 3 to 6'!B:B,0))/10,3)</f>
        <v>8.64</v>
      </c>
      <c r="D29" s="271">
        <f t="shared" si="5"/>
        <v>8.64</v>
      </c>
      <c r="E29" s="275">
        <f>ROUND(INDEX('Tables 3 to 6'!Z:Z,MATCH(B29,'Tables 3 to 6'!B:B,0))/10,3)</f>
        <v>4.9359999999999999</v>
      </c>
      <c r="F29" s="275">
        <f t="shared" si="6"/>
        <v>4.9359999999999999</v>
      </c>
      <c r="G29" s="269"/>
      <c r="H29" s="271">
        <f t="shared" si="0"/>
        <v>7.1989999999999998</v>
      </c>
      <c r="I29" s="272"/>
      <c r="J29" s="270">
        <f>J28+1</f>
        <v>2034</v>
      </c>
      <c r="K29" s="273">
        <f t="shared" si="8"/>
        <v>14.04</v>
      </c>
      <c r="L29" s="273">
        <f>ROUND(INDEX('Tables 3 to 6'!O:O,MATCH(J29,'Tables 3 to 6'!B:B,0)),2)</f>
        <v>168.51</v>
      </c>
      <c r="M29" s="271">
        <f>ROUND(INDEX('Tables 3 to 6'!P:P,MATCH(J29,'Tables 3 to 6'!B:B,0)),2)/10</f>
        <v>4.9359999999999999</v>
      </c>
      <c r="R29" s="260" t="str">
        <f>'Table 7'!G37</f>
        <v>Discount Rate - 2013 IRP Page 164</v>
      </c>
    </row>
    <row r="30" spans="1:18">
      <c r="A30" s="269"/>
      <c r="B30" s="270">
        <f>B29+1</f>
        <v>2035</v>
      </c>
      <c r="C30" s="275">
        <f>ROUND(INDEX('Tables 3 to 6'!Y:Y,MATCH(B30,'Tables 3 to 6'!B:B,0))/10,3)</f>
        <v>8.8049999999999997</v>
      </c>
      <c r="D30" s="271">
        <f t="shared" si="5"/>
        <v>8.8049999999999997</v>
      </c>
      <c r="E30" s="275">
        <f>ROUND(INDEX('Tables 3 to 6'!Z:Z,MATCH(B30,'Tables 3 to 6'!B:B,0))/10,3)</f>
        <v>5.03</v>
      </c>
      <c r="F30" s="275">
        <f t="shared" si="6"/>
        <v>5.03</v>
      </c>
      <c r="G30" s="269"/>
      <c r="H30" s="271">
        <f t="shared" si="0"/>
        <v>7.3360000000000003</v>
      </c>
      <c r="I30" s="272"/>
      <c r="J30" s="270">
        <f>J29+1</f>
        <v>2035</v>
      </c>
      <c r="K30" s="273">
        <f t="shared" si="8"/>
        <v>14.31</v>
      </c>
      <c r="L30" s="273">
        <f>ROUND(INDEX('Tables 3 to 6'!O:O,MATCH(J30,'Tables 3 to 6'!B:B,0)),2)</f>
        <v>171.71</v>
      </c>
      <c r="M30" s="271">
        <f>ROUND(INDEX('Tables 3 to 6'!P:P,MATCH(J30,'Tables 3 to 6'!B:B,0)),2)/10</f>
        <v>5.0299999999999994</v>
      </c>
      <c r="R30" s="277">
        <f>'Table 7'!G38</f>
        <v>6.8820000000000006E-2</v>
      </c>
    </row>
    <row r="31" spans="1:18">
      <c r="A31" s="269"/>
      <c r="B31" s="270">
        <f>B30+1</f>
        <v>2036</v>
      </c>
      <c r="C31" s="275">
        <f>ROUND(INDEX('Tables 3 to 6'!Y:Y,MATCH(B31,'Tables 3 to 6'!B:B,0))/10,3)</f>
        <v>8.9770000000000003</v>
      </c>
      <c r="D31" s="271">
        <f t="shared" si="5"/>
        <v>8.9770000000000003</v>
      </c>
      <c r="E31" s="275">
        <f>ROUND(INDEX('Tables 3 to 6'!Z:Z,MATCH(B31,'Tables 3 to 6'!B:B,0))/10,3)</f>
        <v>5.13</v>
      </c>
      <c r="F31" s="275">
        <f t="shared" si="6"/>
        <v>5.13</v>
      </c>
      <c r="G31" s="269"/>
      <c r="H31" s="271">
        <f t="shared" si="0"/>
        <v>7.48</v>
      </c>
      <c r="I31" s="272"/>
      <c r="J31" s="270">
        <f>J30+1</f>
        <v>2036</v>
      </c>
      <c r="K31" s="273">
        <f t="shared" si="8"/>
        <v>14.58</v>
      </c>
      <c r="L31" s="273">
        <f>ROUND(INDEX('Tables 3 to 6'!O:O,MATCH(J31,'Tables 3 to 6'!B:B,0)),2)</f>
        <v>174.98</v>
      </c>
      <c r="M31" s="271">
        <f>ROUND(INDEX('Tables 3 to 6'!P:P,MATCH(J31,'Tables 3 to 6'!B:B,0)),2)/10</f>
        <v>5.13</v>
      </c>
    </row>
    <row r="32" spans="1:18">
      <c r="A32" s="269"/>
      <c r="B32" s="270">
        <f>B31+1</f>
        <v>2037</v>
      </c>
      <c r="C32" s="275">
        <f>ROUND(INDEX('Tables 3 to 6'!Y:Y,MATCH(B32,'Tables 3 to 6'!B:B,0))/10,3)</f>
        <v>9.1440000000000001</v>
      </c>
      <c r="D32" s="271">
        <f t="shared" si="5"/>
        <v>9.1440000000000001</v>
      </c>
      <c r="E32" s="275">
        <f>ROUND(INDEX('Tables 3 to 6'!Z:Z,MATCH(B32,'Tables 3 to 6'!B:B,0))/10,3)</f>
        <v>5.2240000000000002</v>
      </c>
      <c r="F32" s="275">
        <f t="shared" si="6"/>
        <v>5.2240000000000002</v>
      </c>
      <c r="G32" s="269"/>
      <c r="H32" s="271">
        <f t="shared" si="0"/>
        <v>7.6189999999999998</v>
      </c>
      <c r="I32" s="272"/>
      <c r="J32" s="270">
        <f>J31+1</f>
        <v>2037</v>
      </c>
      <c r="K32" s="273">
        <f t="shared" si="8"/>
        <v>14.86</v>
      </c>
      <c r="L32" s="273">
        <f>ROUND(INDEX('Tables 3 to 6'!O:O,MATCH(J32,'Tables 3 to 6'!B:B,0)),2)</f>
        <v>178.31</v>
      </c>
      <c r="M32" s="271">
        <f>ROUND(INDEX('Tables 3 to 6'!P:P,MATCH(J32,'Tables 3 to 6'!B:B,0)),2)/10</f>
        <v>5.2240000000000002</v>
      </c>
    </row>
    <row r="33" spans="1:13">
      <c r="A33" s="269"/>
      <c r="B33" s="270"/>
      <c r="C33" s="269"/>
      <c r="D33" s="269"/>
      <c r="E33" s="269"/>
      <c r="F33" s="269"/>
      <c r="G33" s="269"/>
      <c r="H33" s="269"/>
      <c r="I33" s="272"/>
      <c r="J33" s="270"/>
      <c r="K33" s="273"/>
      <c r="L33" s="273"/>
      <c r="M33" s="269"/>
    </row>
    <row r="34" spans="1:13">
      <c r="A34" s="269"/>
      <c r="C34" s="266" t="s">
        <v>151</v>
      </c>
      <c r="D34" s="266"/>
      <c r="E34" s="266" t="s">
        <v>152</v>
      </c>
      <c r="F34" s="266"/>
      <c r="G34" s="269"/>
      <c r="H34" s="269"/>
      <c r="I34" s="272"/>
      <c r="J34" s="270"/>
      <c r="L34" s="273"/>
      <c r="M34" s="269"/>
    </row>
    <row r="35" spans="1:13" ht="14.25">
      <c r="A35" s="269"/>
      <c r="B35" s="278"/>
      <c r="C35" s="267" t="s">
        <v>65</v>
      </c>
      <c r="D35" s="267" t="s">
        <v>66</v>
      </c>
      <c r="E35" s="267" t="s">
        <v>65</v>
      </c>
      <c r="F35" s="267" t="s">
        <v>66</v>
      </c>
      <c r="G35" s="269"/>
      <c r="H35" s="269"/>
      <c r="I35" s="272"/>
      <c r="J35" s="270"/>
      <c r="K35" s="273"/>
      <c r="L35" s="273"/>
      <c r="M35" s="269"/>
    </row>
    <row r="36" spans="1:13">
      <c r="B36" s="279"/>
      <c r="C36" s="280">
        <f>-PMT($R$30,COUNT(C8:C27),NPV($R$30,C8:C27))</f>
        <v>5.9964125886310518</v>
      </c>
      <c r="D36" s="280">
        <f>-PMT($R$30,COUNT(D8:D27),NPV($R$30,D8:D27))</f>
        <v>6.2698312031117993</v>
      </c>
      <c r="E36" s="280">
        <f>-PMT($R$30,COUNT(E8:E27),NPV($R$30,E8:E27))</f>
        <v>3.8827651729563839</v>
      </c>
      <c r="F36" s="280">
        <f>-PMT($R$30,COUNT(F8:F27),NPV($R$30,F8:F27))</f>
        <v>4.1561837874371292</v>
      </c>
      <c r="G36" s="269"/>
      <c r="H36" s="280">
        <f>-PMT($R$30,COUNT(H8:H27),NPV($R$30,H8:H27))</f>
        <v>5.2645306208181424</v>
      </c>
    </row>
    <row r="37" spans="1:13">
      <c r="A37" s="278"/>
      <c r="G37" s="269"/>
      <c r="M37" s="281"/>
    </row>
    <row r="38" spans="1:13">
      <c r="A38" s="282"/>
      <c r="G38" s="269"/>
    </row>
    <row r="39" spans="1:13">
      <c r="A39" s="283"/>
      <c r="G39" s="269"/>
    </row>
    <row r="40" spans="1:13">
      <c r="A40" s="283"/>
      <c r="B40" s="279"/>
      <c r="C40" s="284"/>
      <c r="D40" s="284"/>
      <c r="E40" s="284"/>
      <c r="F40" s="284"/>
      <c r="G40" s="284"/>
      <c r="J40" s="262"/>
      <c r="L40" s="283"/>
      <c r="M40" s="283"/>
    </row>
    <row r="41" spans="1:13">
      <c r="A41" s="283"/>
      <c r="B41" s="279"/>
      <c r="C41" s="284"/>
      <c r="D41" s="284"/>
      <c r="E41" s="284"/>
      <c r="F41" s="284"/>
      <c r="G41" s="284"/>
      <c r="J41" s="262"/>
      <c r="L41" s="283"/>
      <c r="M41" s="283"/>
    </row>
    <row r="42" spans="1:13">
      <c r="A42" s="269"/>
      <c r="B42" s="278"/>
      <c r="C42" s="269"/>
      <c r="D42" s="269"/>
      <c r="E42" s="269"/>
      <c r="F42" s="269"/>
      <c r="G42" s="269"/>
      <c r="J42" s="278"/>
      <c r="K42" s="269"/>
      <c r="L42" s="269"/>
      <c r="M42" s="269"/>
    </row>
    <row r="43" spans="1:13">
      <c r="A43" s="282"/>
      <c r="K43" s="273"/>
      <c r="M43" s="282"/>
    </row>
    <row r="44" spans="1:13">
      <c r="A44" s="282"/>
      <c r="M44" s="282"/>
    </row>
  </sheetData>
  <printOptions horizontalCentered="1"/>
  <pageMargins left="0.25" right="0.25" top="0.75" bottom="0.75" header="0.3" footer="0.3"/>
  <pageSetup scale="90" orientation="landscape" copies="3" r:id="rId1"/>
  <headerFooter alignWithMargins="0">
    <oddFooter>&amp;L&amp;8NPC Group - &amp;F   ( &amp;A )&amp;C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P93"/>
  <sheetViews>
    <sheetView showGridLines="0" zoomScale="70" zoomScaleNormal="70" zoomScaleSheetLayoutView="100" workbookViewId="0">
      <pane xSplit="1" ySplit="7" topLeftCell="B8" activePane="bottomRight" state="frozen"/>
      <selection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RowHeight="12.75"/>
  <cols>
    <col min="1" max="1" width="9.33203125" style="72"/>
    <col min="2" max="10" width="8.5" style="72" customWidth="1"/>
    <col min="11" max="11" width="8.5" style="84" customWidth="1"/>
    <col min="12" max="13" width="8.5" style="72" customWidth="1"/>
    <col min="14" max="15" width="10.83203125" style="72" customWidth="1"/>
    <col min="16" max="21" width="15.33203125" style="72" customWidth="1"/>
    <col min="22" max="16384" width="9.33203125" style="72"/>
  </cols>
  <sheetData>
    <row r="1" spans="1:13" s="5" customFormat="1" ht="15.75">
      <c r="A1" s="1" t="s">
        <v>87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13" s="7" customFormat="1" ht="15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13" s="7" customFormat="1" ht="15">
      <c r="A3" s="3" t="str">
        <f>"Avoided Resource ("&amp;A10&amp;" through "&amp;MAX(A10:A24)&amp;")"</f>
        <v>Avoided Resource (2013 through 2023)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13" ht="15">
      <c r="A4" s="3" t="s">
        <v>43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3">
      <c r="B5" s="104"/>
      <c r="C5" s="104"/>
      <c r="D5" s="104"/>
      <c r="E5" s="4"/>
      <c r="F5" s="4"/>
      <c r="G5" s="4"/>
      <c r="H5" s="4"/>
      <c r="I5" s="4"/>
      <c r="J5" s="4"/>
      <c r="K5" s="17"/>
    </row>
    <row r="6" spans="1:13">
      <c r="A6" s="105" t="s">
        <v>3</v>
      </c>
      <c r="B6" s="106" t="s">
        <v>63</v>
      </c>
      <c r="C6" s="107"/>
      <c r="D6" s="107"/>
      <c r="E6" s="106"/>
      <c r="F6" s="106"/>
      <c r="G6" s="106" t="s">
        <v>64</v>
      </c>
      <c r="H6" s="106"/>
      <c r="I6" s="106"/>
      <c r="J6" s="106"/>
      <c r="K6" s="106" t="s">
        <v>63</v>
      </c>
      <c r="L6" s="106"/>
      <c r="M6" s="106"/>
    </row>
    <row r="7" spans="1:13">
      <c r="A7" s="108"/>
      <c r="B7" s="109" t="s">
        <v>51</v>
      </c>
      <c r="C7" s="109" t="s">
        <v>52</v>
      </c>
      <c r="D7" s="109" t="s">
        <v>53</v>
      </c>
      <c r="E7" s="109" t="s">
        <v>54</v>
      </c>
      <c r="F7" s="110" t="s">
        <v>55</v>
      </c>
      <c r="G7" s="109" t="s">
        <v>56</v>
      </c>
      <c r="H7" s="109" t="s">
        <v>57</v>
      </c>
      <c r="I7" s="109" t="s">
        <v>58</v>
      </c>
      <c r="J7" s="110" t="s">
        <v>59</v>
      </c>
      <c r="K7" s="109" t="s">
        <v>60</v>
      </c>
      <c r="L7" s="109" t="s">
        <v>61</v>
      </c>
      <c r="M7" s="110" t="s">
        <v>62</v>
      </c>
    </row>
    <row r="8" spans="1:13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2.75" customHeight="1">
      <c r="A9" s="13" t="s">
        <v>161</v>
      </c>
      <c r="C9" s="104"/>
      <c r="D9" s="104"/>
      <c r="E9" s="104"/>
      <c r="F9" s="104"/>
      <c r="G9" s="104"/>
      <c r="H9" s="104"/>
      <c r="I9" s="104"/>
      <c r="J9" s="104"/>
      <c r="K9" s="112"/>
      <c r="L9" s="84"/>
      <c r="M9" s="84"/>
    </row>
    <row r="10" spans="1:13" ht="12.75" customHeight="1">
      <c r="A10" s="113">
        <f>'Tables 3 to 6'!$B$12</f>
        <v>2013</v>
      </c>
      <c r="B10" s="114"/>
      <c r="C10" s="115"/>
      <c r="D10" s="115"/>
      <c r="E10" s="115"/>
      <c r="F10" s="116"/>
      <c r="G10" s="115"/>
      <c r="H10" s="115">
        <f>H25+'Tables 3 to 6'!$W12</f>
        <v>46.481318330934613</v>
      </c>
      <c r="I10" s="115">
        <f>I25+'Tables 3 to 6'!$W12</f>
        <v>49.481142025414499</v>
      </c>
      <c r="J10" s="116">
        <f>J25+'Tables 3 to 6'!$W12</f>
        <v>42.912827952793904</v>
      </c>
      <c r="K10" s="115">
        <f>K25+'Tables 3 to 6'!$W12</f>
        <v>44.779840491773783</v>
      </c>
      <c r="L10" s="115">
        <f>L25+'Tables 3 to 6'!$W12</f>
        <v>46.064457500659756</v>
      </c>
      <c r="M10" s="116">
        <f>M25+'Tables 3 to 6'!$W12</f>
        <v>48.819472193871775</v>
      </c>
    </row>
    <row r="11" spans="1:13" ht="12.75" customHeight="1">
      <c r="A11" s="117">
        <f t="shared" ref="A11:A20" si="0">A10+1</f>
        <v>2014</v>
      </c>
      <c r="B11" s="118">
        <f>B26+'Tables 3 to 6'!$W13</f>
        <v>45.530853379327525</v>
      </c>
      <c r="C11" s="119">
        <f>C26+'Tables 3 to 6'!$W13</f>
        <v>44.967550660745189</v>
      </c>
      <c r="D11" s="119">
        <f>D26+'Tables 3 to 6'!$W13</f>
        <v>44.105718292061596</v>
      </c>
      <c r="E11" s="119">
        <f>E26+'Tables 3 to 6'!$W13</f>
        <v>39.79277367456919</v>
      </c>
      <c r="F11" s="120">
        <f>F26+'Tables 3 to 6'!$W13</f>
        <v>36.664519774196769</v>
      </c>
      <c r="G11" s="119">
        <f>G26+'Tables 3 to 6'!$W13</f>
        <v>34.422369229994302</v>
      </c>
      <c r="H11" s="119">
        <f>H26+'Tables 3 to 6'!$W13</f>
        <v>42.45806251965783</v>
      </c>
      <c r="I11" s="119">
        <f>I26+'Tables 3 to 6'!$W13</f>
        <v>46.486626743945862</v>
      </c>
      <c r="J11" s="120">
        <f>J26+'Tables 3 to 6'!$W13</f>
        <v>38.255982925264789</v>
      </c>
      <c r="K11" s="119">
        <f>K26+'Tables 3 to 6'!$W13</f>
        <v>40.594566629208146</v>
      </c>
      <c r="L11" s="119">
        <f>L26+'Tables 3 to 6'!$W13</f>
        <v>40.676085222560083</v>
      </c>
      <c r="M11" s="120">
        <f>M26+'Tables 3 to 6'!$W13</f>
        <v>41.556505544643883</v>
      </c>
    </row>
    <row r="12" spans="1:13" ht="12.75" customHeight="1">
      <c r="A12" s="117">
        <f t="shared" si="0"/>
        <v>2015</v>
      </c>
      <c r="B12" s="118">
        <f>B27+'Tables 3 to 6'!$W14</f>
        <v>43.951160425148828</v>
      </c>
      <c r="C12" s="119">
        <f>C27+'Tables 3 to 6'!$W14</f>
        <v>46.047772771218085</v>
      </c>
      <c r="D12" s="119">
        <f>D27+'Tables 3 to 6'!$W14</f>
        <v>45.911638908235219</v>
      </c>
      <c r="E12" s="119">
        <f>E27+'Tables 3 to 6'!$W14</f>
        <v>42.873763794611314</v>
      </c>
      <c r="F12" s="120">
        <f>F27+'Tables 3 to 6'!$W14</f>
        <v>39.265787012495338</v>
      </c>
      <c r="G12" s="119">
        <f>G27+'Tables 3 to 6'!$W14</f>
        <v>40.074439395757189</v>
      </c>
      <c r="H12" s="119">
        <f>H27+'Tables 3 to 6'!$W14</f>
        <v>47.596469111513066</v>
      </c>
      <c r="I12" s="119">
        <f>I27+'Tables 3 to 6'!$W14</f>
        <v>51.198158934004205</v>
      </c>
      <c r="J12" s="120">
        <f>J27+'Tables 3 to 6'!$W14</f>
        <v>43.330745693418301</v>
      </c>
      <c r="K12" s="119">
        <f>K27+'Tables 3 to 6'!$W14</f>
        <v>44.421361949225506</v>
      </c>
      <c r="L12" s="119">
        <f>L27+'Tables 3 to 6'!$W14</f>
        <v>42.649564225520528</v>
      </c>
      <c r="M12" s="120">
        <f>M27+'Tables 3 to 6'!$W14</f>
        <v>43.370570175062106</v>
      </c>
    </row>
    <row r="13" spans="1:13" ht="12.75" customHeight="1">
      <c r="A13" s="117">
        <f t="shared" si="0"/>
        <v>2016</v>
      </c>
      <c r="B13" s="118">
        <f>B28+'Tables 3 to 6'!$W15</f>
        <v>47.586866366168266</v>
      </c>
      <c r="C13" s="119">
        <f>C28+'Tables 3 to 6'!$W15</f>
        <v>46.009652427900797</v>
      </c>
      <c r="D13" s="119">
        <f>D28+'Tables 3 to 6'!$W15</f>
        <v>50.113338426322308</v>
      </c>
      <c r="E13" s="119">
        <f>E28+'Tables 3 to 6'!$W15</f>
        <v>47.412822829333862</v>
      </c>
      <c r="F13" s="120">
        <f>F28+'Tables 3 to 6'!$W15</f>
        <v>43.726501284183193</v>
      </c>
      <c r="G13" s="119">
        <f>G28+'Tables 3 to 6'!$W15</f>
        <v>44.006215351861385</v>
      </c>
      <c r="H13" s="119">
        <f>H28+'Tables 3 to 6'!$W15</f>
        <v>52.106395307860225</v>
      </c>
      <c r="I13" s="119">
        <f>I28+'Tables 3 to 6'!$W15</f>
        <v>54.74334650155037</v>
      </c>
      <c r="J13" s="120">
        <f>J28+'Tables 3 to 6'!$W15</f>
        <v>45.679191494615125</v>
      </c>
      <c r="K13" s="119">
        <f>K28+'Tables 3 to 6'!$W15</f>
        <v>47.806023053498443</v>
      </c>
      <c r="L13" s="119">
        <f>L28+'Tables 3 to 6'!$W15</f>
        <v>42.468691052252218</v>
      </c>
      <c r="M13" s="120">
        <f>M28+'Tables 3 to 6'!$W15</f>
        <v>44.701189319012308</v>
      </c>
    </row>
    <row r="14" spans="1:13" ht="12.75" customHeight="1">
      <c r="A14" s="117">
        <f t="shared" si="0"/>
        <v>2017</v>
      </c>
      <c r="B14" s="118">
        <f>B29+'Tables 3 to 6'!$W16</f>
        <v>44.446402765937869</v>
      </c>
      <c r="C14" s="119">
        <f>C29+'Tables 3 to 6'!$W16</f>
        <v>42.805452263239502</v>
      </c>
      <c r="D14" s="119">
        <f>D29+'Tables 3 to 6'!$W16</f>
        <v>60.087351777898448</v>
      </c>
      <c r="E14" s="119">
        <f>E29+'Tables 3 to 6'!$W16</f>
        <v>48.092302213725119</v>
      </c>
      <c r="F14" s="120">
        <f>F29+'Tables 3 to 6'!$W16</f>
        <v>46.117607422060061</v>
      </c>
      <c r="G14" s="119">
        <f>G29+'Tables 3 to 6'!$W16</f>
        <v>46.179126324241778</v>
      </c>
      <c r="H14" s="119">
        <f>H29+'Tables 3 to 6'!$W16</f>
        <v>54.804572826651153</v>
      </c>
      <c r="I14" s="119">
        <f>I29+'Tables 3 to 6'!$W16</f>
        <v>57.353704857541025</v>
      </c>
      <c r="J14" s="120">
        <f>J29+'Tables 3 to 6'!$W16</f>
        <v>49.142063365696622</v>
      </c>
      <c r="K14" s="119">
        <f>K29+'Tables 3 to 6'!$W16</f>
        <v>50.151191556460915</v>
      </c>
      <c r="L14" s="119">
        <f>L29+'Tables 3 to 6'!$W16</f>
        <v>44.50943113801587</v>
      </c>
      <c r="M14" s="120">
        <f>M29+'Tables 3 to 6'!$W16</f>
        <v>45.335809023633438</v>
      </c>
    </row>
    <row r="15" spans="1:13" ht="12.75" customHeight="1">
      <c r="A15" s="117">
        <f t="shared" si="0"/>
        <v>2018</v>
      </c>
      <c r="B15" s="118">
        <f>B30+'Tables 3 to 6'!$W17</f>
        <v>48.857654208088277</v>
      </c>
      <c r="C15" s="119">
        <f>C30+'Tables 3 to 6'!$W17</f>
        <v>46.969146948356091</v>
      </c>
      <c r="D15" s="119">
        <f>D30+'Tables 3 to 6'!$W17</f>
        <v>52.233228308514398</v>
      </c>
      <c r="E15" s="119">
        <f>E30+'Tables 3 to 6'!$W17</f>
        <v>51.332783929167519</v>
      </c>
      <c r="F15" s="120">
        <f>F30+'Tables 3 to 6'!$W17</f>
        <v>50.768505305107084</v>
      </c>
      <c r="G15" s="119">
        <f>G30+'Tables 3 to 6'!$W17</f>
        <v>51.674162706947989</v>
      </c>
      <c r="H15" s="119">
        <f>H30+'Tables 3 to 6'!$W17</f>
        <v>59.661043168010728</v>
      </c>
      <c r="I15" s="119">
        <f>I30+'Tables 3 to 6'!$W17</f>
        <v>61.698958131722222</v>
      </c>
      <c r="J15" s="120">
        <f>J30+'Tables 3 to 6'!$W17</f>
        <v>54.011950862494608</v>
      </c>
      <c r="K15" s="119">
        <f>K30+'Tables 3 to 6'!$W17</f>
        <v>55.203915314511747</v>
      </c>
      <c r="L15" s="119">
        <f>L30+'Tables 3 to 6'!$W17</f>
        <v>49.345881177778871</v>
      </c>
      <c r="M15" s="120">
        <f>M30+'Tables 3 to 6'!$W17</f>
        <v>50.353731409944196</v>
      </c>
    </row>
    <row r="16" spans="1:13" ht="12.75" customHeight="1">
      <c r="A16" s="117">
        <f t="shared" si="0"/>
        <v>2019</v>
      </c>
      <c r="B16" s="118">
        <f>B31+'Tables 3 to 6'!$W18</f>
        <v>48.324330897851176</v>
      </c>
      <c r="C16" s="119">
        <f>C31+'Tables 3 to 6'!$W18</f>
        <v>47.941622930060895</v>
      </c>
      <c r="D16" s="119">
        <f>D31+'Tables 3 to 6'!$W18</f>
        <v>53.154621013443794</v>
      </c>
      <c r="E16" s="119">
        <f>E31+'Tables 3 to 6'!$W18</f>
        <v>53.453496038890961</v>
      </c>
      <c r="F16" s="120">
        <f>F31+'Tables 3 to 6'!$W18</f>
        <v>54.279493740595157</v>
      </c>
      <c r="G16" s="119">
        <f>G31+'Tables 3 to 6'!$W18</f>
        <v>56.671971229169934</v>
      </c>
      <c r="H16" s="119">
        <f>H31+'Tables 3 to 6'!$W18</f>
        <v>64.886419986554529</v>
      </c>
      <c r="I16" s="119">
        <f>I31+'Tables 3 to 6'!$W18</f>
        <v>66.837731094087161</v>
      </c>
      <c r="J16" s="120">
        <f>J31+'Tables 3 to 6'!$W18</f>
        <v>57.96406267777499</v>
      </c>
      <c r="K16" s="119">
        <f>K31+'Tables 3 to 6'!$W18</f>
        <v>58.951318897849291</v>
      </c>
      <c r="L16" s="119">
        <f>L31+'Tables 3 to 6'!$W18</f>
        <v>51.642452961111232</v>
      </c>
      <c r="M16" s="120">
        <f>M31+'Tables 3 to 6'!$W18</f>
        <v>50.494336048387069</v>
      </c>
    </row>
    <row r="17" spans="1:13" ht="12.75" customHeight="1">
      <c r="A17" s="117">
        <f t="shared" si="0"/>
        <v>2020</v>
      </c>
      <c r="B17" s="118">
        <f>B32+'Tables 3 to 6'!$W19</f>
        <v>50.519144680109875</v>
      </c>
      <c r="C17" s="119">
        <f>C32+'Tables 3 to 6'!$W19</f>
        <v>52.660539153741524</v>
      </c>
      <c r="D17" s="119">
        <f>D32+'Tables 3 to 6'!$W19</f>
        <v>60.676815028227466</v>
      </c>
      <c r="E17" s="119">
        <f>E32+'Tables 3 to 6'!$W19</f>
        <v>58.126023691662894</v>
      </c>
      <c r="F17" s="120">
        <f>F32+'Tables 3 to 6'!$W19</f>
        <v>58.35704585887332</v>
      </c>
      <c r="G17" s="119">
        <f>G32+'Tables 3 to 6'!$W19</f>
        <v>61.195163015272058</v>
      </c>
      <c r="H17" s="119">
        <f>H32+'Tables 3 to 6'!$W19</f>
        <v>69.963027655917315</v>
      </c>
      <c r="I17" s="119">
        <f>I32+'Tables 3 to 6'!$W19</f>
        <v>72.539681602152442</v>
      </c>
      <c r="J17" s="120">
        <f>J32+'Tables 3 to 6'!$W19</f>
        <v>62.834148906945359</v>
      </c>
      <c r="K17" s="119">
        <f>K32+'Tables 3 to 6'!$W19</f>
        <v>61.838990583338088</v>
      </c>
      <c r="L17" s="119">
        <f>L32+'Tables 3 to 6'!$W19</f>
        <v>56.165343755553991</v>
      </c>
      <c r="M17" s="120">
        <f>M32+'Tables 3 to 6'!$W19</f>
        <v>53.855836330645829</v>
      </c>
    </row>
    <row r="18" spans="1:13" ht="12.75" customHeight="1">
      <c r="A18" s="117">
        <f t="shared" si="0"/>
        <v>2021</v>
      </c>
      <c r="B18" s="118">
        <f>B33+'Tables 3 to 6'!$W20</f>
        <v>62.393596962370694</v>
      </c>
      <c r="C18" s="119">
        <f>C33+'Tables 3 to 6'!$W20</f>
        <v>63.784501409224632</v>
      </c>
      <c r="D18" s="119">
        <f>D33+'Tables 3 to 6'!$W20</f>
        <v>66.310716450270462</v>
      </c>
      <c r="E18" s="119">
        <f>E33+'Tables 3 to 6'!$W20</f>
        <v>66.506003880554601</v>
      </c>
      <c r="F18" s="120">
        <f>F33+'Tables 3 to 6'!$W20</f>
        <v>66.56152035618021</v>
      </c>
      <c r="G18" s="119">
        <f>G33+'Tables 3 to 6'!$W20</f>
        <v>64.92852231249627</v>
      </c>
      <c r="H18" s="119">
        <f>H33+'Tables 3 to 6'!$W20</f>
        <v>75.050712979845301</v>
      </c>
      <c r="I18" s="119">
        <f>I33+'Tables 3 to 6'!$W20</f>
        <v>78.000427146504322</v>
      </c>
      <c r="J18" s="120">
        <f>J33+'Tables 3 to 6'!$W20</f>
        <v>69.155094879166114</v>
      </c>
      <c r="K18" s="119">
        <f>K33+'Tables 3 to 6'!$W20</f>
        <v>70.545177706983935</v>
      </c>
      <c r="L18" s="119">
        <f>L33+'Tables 3 to 6'!$W20</f>
        <v>66.603594291669623</v>
      </c>
      <c r="M18" s="120">
        <f>M33+'Tables 3 to 6'!$W20</f>
        <v>65.017867693549363</v>
      </c>
    </row>
    <row r="19" spans="1:13" ht="12.75" customHeight="1">
      <c r="A19" s="117">
        <f t="shared" si="0"/>
        <v>2022</v>
      </c>
      <c r="B19" s="118">
        <f>B34+'Tables 3 to 6'!$W21</f>
        <v>74.306071947578303</v>
      </c>
      <c r="C19" s="119">
        <f>C34+'Tables 3 to 6'!$W21</f>
        <v>74.054077930062832</v>
      </c>
      <c r="D19" s="119">
        <f>D34+'Tables 3 to 6'!$W21</f>
        <v>76.05705125134719</v>
      </c>
      <c r="E19" s="119">
        <f>E34+'Tables 3 to 6'!$W21</f>
        <v>77.696052809726041</v>
      </c>
      <c r="F19" s="120">
        <f>F34+'Tables 3 to 6'!$W21</f>
        <v>73.731064637104666</v>
      </c>
      <c r="G19" s="119">
        <f>G34+'Tables 3 to 6'!$W21</f>
        <v>73.381846719442137</v>
      </c>
      <c r="H19" s="119">
        <f>H34+'Tables 3 to 6'!$W21</f>
        <v>82.893676630374728</v>
      </c>
      <c r="I19" s="119">
        <f>I34+'Tables 3 to 6'!$W21</f>
        <v>86.214695758063314</v>
      </c>
      <c r="J19" s="120">
        <f>J34+'Tables 3 to 6'!$W21</f>
        <v>78.129320141664806</v>
      </c>
      <c r="K19" s="119">
        <f>K34+'Tables 3 to 6'!$W21</f>
        <v>80.137091694887616</v>
      </c>
      <c r="L19" s="119">
        <f>L34+'Tables 3 to 6'!$W21</f>
        <v>77.273186781948638</v>
      </c>
      <c r="M19" s="120">
        <f>M34+'Tables 3 to 6'!$W21</f>
        <v>74.963900725803072</v>
      </c>
    </row>
    <row r="20" spans="1:13" ht="12.75" customHeight="1">
      <c r="A20" s="117">
        <f t="shared" si="0"/>
        <v>2023</v>
      </c>
      <c r="B20" s="118">
        <f>B35+'Tables 3 to 6'!$W22</f>
        <v>76.077765552421567</v>
      </c>
      <c r="C20" s="119">
        <f>C35+'Tables 3 to 6'!$W22</f>
        <v>76.841478995538893</v>
      </c>
      <c r="D20" s="119">
        <f>D35+'Tables 3 to 6'!$W22</f>
        <v>76.89538674194165</v>
      </c>
      <c r="E20" s="119">
        <f>E35+'Tables 3 to 6'!$W22</f>
        <v>80.778678419445129</v>
      </c>
      <c r="F20" s="120">
        <f>F35+'Tables 3 to 6'!$W22</f>
        <v>77.929456435486827</v>
      </c>
      <c r="G20" s="119">
        <f>G35+'Tables 3 to 6'!$W22</f>
        <v>78.132200980554856</v>
      </c>
      <c r="H20" s="119">
        <f>H35+'Tables 3 to 6'!$W22</f>
        <v>87.272121794359975</v>
      </c>
      <c r="I20" s="119">
        <f>I35+'Tables 3 to 6'!$W22</f>
        <v>89.624002717738179</v>
      </c>
      <c r="J20" s="120">
        <f>J35+'Tables 3 to 6'!$W22</f>
        <v>81.708468900000057</v>
      </c>
      <c r="K20" s="119">
        <f>K35+'Tables 3 to 6'!$W22</f>
        <v>82.431134763442543</v>
      </c>
      <c r="L20" s="119">
        <f>L35+'Tables 3 to 6'!$W22</f>
        <v>81.175856638890167</v>
      </c>
      <c r="M20" s="120">
        <f>M35+'Tables 3 to 6'!$W22</f>
        <v>78.156331885748656</v>
      </c>
    </row>
    <row r="21" spans="1:13" ht="12.75" hidden="1" customHeight="1">
      <c r="A21" s="117"/>
      <c r="B21" s="118"/>
      <c r="C21" s="119"/>
      <c r="D21" s="119"/>
      <c r="E21" s="119"/>
      <c r="F21" s="120"/>
      <c r="G21" s="119"/>
      <c r="H21" s="119"/>
      <c r="I21" s="119"/>
      <c r="J21" s="120"/>
      <c r="K21" s="119"/>
      <c r="L21" s="119"/>
      <c r="M21" s="120"/>
    </row>
    <row r="22" spans="1:13" ht="12.75" hidden="1" customHeight="1">
      <c r="A22" s="121"/>
      <c r="B22" s="122"/>
      <c r="C22" s="123"/>
      <c r="D22" s="123"/>
      <c r="E22" s="123"/>
      <c r="F22" s="124"/>
      <c r="G22" s="123"/>
      <c r="H22" s="123"/>
      <c r="I22" s="123"/>
      <c r="J22" s="124"/>
      <c r="K22" s="123"/>
      <c r="L22" s="123"/>
      <c r="M22" s="124"/>
    </row>
    <row r="23" spans="1:13" ht="12.75" customHeight="1">
      <c r="A23" s="247"/>
      <c r="B23" s="245"/>
      <c r="C23" s="245"/>
      <c r="D23" s="245"/>
      <c r="E23" s="245"/>
      <c r="F23" s="244"/>
      <c r="G23" s="244"/>
      <c r="H23" s="244"/>
      <c r="I23" s="244"/>
      <c r="J23" s="246"/>
      <c r="K23" s="244"/>
      <c r="L23" s="244"/>
      <c r="M23" s="244"/>
    </row>
    <row r="24" spans="1:13" ht="12.75" customHeight="1">
      <c r="A24" s="13" t="s">
        <v>162</v>
      </c>
      <c r="C24" s="104"/>
      <c r="D24" s="104"/>
      <c r="E24" s="104"/>
      <c r="G24" s="104"/>
      <c r="H24" s="104"/>
      <c r="I24" s="104"/>
      <c r="J24" s="112"/>
      <c r="L24" s="104"/>
      <c r="M24" s="84"/>
    </row>
    <row r="25" spans="1:13" ht="12.75" customHeight="1">
      <c r="A25" s="113">
        <f>'Tables 3 to 6'!$B$12</f>
        <v>2013</v>
      </c>
      <c r="B25" s="114"/>
      <c r="C25" s="115"/>
      <c r="D25" s="115"/>
      <c r="E25" s="115"/>
      <c r="F25" s="115"/>
      <c r="G25" s="114"/>
      <c r="H25" s="115">
        <v>34.251318330934609</v>
      </c>
      <c r="I25" s="115">
        <v>37.251142025414495</v>
      </c>
      <c r="J25" s="116">
        <v>30.682827952793904</v>
      </c>
      <c r="K25" s="115">
        <v>32.549840491773779</v>
      </c>
      <c r="L25" s="115">
        <v>33.834457500659759</v>
      </c>
      <c r="M25" s="116">
        <v>36.589472193871778</v>
      </c>
    </row>
    <row r="26" spans="1:13" ht="12.75" customHeight="1">
      <c r="A26" s="117">
        <f t="shared" ref="A26:A35" si="1">A25+1</f>
        <v>2014</v>
      </c>
      <c r="B26" s="118">
        <v>35.080853379327522</v>
      </c>
      <c r="C26" s="119">
        <v>34.517550660745194</v>
      </c>
      <c r="D26" s="119">
        <v>33.6557182920616</v>
      </c>
      <c r="E26" s="119">
        <v>29.342773674569194</v>
      </c>
      <c r="F26" s="119">
        <v>26.21451977419677</v>
      </c>
      <c r="G26" s="118">
        <v>23.9723692299943</v>
      </c>
      <c r="H26" s="119">
        <v>32.008062519657834</v>
      </c>
      <c r="I26" s="119">
        <v>36.036626743945867</v>
      </c>
      <c r="J26" s="120">
        <v>27.805982925264786</v>
      </c>
      <c r="K26" s="119">
        <v>30.144566629208143</v>
      </c>
      <c r="L26" s="119">
        <v>30.226085222560084</v>
      </c>
      <c r="M26" s="120">
        <v>31.106505544643888</v>
      </c>
    </row>
    <row r="27" spans="1:13" ht="12.75" customHeight="1">
      <c r="A27" s="117">
        <f t="shared" si="1"/>
        <v>2015</v>
      </c>
      <c r="B27" s="118">
        <v>31.211160425148826</v>
      </c>
      <c r="C27" s="119">
        <v>33.307772771218083</v>
      </c>
      <c r="D27" s="119">
        <v>33.171638908235217</v>
      </c>
      <c r="E27" s="119">
        <v>30.133763794611312</v>
      </c>
      <c r="F27" s="119">
        <v>26.525787012495339</v>
      </c>
      <c r="G27" s="118">
        <v>27.334439395757187</v>
      </c>
      <c r="H27" s="119">
        <v>34.856469111513064</v>
      </c>
      <c r="I27" s="119">
        <v>38.458158934004203</v>
      </c>
      <c r="J27" s="120">
        <v>30.590745693418302</v>
      </c>
      <c r="K27" s="119">
        <v>31.681361949225508</v>
      </c>
      <c r="L27" s="119">
        <v>29.909564225520526</v>
      </c>
      <c r="M27" s="120">
        <v>30.630570175062104</v>
      </c>
    </row>
    <row r="28" spans="1:13" ht="12.75" customHeight="1">
      <c r="A28" s="117">
        <f t="shared" si="1"/>
        <v>2016</v>
      </c>
      <c r="B28" s="118">
        <v>32.486866366168265</v>
      </c>
      <c r="C28" s="119">
        <v>30.909652427900795</v>
      </c>
      <c r="D28" s="119">
        <v>35.013338426322306</v>
      </c>
      <c r="E28" s="119">
        <v>32.312822829333861</v>
      </c>
      <c r="F28" s="119">
        <v>28.626501284183192</v>
      </c>
      <c r="G28" s="118">
        <v>28.906215351861384</v>
      </c>
      <c r="H28" s="119">
        <v>37.006395307860224</v>
      </c>
      <c r="I28" s="119">
        <v>39.643346501550369</v>
      </c>
      <c r="J28" s="120">
        <v>30.579191494615127</v>
      </c>
      <c r="K28" s="119">
        <v>32.706023053498441</v>
      </c>
      <c r="L28" s="119">
        <v>27.36869105225222</v>
      </c>
      <c r="M28" s="120">
        <v>29.601189319012306</v>
      </c>
    </row>
    <row r="29" spans="1:13" ht="12.75" customHeight="1">
      <c r="A29" s="117">
        <f t="shared" si="1"/>
        <v>2017</v>
      </c>
      <c r="B29" s="118">
        <v>29.086402765937869</v>
      </c>
      <c r="C29" s="119">
        <v>27.445452263239506</v>
      </c>
      <c r="D29" s="119">
        <v>44.727351777898448</v>
      </c>
      <c r="E29" s="119">
        <v>32.73230221372512</v>
      </c>
      <c r="F29" s="119">
        <v>30.757607422060062</v>
      </c>
      <c r="G29" s="118">
        <v>30.819126324241775</v>
      </c>
      <c r="H29" s="119">
        <v>39.444572826651154</v>
      </c>
      <c r="I29" s="119">
        <v>41.993704857541026</v>
      </c>
      <c r="J29" s="120">
        <v>33.782063365696622</v>
      </c>
      <c r="K29" s="119">
        <v>34.791191556460916</v>
      </c>
      <c r="L29" s="119">
        <v>29.149431138015871</v>
      </c>
      <c r="M29" s="120">
        <v>29.975809023633438</v>
      </c>
    </row>
    <row r="30" spans="1:13" ht="12.75" customHeight="1">
      <c r="A30" s="117">
        <f t="shared" si="1"/>
        <v>2018</v>
      </c>
      <c r="B30" s="118">
        <v>30.997654208088274</v>
      </c>
      <c r="C30" s="119">
        <v>29.109146948356091</v>
      </c>
      <c r="D30" s="119">
        <v>34.373228308514399</v>
      </c>
      <c r="E30" s="119">
        <v>33.47278392916752</v>
      </c>
      <c r="F30" s="119">
        <v>32.908505305107084</v>
      </c>
      <c r="G30" s="118">
        <v>33.81416270694799</v>
      </c>
      <c r="H30" s="119">
        <v>41.801043168010729</v>
      </c>
      <c r="I30" s="119">
        <v>43.838958131722222</v>
      </c>
      <c r="J30" s="120">
        <v>36.151950862494608</v>
      </c>
      <c r="K30" s="119">
        <v>37.343915314511747</v>
      </c>
      <c r="L30" s="119">
        <v>31.485881177778872</v>
      </c>
      <c r="M30" s="120">
        <v>32.493731409944196</v>
      </c>
    </row>
    <row r="31" spans="1:13" ht="12.75" customHeight="1">
      <c r="A31" s="117">
        <f t="shared" si="1"/>
        <v>2019</v>
      </c>
      <c r="B31" s="118">
        <v>30.144330897851177</v>
      </c>
      <c r="C31" s="119">
        <v>29.761622930060895</v>
      </c>
      <c r="D31" s="119">
        <v>34.974621013443794</v>
      </c>
      <c r="E31" s="119">
        <v>35.273496038890961</v>
      </c>
      <c r="F31" s="119">
        <v>36.099493740595157</v>
      </c>
      <c r="G31" s="118">
        <v>38.491971229169934</v>
      </c>
      <c r="H31" s="119">
        <v>46.706419986554529</v>
      </c>
      <c r="I31" s="119">
        <v>48.657731094087161</v>
      </c>
      <c r="J31" s="120">
        <v>39.78406267777499</v>
      </c>
      <c r="K31" s="119">
        <v>40.771318897849291</v>
      </c>
      <c r="L31" s="119">
        <v>33.462452961111232</v>
      </c>
      <c r="M31" s="120">
        <v>32.314336048387069</v>
      </c>
    </row>
    <row r="32" spans="1:13" ht="12.75" customHeight="1">
      <c r="A32" s="117">
        <f t="shared" si="1"/>
        <v>2020</v>
      </c>
      <c r="B32" s="118">
        <v>32.009144680109877</v>
      </c>
      <c r="C32" s="119">
        <v>34.150539153741519</v>
      </c>
      <c r="D32" s="119">
        <v>42.166815028227468</v>
      </c>
      <c r="E32" s="119">
        <v>39.616023691662896</v>
      </c>
      <c r="F32" s="119">
        <v>39.847045858873315</v>
      </c>
      <c r="G32" s="118">
        <v>42.685163015272053</v>
      </c>
      <c r="H32" s="119">
        <v>51.45302765591731</v>
      </c>
      <c r="I32" s="119">
        <v>54.029681602152444</v>
      </c>
      <c r="J32" s="120">
        <v>44.324148906945354</v>
      </c>
      <c r="K32" s="119">
        <v>43.328990583338083</v>
      </c>
      <c r="L32" s="119">
        <v>37.655343755553993</v>
      </c>
      <c r="M32" s="120">
        <v>35.345836330645831</v>
      </c>
    </row>
    <row r="33" spans="1:13" ht="12.75" customHeight="1">
      <c r="A33" s="117">
        <f t="shared" si="1"/>
        <v>2021</v>
      </c>
      <c r="B33" s="118">
        <v>41.193596962370698</v>
      </c>
      <c r="C33" s="119">
        <v>42.584501409224636</v>
      </c>
      <c r="D33" s="119">
        <v>45.110716450270466</v>
      </c>
      <c r="E33" s="119">
        <v>45.306003880554606</v>
      </c>
      <c r="F33" s="119">
        <v>45.361520356180208</v>
      </c>
      <c r="G33" s="118">
        <v>43.728522312496274</v>
      </c>
      <c r="H33" s="119">
        <v>53.850712979845305</v>
      </c>
      <c r="I33" s="119">
        <v>56.800427146504326</v>
      </c>
      <c r="J33" s="120">
        <v>47.955094879166118</v>
      </c>
      <c r="K33" s="119">
        <v>49.345177706983939</v>
      </c>
      <c r="L33" s="119">
        <v>45.403594291669627</v>
      </c>
      <c r="M33" s="120">
        <v>43.81786769354936</v>
      </c>
    </row>
    <row r="34" spans="1:13" ht="12.75" customHeight="1">
      <c r="A34" s="117">
        <f t="shared" si="1"/>
        <v>2022</v>
      </c>
      <c r="B34" s="118">
        <v>50.296071947578298</v>
      </c>
      <c r="C34" s="119">
        <v>50.044077930062834</v>
      </c>
      <c r="D34" s="119">
        <v>52.047051251347185</v>
      </c>
      <c r="E34" s="119">
        <v>53.686052809726036</v>
      </c>
      <c r="F34" s="119">
        <v>49.721064637104668</v>
      </c>
      <c r="G34" s="118">
        <v>49.371846719442139</v>
      </c>
      <c r="H34" s="119">
        <v>58.883676630374723</v>
      </c>
      <c r="I34" s="119">
        <v>62.204695758063309</v>
      </c>
      <c r="J34" s="120">
        <v>54.119320141664808</v>
      </c>
      <c r="K34" s="119">
        <v>56.127091694887611</v>
      </c>
      <c r="L34" s="119">
        <v>53.26318678194864</v>
      </c>
      <c r="M34" s="120">
        <v>50.953900725803067</v>
      </c>
    </row>
    <row r="35" spans="1:13" ht="12.75" customHeight="1">
      <c r="A35" s="117">
        <f t="shared" si="1"/>
        <v>2023</v>
      </c>
      <c r="B35" s="118">
        <v>54.057765552421571</v>
      </c>
      <c r="C35" s="119">
        <v>54.821478995538897</v>
      </c>
      <c r="D35" s="119">
        <v>54.875386741941654</v>
      </c>
      <c r="E35" s="119">
        <v>58.758678419445125</v>
      </c>
      <c r="F35" s="119">
        <v>55.909456435486831</v>
      </c>
      <c r="G35" s="122">
        <v>56.112200980554853</v>
      </c>
      <c r="H35" s="123">
        <v>65.252121794359979</v>
      </c>
      <c r="I35" s="123">
        <v>67.604002717738183</v>
      </c>
      <c r="J35" s="124">
        <v>59.688468900000053</v>
      </c>
      <c r="K35" s="119">
        <v>60.41113476344254</v>
      </c>
      <c r="L35" s="119">
        <v>59.155856638890171</v>
      </c>
      <c r="M35" s="120">
        <v>56.136331885748653</v>
      </c>
    </row>
    <row r="36" spans="1:13" ht="12.75" hidden="1" customHeight="1">
      <c r="A36" s="117"/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20"/>
    </row>
    <row r="37" spans="1:13" ht="12.75" hidden="1" customHeight="1">
      <c r="A37" s="121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4"/>
    </row>
    <row r="38" spans="1:13" ht="12.75" customHeight="1">
      <c r="A38" s="247"/>
      <c r="B38" s="245"/>
      <c r="C38" s="245"/>
      <c r="D38" s="245"/>
      <c r="E38" s="245"/>
      <c r="F38" s="244"/>
      <c r="G38" s="244"/>
      <c r="H38" s="244"/>
      <c r="I38" s="244"/>
      <c r="J38" s="246"/>
      <c r="K38" s="244"/>
      <c r="L38" s="244"/>
      <c r="M38" s="244"/>
    </row>
    <row r="39" spans="1:13" ht="12.75" customHeight="1">
      <c r="A39" s="13" t="s">
        <v>166</v>
      </c>
      <c r="C39" s="104"/>
      <c r="D39" s="104"/>
      <c r="E39" s="104"/>
      <c r="G39" s="104"/>
      <c r="H39" s="104"/>
      <c r="I39" s="104"/>
      <c r="J39" s="112"/>
      <c r="L39" s="104"/>
      <c r="M39" s="84"/>
    </row>
    <row r="40" spans="1:13" ht="12.75" customHeight="1">
      <c r="A40" s="113">
        <f>'Tables 3 to 6'!$B$12</f>
        <v>2013</v>
      </c>
      <c r="B40" s="114"/>
      <c r="C40" s="115"/>
      <c r="D40" s="115"/>
      <c r="E40" s="115"/>
      <c r="F40" s="115"/>
      <c r="G40" s="114"/>
      <c r="H40" s="115">
        <f t="shared" ref="H40:M41" si="2">H10*0.57+H25*0.43</f>
        <v>41.222418330934609</v>
      </c>
      <c r="I40" s="115">
        <f t="shared" si="2"/>
        <v>44.222242025414495</v>
      </c>
      <c r="J40" s="115">
        <f t="shared" si="2"/>
        <v>37.6539279527939</v>
      </c>
      <c r="K40" s="114">
        <f t="shared" si="2"/>
        <v>39.520940491773779</v>
      </c>
      <c r="L40" s="115">
        <f t="shared" si="2"/>
        <v>40.805557500659759</v>
      </c>
      <c r="M40" s="116">
        <f t="shared" si="2"/>
        <v>43.560572193871778</v>
      </c>
    </row>
    <row r="41" spans="1:13" ht="12.75" customHeight="1">
      <c r="A41" s="117">
        <f t="shared" ref="A41:A50" si="3">A40+1</f>
        <v>2014</v>
      </c>
      <c r="B41" s="118">
        <f t="shared" ref="B41:G41" si="4">B11*0.57+B26*0.43</f>
        <v>41.03735337932752</v>
      </c>
      <c r="C41" s="119">
        <f t="shared" si="4"/>
        <v>40.474050660745192</v>
      </c>
      <c r="D41" s="119">
        <f t="shared" si="4"/>
        <v>39.612218292061598</v>
      </c>
      <c r="E41" s="119">
        <f t="shared" si="4"/>
        <v>35.299273674569193</v>
      </c>
      <c r="F41" s="119">
        <f t="shared" si="4"/>
        <v>32.171019774196765</v>
      </c>
      <c r="G41" s="118">
        <f t="shared" si="4"/>
        <v>29.928869229994298</v>
      </c>
      <c r="H41" s="119">
        <f t="shared" si="2"/>
        <v>37.964562519657832</v>
      </c>
      <c r="I41" s="119">
        <f t="shared" si="2"/>
        <v>41.993126743945865</v>
      </c>
      <c r="J41" s="119">
        <f t="shared" si="2"/>
        <v>33.762482925264784</v>
      </c>
      <c r="K41" s="118">
        <f t="shared" si="2"/>
        <v>36.101066629208141</v>
      </c>
      <c r="L41" s="119">
        <f t="shared" si="2"/>
        <v>36.182585222560078</v>
      </c>
      <c r="M41" s="120">
        <f t="shared" si="2"/>
        <v>37.063005544643886</v>
      </c>
    </row>
    <row r="42" spans="1:13" ht="12.75" customHeight="1">
      <c r="A42" s="117">
        <f t="shared" si="3"/>
        <v>2015</v>
      </c>
      <c r="B42" s="118">
        <f t="shared" ref="B42:M42" si="5">B12*0.57+B27*0.43</f>
        <v>38.472960425148827</v>
      </c>
      <c r="C42" s="119">
        <f t="shared" si="5"/>
        <v>40.569572771218084</v>
      </c>
      <c r="D42" s="119">
        <f t="shared" si="5"/>
        <v>40.433438908235217</v>
      </c>
      <c r="E42" s="119">
        <f t="shared" si="5"/>
        <v>37.395563794611306</v>
      </c>
      <c r="F42" s="119">
        <f t="shared" si="5"/>
        <v>33.787587012495337</v>
      </c>
      <c r="G42" s="118">
        <f t="shared" si="5"/>
        <v>34.596239395757188</v>
      </c>
      <c r="H42" s="119">
        <f t="shared" si="5"/>
        <v>42.118269111513058</v>
      </c>
      <c r="I42" s="119">
        <f t="shared" si="5"/>
        <v>45.719958934004197</v>
      </c>
      <c r="J42" s="119">
        <f t="shared" si="5"/>
        <v>37.8525456934183</v>
      </c>
      <c r="K42" s="118">
        <f t="shared" si="5"/>
        <v>38.943161949225505</v>
      </c>
      <c r="L42" s="119">
        <f t="shared" si="5"/>
        <v>37.171364225520527</v>
      </c>
      <c r="M42" s="120">
        <f t="shared" si="5"/>
        <v>37.892370175062105</v>
      </c>
    </row>
    <row r="43" spans="1:13" ht="12.75" customHeight="1">
      <c r="A43" s="117">
        <f t="shared" si="3"/>
        <v>2016</v>
      </c>
      <c r="B43" s="118">
        <f t="shared" ref="B43:M43" si="6">B13*0.57+B28*0.43</f>
        <v>41.093866366168264</v>
      </c>
      <c r="C43" s="119">
        <f t="shared" si="6"/>
        <v>39.516652427900794</v>
      </c>
      <c r="D43" s="119">
        <f t="shared" si="6"/>
        <v>43.620338426322306</v>
      </c>
      <c r="E43" s="119">
        <f t="shared" si="6"/>
        <v>40.91982282933386</v>
      </c>
      <c r="F43" s="119">
        <f t="shared" si="6"/>
        <v>37.233501284183191</v>
      </c>
      <c r="G43" s="118">
        <f t="shared" si="6"/>
        <v>37.513215351861383</v>
      </c>
      <c r="H43" s="119">
        <f t="shared" si="6"/>
        <v>45.613395307860223</v>
      </c>
      <c r="I43" s="119">
        <f t="shared" si="6"/>
        <v>48.250346501550368</v>
      </c>
      <c r="J43" s="119">
        <f t="shared" si="6"/>
        <v>39.186191494615123</v>
      </c>
      <c r="K43" s="118">
        <f t="shared" si="6"/>
        <v>41.313023053498441</v>
      </c>
      <c r="L43" s="119">
        <f t="shared" si="6"/>
        <v>35.975691052252216</v>
      </c>
      <c r="M43" s="120">
        <f t="shared" si="6"/>
        <v>38.208189319012305</v>
      </c>
    </row>
    <row r="44" spans="1:13" ht="12.75" customHeight="1">
      <c r="A44" s="117">
        <f t="shared" si="3"/>
        <v>2017</v>
      </c>
      <c r="B44" s="118">
        <f t="shared" ref="B44:M44" si="7">B14*0.57+B29*0.43</f>
        <v>37.841602765937864</v>
      </c>
      <c r="C44" s="119">
        <f t="shared" si="7"/>
        <v>36.200652263239505</v>
      </c>
      <c r="D44" s="119">
        <f t="shared" si="7"/>
        <v>53.482551777898443</v>
      </c>
      <c r="E44" s="119">
        <f t="shared" si="7"/>
        <v>41.487502213725115</v>
      </c>
      <c r="F44" s="119">
        <f t="shared" si="7"/>
        <v>39.512807422060064</v>
      </c>
      <c r="G44" s="118">
        <f t="shared" si="7"/>
        <v>39.574326324241774</v>
      </c>
      <c r="H44" s="119">
        <f t="shared" si="7"/>
        <v>48.199772826651149</v>
      </c>
      <c r="I44" s="119">
        <f t="shared" si="7"/>
        <v>50.748904857541021</v>
      </c>
      <c r="J44" s="119">
        <f t="shared" si="7"/>
        <v>42.537263365696617</v>
      </c>
      <c r="K44" s="118">
        <f t="shared" si="7"/>
        <v>43.546391556460911</v>
      </c>
      <c r="L44" s="119">
        <f t="shared" si="7"/>
        <v>37.904631138015873</v>
      </c>
      <c r="M44" s="120">
        <f t="shared" si="7"/>
        <v>38.731009023633433</v>
      </c>
    </row>
    <row r="45" spans="1:13" ht="12.75" customHeight="1">
      <c r="A45" s="117">
        <f t="shared" si="3"/>
        <v>2018</v>
      </c>
      <c r="B45" s="118">
        <f t="shared" ref="B45:M45" si="8">B15*0.57+B30*0.43</f>
        <v>41.177854208088277</v>
      </c>
      <c r="C45" s="119">
        <f t="shared" si="8"/>
        <v>39.289346948356091</v>
      </c>
      <c r="D45" s="119">
        <f t="shared" si="8"/>
        <v>44.553428308514398</v>
      </c>
      <c r="E45" s="119">
        <f t="shared" si="8"/>
        <v>43.652983929167519</v>
      </c>
      <c r="F45" s="119">
        <f t="shared" si="8"/>
        <v>43.088705305107084</v>
      </c>
      <c r="G45" s="118">
        <f t="shared" si="8"/>
        <v>43.994362706947989</v>
      </c>
      <c r="H45" s="119">
        <f t="shared" si="8"/>
        <v>51.981243168010721</v>
      </c>
      <c r="I45" s="119">
        <f t="shared" si="8"/>
        <v>54.019158131722214</v>
      </c>
      <c r="J45" s="119">
        <f t="shared" si="8"/>
        <v>46.332150862494608</v>
      </c>
      <c r="K45" s="118">
        <f t="shared" si="8"/>
        <v>47.524115314511747</v>
      </c>
      <c r="L45" s="119">
        <f t="shared" si="8"/>
        <v>41.666081177778871</v>
      </c>
      <c r="M45" s="120">
        <f t="shared" si="8"/>
        <v>42.673931409944188</v>
      </c>
    </row>
    <row r="46" spans="1:13" ht="12.75" customHeight="1">
      <c r="A46" s="117">
        <f t="shared" si="3"/>
        <v>2019</v>
      </c>
      <c r="B46" s="118">
        <f t="shared" ref="B46:M46" si="9">B16*0.57+B31*0.43</f>
        <v>40.506930897851177</v>
      </c>
      <c r="C46" s="119">
        <f t="shared" si="9"/>
        <v>40.124222930060895</v>
      </c>
      <c r="D46" s="119">
        <f t="shared" si="9"/>
        <v>45.337221013443795</v>
      </c>
      <c r="E46" s="119">
        <f t="shared" si="9"/>
        <v>45.636096038890962</v>
      </c>
      <c r="F46" s="119">
        <f t="shared" si="9"/>
        <v>46.462093740595158</v>
      </c>
      <c r="G46" s="118">
        <f t="shared" si="9"/>
        <v>48.854571229169935</v>
      </c>
      <c r="H46" s="119">
        <f t="shared" si="9"/>
        <v>57.069019986554522</v>
      </c>
      <c r="I46" s="119">
        <f t="shared" si="9"/>
        <v>59.020331094087155</v>
      </c>
      <c r="J46" s="119">
        <f t="shared" si="9"/>
        <v>50.146662677774984</v>
      </c>
      <c r="K46" s="118">
        <f t="shared" si="9"/>
        <v>51.133918897849284</v>
      </c>
      <c r="L46" s="119">
        <f t="shared" si="9"/>
        <v>43.825052961111233</v>
      </c>
      <c r="M46" s="120">
        <f t="shared" si="9"/>
        <v>42.676936048387063</v>
      </c>
    </row>
    <row r="47" spans="1:13" ht="12.75" customHeight="1">
      <c r="A47" s="117">
        <f t="shared" si="3"/>
        <v>2020</v>
      </c>
      <c r="B47" s="118">
        <f t="shared" ref="B47:M47" si="10">B17*0.57+B32*0.43</f>
        <v>42.559844680109869</v>
      </c>
      <c r="C47" s="119">
        <f t="shared" si="10"/>
        <v>44.701239153741518</v>
      </c>
      <c r="D47" s="119">
        <f t="shared" si="10"/>
        <v>52.71751502822746</v>
      </c>
      <c r="E47" s="119">
        <f t="shared" si="10"/>
        <v>50.166723691662888</v>
      </c>
      <c r="F47" s="119">
        <f t="shared" si="10"/>
        <v>50.397745858873307</v>
      </c>
      <c r="G47" s="118">
        <f t="shared" si="10"/>
        <v>53.235863015272052</v>
      </c>
      <c r="H47" s="119">
        <f t="shared" si="10"/>
        <v>62.003727655917302</v>
      </c>
      <c r="I47" s="119">
        <f t="shared" si="10"/>
        <v>64.580381602152443</v>
      </c>
      <c r="J47" s="119">
        <f t="shared" si="10"/>
        <v>54.874848906945346</v>
      </c>
      <c r="K47" s="118">
        <f t="shared" si="10"/>
        <v>53.879690583338082</v>
      </c>
      <c r="L47" s="119">
        <f t="shared" si="10"/>
        <v>48.206043755553992</v>
      </c>
      <c r="M47" s="120">
        <f t="shared" si="10"/>
        <v>45.89653633064583</v>
      </c>
    </row>
    <row r="48" spans="1:13" ht="12.75" customHeight="1">
      <c r="A48" s="117">
        <f t="shared" si="3"/>
        <v>2021</v>
      </c>
      <c r="B48" s="118">
        <f t="shared" ref="B48:M48" si="11">B18*0.57+B33*0.43</f>
        <v>53.277596962370694</v>
      </c>
      <c r="C48" s="119">
        <f t="shared" si="11"/>
        <v>54.668501409224632</v>
      </c>
      <c r="D48" s="119">
        <f t="shared" si="11"/>
        <v>57.194716450270462</v>
      </c>
      <c r="E48" s="119">
        <f t="shared" si="11"/>
        <v>57.390003880554602</v>
      </c>
      <c r="F48" s="119">
        <f t="shared" si="11"/>
        <v>57.445520356180204</v>
      </c>
      <c r="G48" s="118">
        <f t="shared" si="11"/>
        <v>55.81252231249627</v>
      </c>
      <c r="H48" s="119">
        <f t="shared" si="11"/>
        <v>65.934712979845301</v>
      </c>
      <c r="I48" s="119">
        <f t="shared" si="11"/>
        <v>68.884427146504322</v>
      </c>
      <c r="J48" s="119">
        <f t="shared" si="11"/>
        <v>60.039094879166115</v>
      </c>
      <c r="K48" s="118">
        <f t="shared" si="11"/>
        <v>61.429177706983936</v>
      </c>
      <c r="L48" s="119">
        <f t="shared" si="11"/>
        <v>57.487594291669623</v>
      </c>
      <c r="M48" s="120">
        <f t="shared" si="11"/>
        <v>55.901867693549363</v>
      </c>
    </row>
    <row r="49" spans="1:14" ht="12.75" customHeight="1">
      <c r="A49" s="117">
        <f t="shared" si="3"/>
        <v>2022</v>
      </c>
      <c r="B49" s="118">
        <f t="shared" ref="B49:M49" si="12">B19*0.57+B34*0.43</f>
        <v>63.981771947578295</v>
      </c>
      <c r="C49" s="119">
        <f t="shared" si="12"/>
        <v>63.729777930062824</v>
      </c>
      <c r="D49" s="119">
        <f t="shared" si="12"/>
        <v>65.732751251347182</v>
      </c>
      <c r="E49" s="119">
        <f t="shared" si="12"/>
        <v>67.371752809726033</v>
      </c>
      <c r="F49" s="119">
        <f t="shared" si="12"/>
        <v>63.406764637104658</v>
      </c>
      <c r="G49" s="118">
        <f t="shared" si="12"/>
        <v>63.057546719442129</v>
      </c>
      <c r="H49" s="119">
        <f t="shared" si="12"/>
        <v>72.56937663037472</v>
      </c>
      <c r="I49" s="119">
        <f t="shared" si="12"/>
        <v>75.890395758063306</v>
      </c>
      <c r="J49" s="119">
        <f t="shared" si="12"/>
        <v>67.805020141664812</v>
      </c>
      <c r="K49" s="118">
        <f t="shared" si="12"/>
        <v>69.812791694887608</v>
      </c>
      <c r="L49" s="119">
        <f t="shared" si="12"/>
        <v>66.94888678194863</v>
      </c>
      <c r="M49" s="120">
        <f t="shared" si="12"/>
        <v>64.639600725803064</v>
      </c>
    </row>
    <row r="50" spans="1:14" ht="12.75" customHeight="1">
      <c r="A50" s="117">
        <f t="shared" si="3"/>
        <v>2023</v>
      </c>
      <c r="B50" s="118">
        <f t="shared" ref="B50:M50" si="13">B20*0.57+B35*0.43</f>
        <v>66.609165552421558</v>
      </c>
      <c r="C50" s="119">
        <f t="shared" si="13"/>
        <v>67.372878995538883</v>
      </c>
      <c r="D50" s="119">
        <f t="shared" si="13"/>
        <v>67.42678674194164</v>
      </c>
      <c r="E50" s="119">
        <f t="shared" si="13"/>
        <v>71.310078419445119</v>
      </c>
      <c r="F50" s="119">
        <f t="shared" si="13"/>
        <v>68.460856435486818</v>
      </c>
      <c r="G50" s="118">
        <f t="shared" si="13"/>
        <v>68.663600980554847</v>
      </c>
      <c r="H50" s="119">
        <f t="shared" si="13"/>
        <v>77.803521794359966</v>
      </c>
      <c r="I50" s="119">
        <f t="shared" si="13"/>
        <v>80.155402717738184</v>
      </c>
      <c r="J50" s="119">
        <f t="shared" si="13"/>
        <v>72.239868900000047</v>
      </c>
      <c r="K50" s="118">
        <f t="shared" si="13"/>
        <v>72.962534763442534</v>
      </c>
      <c r="L50" s="119">
        <f t="shared" si="13"/>
        <v>71.707256638890158</v>
      </c>
      <c r="M50" s="120">
        <f t="shared" si="13"/>
        <v>68.687731885748661</v>
      </c>
    </row>
    <row r="51" spans="1:14" ht="12.75" hidden="1" customHeight="1">
      <c r="A51" s="117"/>
      <c r="B51" s="118"/>
      <c r="C51" s="119"/>
      <c r="D51" s="119"/>
      <c r="E51" s="119"/>
      <c r="F51" s="119"/>
      <c r="G51" s="118"/>
      <c r="H51" s="119"/>
      <c r="I51" s="119"/>
      <c r="J51" s="119"/>
      <c r="K51" s="118"/>
      <c r="L51" s="119"/>
      <c r="M51" s="120"/>
    </row>
    <row r="52" spans="1:14" ht="12.75" hidden="1" customHeight="1">
      <c r="A52" s="121"/>
      <c r="B52" s="122"/>
      <c r="C52" s="123"/>
      <c r="D52" s="123"/>
      <c r="E52" s="123"/>
      <c r="F52" s="123"/>
      <c r="G52" s="122"/>
      <c r="H52" s="123"/>
      <c r="I52" s="123"/>
      <c r="J52" s="123"/>
      <c r="K52" s="122"/>
      <c r="L52" s="123"/>
      <c r="M52" s="124"/>
    </row>
    <row r="53" spans="1:14" ht="12.75" customHeight="1">
      <c r="A53" s="244"/>
      <c r="B53" s="245"/>
      <c r="C53" s="245"/>
      <c r="D53" s="245"/>
      <c r="E53" s="244"/>
      <c r="F53" s="244"/>
      <c r="G53" s="244"/>
      <c r="H53" s="244"/>
      <c r="I53" s="244"/>
      <c r="J53" s="244"/>
      <c r="K53" s="246"/>
      <c r="L53" s="244"/>
      <c r="M53" s="244"/>
    </row>
    <row r="54" spans="1:14" ht="12.75" customHeight="1">
      <c r="A54" s="13" t="s">
        <v>78</v>
      </c>
      <c r="C54" s="126"/>
      <c r="D54" s="126"/>
      <c r="K54" s="125"/>
    </row>
    <row r="55" spans="1:14" ht="12.75" customHeight="1">
      <c r="A55" s="127" t="s">
        <v>3</v>
      </c>
      <c r="C55" s="128" t="s">
        <v>63</v>
      </c>
      <c r="D55" s="70"/>
      <c r="E55" s="71"/>
      <c r="F55" s="84"/>
      <c r="G55" s="128" t="s">
        <v>64</v>
      </c>
      <c r="H55" s="70"/>
      <c r="I55" s="71"/>
      <c r="J55" s="84"/>
      <c r="K55" s="128" t="s">
        <v>79</v>
      </c>
      <c r="L55" s="70"/>
      <c r="M55" s="71"/>
    </row>
    <row r="56" spans="1:14" s="84" customFormat="1" ht="12.75" customHeight="1">
      <c r="A56" s="111"/>
      <c r="C56" s="21" t="s">
        <v>95</v>
      </c>
      <c r="D56" s="22" t="s">
        <v>2</v>
      </c>
      <c r="E56" s="22" t="s">
        <v>11</v>
      </c>
      <c r="F56" s="111"/>
      <c r="G56" s="21" t="s">
        <v>95</v>
      </c>
      <c r="H56" s="22" t="s">
        <v>2</v>
      </c>
      <c r="I56" s="22" t="s">
        <v>11</v>
      </c>
      <c r="J56" s="111"/>
      <c r="K56" s="21" t="s">
        <v>95</v>
      </c>
      <c r="L56" s="22" t="s">
        <v>2</v>
      </c>
      <c r="M56" s="22" t="s">
        <v>11</v>
      </c>
      <c r="N56" s="104"/>
    </row>
    <row r="57" spans="1:14" s="84" customFormat="1" ht="12.75" customHeight="1">
      <c r="A57" s="129">
        <f>A10</f>
        <v>2013</v>
      </c>
      <c r="C57" s="93">
        <f>ROUND(AVERAGE(B10:F10,K10:M10),2)</f>
        <v>46.55</v>
      </c>
      <c r="D57" s="93">
        <f>ROUND(AVERAGE(B25:F25,K25:M25),2)</f>
        <v>34.32</v>
      </c>
      <c r="E57" s="93">
        <f>ROUND(AVERAGE(B40:F40,K40:M40),2)</f>
        <v>41.3</v>
      </c>
      <c r="G57" s="119">
        <f>ROUND(AVERAGE(G10:J10),2)</f>
        <v>46.29</v>
      </c>
      <c r="H57" s="119">
        <f>ROUND(AVERAGE(G25:J25),2)</f>
        <v>34.06</v>
      </c>
      <c r="I57" s="119">
        <f>ROUND(AVERAGE(G40:J40),2)</f>
        <v>41.03</v>
      </c>
      <c r="K57" s="93">
        <f>ROUND(AVERAGE(B10:M10),2)</f>
        <v>46.42</v>
      </c>
      <c r="L57" s="93">
        <f>ROUND(AVERAGE(B25:M25),2)</f>
        <v>34.19</v>
      </c>
      <c r="M57" s="93">
        <f>ROUND(AVERAGE(B40:M40),2)</f>
        <v>41.16</v>
      </c>
    </row>
    <row r="58" spans="1:14" s="84" customFormat="1" ht="12.75" customHeight="1">
      <c r="A58" s="129">
        <f>A11</f>
        <v>2014</v>
      </c>
      <c r="C58" s="93">
        <f>ROUND(AVERAGE(B11:F11,K11:M11),2)</f>
        <v>41.74</v>
      </c>
      <c r="D58" s="93">
        <f>ROUND(AVERAGE(B26:F26,K26:M26),2)</f>
        <v>31.29</v>
      </c>
      <c r="E58" s="93">
        <f>ROUND(AVERAGE(B41:F41,K41:M41),2)</f>
        <v>37.24</v>
      </c>
      <c r="G58" s="119">
        <f>ROUND(AVERAGE(G11:J11),2)</f>
        <v>40.409999999999997</v>
      </c>
      <c r="H58" s="119">
        <f>ROUND(AVERAGE(G26:J26),2)</f>
        <v>29.96</v>
      </c>
      <c r="I58" s="119">
        <f>ROUND(AVERAGE(G41:J41),2)</f>
        <v>35.909999999999997</v>
      </c>
      <c r="K58" s="93">
        <f>ROUND(AVERAGE(B11:M11),2)</f>
        <v>41.29</v>
      </c>
      <c r="L58" s="93">
        <f>ROUND(AVERAGE(B26:M26),2)</f>
        <v>30.84</v>
      </c>
      <c r="M58" s="93">
        <f>ROUND(AVERAGE(B41:M41),2)</f>
        <v>36.799999999999997</v>
      </c>
    </row>
    <row r="59" spans="1:14" s="84" customFormat="1" ht="12.75" customHeight="1">
      <c r="A59" s="129">
        <f t="shared" ref="A59:A67" si="14">A12</f>
        <v>2015</v>
      </c>
      <c r="C59" s="93">
        <f t="shared" ref="C59:C64" si="15">ROUND(AVERAGE(B12:F12,K12:M12),2)</f>
        <v>43.56</v>
      </c>
      <c r="D59" s="93">
        <f t="shared" ref="D59:D64" si="16">ROUND(AVERAGE(B27:F27,K27:M27),2)</f>
        <v>30.82</v>
      </c>
      <c r="E59" s="93">
        <f t="shared" ref="E59:E64" si="17">ROUND(AVERAGE(B42:F42,K42:M42),2)</f>
        <v>38.08</v>
      </c>
      <c r="G59" s="119">
        <f t="shared" ref="G59:G64" si="18">ROUND(AVERAGE(G12:J12),2)</f>
        <v>45.55</v>
      </c>
      <c r="H59" s="119">
        <f t="shared" ref="H59:H64" si="19">ROUND(AVERAGE(G27:J27),2)</f>
        <v>32.81</v>
      </c>
      <c r="I59" s="119">
        <f t="shared" ref="I59:I64" si="20">ROUND(AVERAGE(G42:J42),2)</f>
        <v>40.07</v>
      </c>
      <c r="K59" s="93">
        <f t="shared" ref="K59:K64" si="21">ROUND(AVERAGE(B12:M12),2)</f>
        <v>44.22</v>
      </c>
      <c r="L59" s="93">
        <f t="shared" ref="L59:L64" si="22">ROUND(AVERAGE(B27:M27),2)</f>
        <v>31.48</v>
      </c>
      <c r="M59" s="93">
        <f t="shared" ref="M59:M64" si="23">ROUND(AVERAGE(B42:M42),2)</f>
        <v>38.75</v>
      </c>
    </row>
    <row r="60" spans="1:14" s="84" customFormat="1" ht="12.75" customHeight="1">
      <c r="A60" s="129">
        <f t="shared" si="14"/>
        <v>2016</v>
      </c>
      <c r="C60" s="93">
        <f t="shared" si="15"/>
        <v>46.23</v>
      </c>
      <c r="D60" s="93">
        <f t="shared" si="16"/>
        <v>31.13</v>
      </c>
      <c r="E60" s="93">
        <f t="shared" si="17"/>
        <v>39.74</v>
      </c>
      <c r="G60" s="119">
        <f t="shared" si="18"/>
        <v>49.13</v>
      </c>
      <c r="H60" s="119">
        <f t="shared" si="19"/>
        <v>34.03</v>
      </c>
      <c r="I60" s="119">
        <f t="shared" si="20"/>
        <v>42.64</v>
      </c>
      <c r="K60" s="93">
        <f t="shared" si="21"/>
        <v>47.2</v>
      </c>
      <c r="L60" s="93">
        <f t="shared" si="22"/>
        <v>32.1</v>
      </c>
      <c r="M60" s="93">
        <f t="shared" si="23"/>
        <v>40.700000000000003</v>
      </c>
    </row>
    <row r="61" spans="1:14" s="84" customFormat="1" ht="12.75" customHeight="1">
      <c r="A61" s="129">
        <f t="shared" si="14"/>
        <v>2017</v>
      </c>
      <c r="C61" s="93">
        <f t="shared" si="15"/>
        <v>47.69</v>
      </c>
      <c r="D61" s="93">
        <f t="shared" si="16"/>
        <v>32.33</v>
      </c>
      <c r="E61" s="93">
        <f t="shared" si="17"/>
        <v>41.09</v>
      </c>
      <c r="G61" s="119">
        <f t="shared" si="18"/>
        <v>51.87</v>
      </c>
      <c r="H61" s="119">
        <f t="shared" si="19"/>
        <v>36.51</v>
      </c>
      <c r="I61" s="119">
        <f t="shared" si="20"/>
        <v>45.27</v>
      </c>
      <c r="K61" s="93">
        <f t="shared" si="21"/>
        <v>49.09</v>
      </c>
      <c r="L61" s="93">
        <f t="shared" si="22"/>
        <v>33.729999999999997</v>
      </c>
      <c r="M61" s="93">
        <f t="shared" si="23"/>
        <v>42.48</v>
      </c>
    </row>
    <row r="62" spans="1:14" s="84" customFormat="1" ht="12.75" customHeight="1">
      <c r="A62" s="129">
        <f t="shared" si="14"/>
        <v>2018</v>
      </c>
      <c r="C62" s="93">
        <f t="shared" si="15"/>
        <v>50.63</v>
      </c>
      <c r="D62" s="93">
        <f t="shared" si="16"/>
        <v>32.770000000000003</v>
      </c>
      <c r="E62" s="93">
        <f t="shared" si="17"/>
        <v>42.95</v>
      </c>
      <c r="G62" s="119">
        <f t="shared" si="18"/>
        <v>56.76</v>
      </c>
      <c r="H62" s="119">
        <f t="shared" si="19"/>
        <v>38.9</v>
      </c>
      <c r="I62" s="119">
        <f t="shared" si="20"/>
        <v>49.08</v>
      </c>
      <c r="K62" s="93">
        <f t="shared" si="21"/>
        <v>52.68</v>
      </c>
      <c r="L62" s="93">
        <f t="shared" si="22"/>
        <v>34.82</v>
      </c>
      <c r="M62" s="93">
        <f t="shared" si="23"/>
        <v>45</v>
      </c>
    </row>
    <row r="63" spans="1:14" s="84" customFormat="1" ht="12.75" customHeight="1">
      <c r="A63" s="129">
        <f t="shared" si="14"/>
        <v>2019</v>
      </c>
      <c r="C63" s="93">
        <f t="shared" si="15"/>
        <v>52.28</v>
      </c>
      <c r="D63" s="93">
        <f t="shared" si="16"/>
        <v>34.1</v>
      </c>
      <c r="E63" s="93">
        <f t="shared" si="17"/>
        <v>44.46</v>
      </c>
      <c r="G63" s="119">
        <f t="shared" si="18"/>
        <v>61.59</v>
      </c>
      <c r="H63" s="119">
        <f t="shared" si="19"/>
        <v>43.41</v>
      </c>
      <c r="I63" s="119">
        <f t="shared" si="20"/>
        <v>53.77</v>
      </c>
      <c r="K63" s="93">
        <f t="shared" si="21"/>
        <v>55.38</v>
      </c>
      <c r="L63" s="93">
        <f t="shared" si="22"/>
        <v>37.200000000000003</v>
      </c>
      <c r="M63" s="93">
        <f t="shared" si="23"/>
        <v>47.57</v>
      </c>
    </row>
    <row r="64" spans="1:14" s="84" customFormat="1" ht="12.75" customHeight="1">
      <c r="A64" s="129">
        <f t="shared" si="14"/>
        <v>2020</v>
      </c>
      <c r="C64" s="93">
        <f t="shared" si="15"/>
        <v>56.52</v>
      </c>
      <c r="D64" s="93">
        <f t="shared" si="16"/>
        <v>38.01</v>
      </c>
      <c r="E64" s="93">
        <f t="shared" si="17"/>
        <v>48.57</v>
      </c>
      <c r="G64" s="119">
        <f t="shared" si="18"/>
        <v>66.63</v>
      </c>
      <c r="H64" s="119">
        <f t="shared" si="19"/>
        <v>48.12</v>
      </c>
      <c r="I64" s="119">
        <f t="shared" si="20"/>
        <v>58.67</v>
      </c>
      <c r="K64" s="93">
        <f t="shared" si="21"/>
        <v>59.89</v>
      </c>
      <c r="L64" s="93">
        <f t="shared" si="22"/>
        <v>41.38</v>
      </c>
      <c r="M64" s="93">
        <f t="shared" si="23"/>
        <v>51.94</v>
      </c>
    </row>
    <row r="65" spans="1:16" s="84" customFormat="1" ht="12.75" customHeight="1">
      <c r="A65" s="129">
        <f t="shared" si="14"/>
        <v>2021</v>
      </c>
      <c r="C65" s="93">
        <f t="shared" ref="C65:C67" si="24">ROUND(AVERAGE(B18:F18,K18:M18),2)</f>
        <v>65.97</v>
      </c>
      <c r="D65" s="93">
        <f t="shared" ref="D65:D67" si="25">ROUND(AVERAGE(B33:F33,K33:M33),2)</f>
        <v>44.77</v>
      </c>
      <c r="E65" s="93">
        <f t="shared" ref="E65:E67" si="26">ROUND(AVERAGE(B48:F48,K48:M48),2)</f>
        <v>56.85</v>
      </c>
      <c r="G65" s="119">
        <f t="shared" ref="G65:G67" si="27">ROUND(AVERAGE(G18:J18),2)</f>
        <v>71.78</v>
      </c>
      <c r="H65" s="119">
        <f t="shared" ref="H65:H67" si="28">ROUND(AVERAGE(G33:J33),2)</f>
        <v>50.58</v>
      </c>
      <c r="I65" s="119">
        <f t="shared" ref="I65:I67" si="29">ROUND(AVERAGE(G48:J48),2)</f>
        <v>62.67</v>
      </c>
      <c r="K65" s="93">
        <f t="shared" ref="K65:K67" si="30">ROUND(AVERAGE(B18:M18),2)</f>
        <v>67.900000000000006</v>
      </c>
      <c r="L65" s="93">
        <f t="shared" ref="L65:L67" si="31">ROUND(AVERAGE(B33:M33),2)</f>
        <v>46.7</v>
      </c>
      <c r="M65" s="93">
        <f t="shared" ref="M65:M67" si="32">ROUND(AVERAGE(B48:M48),2)</f>
        <v>58.79</v>
      </c>
    </row>
    <row r="66" spans="1:16" s="84" customFormat="1" ht="12.75" customHeight="1">
      <c r="A66" s="129">
        <f t="shared" si="14"/>
        <v>2022</v>
      </c>
      <c r="C66" s="93">
        <f t="shared" si="24"/>
        <v>76.03</v>
      </c>
      <c r="D66" s="93">
        <f t="shared" si="25"/>
        <v>52.02</v>
      </c>
      <c r="E66" s="93">
        <f t="shared" si="26"/>
        <v>65.7</v>
      </c>
      <c r="G66" s="119">
        <f t="shared" si="27"/>
        <v>80.150000000000006</v>
      </c>
      <c r="H66" s="119">
        <f t="shared" si="28"/>
        <v>56.14</v>
      </c>
      <c r="I66" s="119">
        <f t="shared" si="29"/>
        <v>69.83</v>
      </c>
      <c r="K66" s="93">
        <f t="shared" si="30"/>
        <v>77.400000000000006</v>
      </c>
      <c r="L66" s="93">
        <f t="shared" si="31"/>
        <v>53.39</v>
      </c>
      <c r="M66" s="93">
        <f t="shared" si="32"/>
        <v>67.08</v>
      </c>
    </row>
    <row r="67" spans="1:16" s="84" customFormat="1" ht="12.75" customHeight="1">
      <c r="A67" s="129">
        <f t="shared" si="14"/>
        <v>2023</v>
      </c>
      <c r="C67" s="93">
        <f t="shared" si="24"/>
        <v>78.790000000000006</v>
      </c>
      <c r="D67" s="93">
        <f t="shared" si="25"/>
        <v>56.77</v>
      </c>
      <c r="E67" s="93">
        <f t="shared" si="26"/>
        <v>69.319999999999993</v>
      </c>
      <c r="G67" s="119">
        <f t="shared" si="27"/>
        <v>84.18</v>
      </c>
      <c r="H67" s="119">
        <f t="shared" si="28"/>
        <v>62.16</v>
      </c>
      <c r="I67" s="119">
        <f t="shared" si="29"/>
        <v>74.72</v>
      </c>
      <c r="K67" s="93">
        <f t="shared" si="30"/>
        <v>80.59</v>
      </c>
      <c r="L67" s="93">
        <f t="shared" si="31"/>
        <v>58.57</v>
      </c>
      <c r="M67" s="93">
        <f t="shared" si="32"/>
        <v>71.12</v>
      </c>
    </row>
    <row r="68" spans="1:16" s="84" customFormat="1" ht="12.75" customHeight="1">
      <c r="A68" s="130"/>
      <c r="K68" s="125"/>
    </row>
    <row r="69" spans="1:16" s="84" customFormat="1" ht="12.75" customHeight="1">
      <c r="A69" s="72" t="s">
        <v>96</v>
      </c>
      <c r="D69" s="93"/>
      <c r="E69" s="119"/>
      <c r="F69" s="119"/>
      <c r="G69" s="119"/>
      <c r="J69" s="119"/>
      <c r="K69" s="119"/>
    </row>
    <row r="70" spans="1:16" ht="12.75" customHeight="1">
      <c r="A70" s="72" t="s">
        <v>167</v>
      </c>
      <c r="C70" s="84" t="str">
        <f>"Average energy costs from GRID plus on-peak capacity cost from "&amp;'Tables 3 to 6'!$U$1&amp;"  column "&amp;'Tables 3 to 6'!$X$8</f>
        <v>Average energy costs from GRID plus on-peak capacity cost from Table 6  column (c)</v>
      </c>
      <c r="D70" s="93"/>
      <c r="E70" s="119"/>
      <c r="F70" s="119"/>
      <c r="G70" s="119"/>
      <c r="H70" s="84"/>
      <c r="N70" s="84"/>
      <c r="O70" s="84"/>
      <c r="P70" s="84"/>
    </row>
    <row r="71" spans="1:16" ht="12.75" customHeight="1">
      <c r="A71" s="72" t="s">
        <v>168</v>
      </c>
      <c r="C71" s="131" t="s">
        <v>189</v>
      </c>
      <c r="D71" s="84"/>
      <c r="E71" s="84"/>
      <c r="F71" s="84"/>
      <c r="G71" s="84"/>
      <c r="N71" s="84"/>
      <c r="O71" s="84"/>
      <c r="P71" s="84"/>
    </row>
    <row r="72" spans="1:16" ht="12.75" customHeight="1">
      <c r="A72" s="72" t="s">
        <v>169</v>
      </c>
      <c r="C72" s="72" t="s">
        <v>185</v>
      </c>
      <c r="D72" s="84"/>
      <c r="E72" s="84"/>
      <c r="F72" s="84"/>
      <c r="G72" s="84"/>
    </row>
    <row r="93" ht="24.75" customHeight="1"/>
  </sheetData>
  <phoneticPr fontId="6" type="noConversion"/>
  <printOptions horizontalCentered="1"/>
  <pageMargins left="0.25" right="0.25" top="0.75" bottom="0.75" header="0.3" footer="0.3"/>
  <pageSetup scale="84" fitToWidth="0" orientation="portrait" r:id="rId1"/>
  <headerFooter alignWithMargins="0">
    <oddFooter>&amp;L&amp;8NPC Group -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A46"/>
  <sheetViews>
    <sheetView showGridLines="0" zoomScale="70" zoomScaleNormal="70" zoomScaleSheetLayoutView="100" workbookViewId="0">
      <pane xSplit="2" ySplit="9" topLeftCell="C10" activePane="bottomRight" state="frozen"/>
      <selection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RowHeight="12.75"/>
  <cols>
    <col min="1" max="1" width="1.6640625" style="72" customWidth="1"/>
    <col min="2" max="2" width="12.1640625" style="72" customWidth="1"/>
    <col min="3" max="6" width="20" style="72" customWidth="1"/>
    <col min="7" max="7" width="1.6640625" style="84" customWidth="1"/>
    <col min="8" max="8" width="12.1640625" style="72" customWidth="1"/>
    <col min="9" max="12" width="20" style="72" customWidth="1"/>
    <col min="13" max="13" width="1.6640625" style="84" customWidth="1"/>
    <col min="14" max="14" width="10.5" style="72" customWidth="1"/>
    <col min="15" max="19" width="16" style="72" customWidth="1"/>
    <col min="20" max="20" width="1.6640625" style="84" customWidth="1"/>
    <col min="21" max="21" width="10.5" style="72" customWidth="1"/>
    <col min="22" max="26" width="16" style="72" customWidth="1"/>
    <col min="27" max="16384" width="9.33203125" style="72"/>
  </cols>
  <sheetData>
    <row r="1" spans="2:26" s="5" customFormat="1" ht="15.75">
      <c r="B1" s="1" t="s">
        <v>36</v>
      </c>
      <c r="C1" s="1"/>
      <c r="D1" s="1"/>
      <c r="E1" s="1"/>
      <c r="F1" s="1"/>
      <c r="G1" s="8"/>
      <c r="H1" s="1" t="s">
        <v>37</v>
      </c>
      <c r="I1" s="1"/>
      <c r="J1" s="1"/>
      <c r="K1" s="1"/>
      <c r="L1" s="1"/>
      <c r="M1" s="9"/>
      <c r="N1" s="1" t="s">
        <v>38</v>
      </c>
      <c r="O1" s="6"/>
      <c r="P1" s="1"/>
      <c r="Q1" s="1"/>
      <c r="R1" s="1"/>
      <c r="S1" s="1"/>
      <c r="T1" s="9"/>
      <c r="U1" s="1" t="s">
        <v>39</v>
      </c>
      <c r="V1" s="6"/>
      <c r="W1" s="1"/>
      <c r="X1" s="1"/>
      <c r="Y1" s="1"/>
      <c r="Z1" s="6"/>
    </row>
    <row r="2" spans="2:26" s="7" customFormat="1" ht="15">
      <c r="B2" s="3" t="s">
        <v>17</v>
      </c>
      <c r="C2" s="3"/>
      <c r="D2" s="3"/>
      <c r="E2" s="3"/>
      <c r="F2" s="3"/>
      <c r="G2" s="9"/>
      <c r="H2" s="3" t="s">
        <v>18</v>
      </c>
      <c r="I2" s="3"/>
      <c r="J2" s="3"/>
      <c r="K2" s="3"/>
      <c r="L2" s="3"/>
      <c r="M2" s="9"/>
      <c r="N2" s="3" t="s">
        <v>21</v>
      </c>
      <c r="O2" s="3"/>
      <c r="P2" s="3"/>
      <c r="Q2" s="3"/>
      <c r="R2" s="3"/>
      <c r="S2" s="3"/>
      <c r="T2" s="9"/>
      <c r="U2" s="3" t="s">
        <v>33</v>
      </c>
      <c r="V2" s="3"/>
      <c r="W2" s="3"/>
      <c r="X2" s="3"/>
      <c r="Y2" s="3"/>
      <c r="Z2" s="3"/>
    </row>
    <row r="3" spans="2:26">
      <c r="G3" s="111"/>
      <c r="M3" s="111"/>
      <c r="T3" s="111"/>
    </row>
    <row r="4" spans="2:26">
      <c r="B4" s="189"/>
      <c r="C4" s="215" t="s">
        <v>115</v>
      </c>
      <c r="D4" s="192" t="s">
        <v>4</v>
      </c>
      <c r="E4" s="105"/>
      <c r="F4" s="216" t="s">
        <v>10</v>
      </c>
      <c r="G4" s="111"/>
      <c r="H4" s="217"/>
      <c r="I4" s="190"/>
      <c r="J4" s="190"/>
      <c r="K4" s="216" t="s">
        <v>10</v>
      </c>
      <c r="L4" s="190" t="s">
        <v>16</v>
      </c>
      <c r="M4" s="111"/>
      <c r="N4" s="189"/>
      <c r="O4" s="105" t="s">
        <v>28</v>
      </c>
      <c r="P4" s="192" t="s">
        <v>16</v>
      </c>
      <c r="Q4" s="190" t="s">
        <v>19</v>
      </c>
      <c r="R4" s="190"/>
      <c r="S4" s="190"/>
      <c r="T4" s="111"/>
      <c r="U4" s="189"/>
      <c r="V4" s="215" t="s">
        <v>28</v>
      </c>
      <c r="W4" s="105" t="s">
        <v>30</v>
      </c>
      <c r="X4" s="192" t="s">
        <v>16</v>
      </c>
      <c r="Y4" s="105" t="s">
        <v>1</v>
      </c>
      <c r="Z4" s="105" t="s">
        <v>2</v>
      </c>
    </row>
    <row r="5" spans="2:26">
      <c r="B5" s="195" t="s">
        <v>3</v>
      </c>
      <c r="C5" s="218" t="s">
        <v>12</v>
      </c>
      <c r="D5" s="218" t="s">
        <v>12</v>
      </c>
      <c r="E5" s="195" t="s">
        <v>7</v>
      </c>
      <c r="F5" s="194" t="s">
        <v>8</v>
      </c>
      <c r="G5" s="111"/>
      <c r="H5" s="191" t="s">
        <v>3</v>
      </c>
      <c r="I5" s="195" t="s">
        <v>113</v>
      </c>
      <c r="J5" s="195" t="s">
        <v>14</v>
      </c>
      <c r="K5" s="194" t="s">
        <v>8</v>
      </c>
      <c r="L5" s="219" t="s">
        <v>15</v>
      </c>
      <c r="M5" s="111"/>
      <c r="N5" s="195" t="s">
        <v>3</v>
      </c>
      <c r="O5" s="195" t="s">
        <v>29</v>
      </c>
      <c r="P5" s="218" t="s">
        <v>15</v>
      </c>
      <c r="Q5" s="201" t="s">
        <v>20</v>
      </c>
      <c r="R5" s="220"/>
      <c r="S5" s="202"/>
      <c r="T5" s="111"/>
      <c r="U5" s="195" t="s">
        <v>3</v>
      </c>
      <c r="V5" s="191" t="s">
        <v>29</v>
      </c>
      <c r="W5" s="195" t="s">
        <v>31</v>
      </c>
      <c r="X5" s="218" t="s">
        <v>15</v>
      </c>
      <c r="Y5" s="195" t="str">
        <f>TEXT((0.57*8760),"0,000")&amp;" Hours"</f>
        <v>4,993 Hours</v>
      </c>
      <c r="Z5" s="195" t="str">
        <f>TEXT((0.43*8760),"0,000")&amp;" Hours"</f>
        <v>3,767 Hours</v>
      </c>
    </row>
    <row r="6" spans="2:26">
      <c r="B6" s="221"/>
      <c r="C6" s="191" t="s">
        <v>5</v>
      </c>
      <c r="D6" s="218" t="s">
        <v>5</v>
      </c>
      <c r="E6" s="195" t="s">
        <v>8</v>
      </c>
      <c r="F6" s="222" t="str">
        <f>TEXT('Table 8'!$D$128,"0.0%")&amp;" CF"</f>
        <v>51.9% CF</v>
      </c>
      <c r="G6" s="104"/>
      <c r="H6" s="196"/>
      <c r="I6" s="108" t="s">
        <v>114</v>
      </c>
      <c r="J6" s="57"/>
      <c r="K6" s="222" t="str">
        <f>F6</f>
        <v>51.9% CF</v>
      </c>
      <c r="L6" s="219" t="s">
        <v>14</v>
      </c>
      <c r="M6" s="104"/>
      <c r="N6" s="221"/>
      <c r="O6" s="195" t="s">
        <v>9</v>
      </c>
      <c r="P6" s="218" t="s">
        <v>14</v>
      </c>
      <c r="Q6" s="223">
        <v>0.75</v>
      </c>
      <c r="R6" s="223">
        <v>0.85</v>
      </c>
      <c r="S6" s="223">
        <v>0.95</v>
      </c>
      <c r="T6" s="104"/>
      <c r="U6" s="221"/>
      <c r="V6" s="191" t="s">
        <v>9</v>
      </c>
      <c r="W6" s="195" t="s">
        <v>0</v>
      </c>
      <c r="X6" s="218" t="s">
        <v>14</v>
      </c>
      <c r="Y6" s="195"/>
      <c r="Z6" s="195"/>
    </row>
    <row r="7" spans="2:26">
      <c r="B7" s="224"/>
      <c r="C7" s="107" t="s">
        <v>6</v>
      </c>
      <c r="D7" s="226" t="s">
        <v>6</v>
      </c>
      <c r="E7" s="107" t="s">
        <v>6</v>
      </c>
      <c r="F7" s="239" t="s">
        <v>123</v>
      </c>
      <c r="G7" s="104"/>
      <c r="H7" s="224"/>
      <c r="I7" s="225" t="s">
        <v>13</v>
      </c>
      <c r="J7" s="108" t="s">
        <v>123</v>
      </c>
      <c r="K7" s="127" t="s">
        <v>123</v>
      </c>
      <c r="L7" s="106" t="s">
        <v>123</v>
      </c>
      <c r="M7" s="104"/>
      <c r="N7" s="224"/>
      <c r="O7" s="107" t="s">
        <v>6</v>
      </c>
      <c r="P7" s="128" t="s">
        <v>123</v>
      </c>
      <c r="Q7" s="127" t="s">
        <v>123</v>
      </c>
      <c r="R7" s="127" t="s">
        <v>123</v>
      </c>
      <c r="S7" s="127" t="s">
        <v>123</v>
      </c>
      <c r="T7" s="104"/>
      <c r="U7" s="224"/>
      <c r="V7" s="226" t="s">
        <v>6</v>
      </c>
      <c r="W7" s="127" t="s">
        <v>123</v>
      </c>
      <c r="X7" s="128" t="s">
        <v>123</v>
      </c>
      <c r="Y7" s="127" t="s">
        <v>123</v>
      </c>
      <c r="Z7" s="127" t="s">
        <v>123</v>
      </c>
    </row>
    <row r="8" spans="2:26">
      <c r="C8" s="104" t="s">
        <v>23</v>
      </c>
      <c r="D8" s="203" t="s">
        <v>24</v>
      </c>
      <c r="E8" s="104" t="s">
        <v>25</v>
      </c>
      <c r="F8" s="104" t="s">
        <v>26</v>
      </c>
      <c r="I8" s="104" t="s">
        <v>23</v>
      </c>
      <c r="J8" s="104" t="s">
        <v>24</v>
      </c>
      <c r="K8" s="104" t="s">
        <v>25</v>
      </c>
      <c r="L8" s="203" t="s">
        <v>26</v>
      </c>
      <c r="O8" s="104" t="s">
        <v>23</v>
      </c>
      <c r="P8" s="203" t="s">
        <v>24</v>
      </c>
      <c r="Q8" s="104" t="s">
        <v>25</v>
      </c>
      <c r="R8" s="104" t="s">
        <v>26</v>
      </c>
      <c r="S8" s="104" t="s">
        <v>27</v>
      </c>
      <c r="V8" s="104" t="s">
        <v>23</v>
      </c>
      <c r="W8" s="203" t="s">
        <v>24</v>
      </c>
      <c r="X8" s="104" t="s">
        <v>25</v>
      </c>
      <c r="Y8" s="104" t="s">
        <v>26</v>
      </c>
      <c r="Z8" s="104" t="s">
        <v>27</v>
      </c>
    </row>
    <row r="9" spans="2:26">
      <c r="C9" s="104"/>
      <c r="D9" s="104"/>
      <c r="E9" s="4" t="str">
        <f>"("&amp;C8&amp;" - "&amp;D8&amp;") x 50%)"</f>
        <v>((a) - (b)) x 50%)</v>
      </c>
      <c r="F9" s="4" t="str">
        <f>E8&amp;"/(8.760 x "&amp;TEXT('Table 8'!$D$128,"0.0%")&amp;")"</f>
        <v>(c)/(8.760 x 51.9%)</v>
      </c>
      <c r="I9" s="104"/>
      <c r="K9" s="104"/>
      <c r="L9" s="10" t="str">
        <f>J8&amp;" + "&amp;K8</f>
        <v>(b) + (c)</v>
      </c>
      <c r="O9" s="11"/>
      <c r="P9" s="104"/>
      <c r="Q9" s="12" t="str">
        <f>" "&amp;$P$8&amp;"+"&amp;$O$8&amp;"/(8.76 x "&amp;$Q$6&amp;")"</f>
        <v xml:space="preserve"> (b)+(a)/(8.76 x 0.75)</v>
      </c>
      <c r="R9" s="12" t="str">
        <f>" "&amp;$P$8&amp;"+"&amp;$O$8&amp;"/(8.76 x "&amp;$R$6&amp;")"</f>
        <v xml:space="preserve"> (b)+(a)/(8.76 x 0.85)</v>
      </c>
      <c r="S9" s="12" t="str">
        <f>" "&amp;$P$8&amp;"+"&amp;$O$8&amp;"/(8.76 x "&amp;$S$6&amp;")"</f>
        <v xml:space="preserve"> (b)+(a)/(8.76 x 0.95)</v>
      </c>
      <c r="V9" s="11"/>
      <c r="W9" s="4" t="str">
        <f>" "&amp;V8&amp;" /(8.76 x "&amp;TEXT('Table 8'!D129,"0.0%")&amp;" x 57%)"</f>
        <v xml:space="preserve"> (a) /(8.76 x 91.1% x 57%)</v>
      </c>
      <c r="X9" s="104"/>
      <c r="Y9" s="4" t="str">
        <f>W8&amp;" + "&amp;X8</f>
        <v>(b) + (c)</v>
      </c>
      <c r="Z9" s="258" t="str">
        <f>X8</f>
        <v>(c)</v>
      </c>
    </row>
    <row r="10" spans="2:26">
      <c r="C10" s="126"/>
      <c r="D10" s="126"/>
    </row>
    <row r="11" spans="2:26" s="84" customFormat="1">
      <c r="B11" s="13" t="s">
        <v>69</v>
      </c>
      <c r="C11" s="119"/>
      <c r="D11" s="52" t="s">
        <v>93</v>
      </c>
      <c r="E11" s="227"/>
      <c r="F11" s="119"/>
      <c r="G11" s="119"/>
      <c r="H11" s="13" t="s">
        <v>69</v>
      </c>
      <c r="I11" s="206"/>
      <c r="K11" s="206"/>
      <c r="L11" s="206"/>
      <c r="M11" s="119"/>
      <c r="N11" s="13" t="s">
        <v>69</v>
      </c>
      <c r="O11" s="119"/>
      <c r="P11" s="206"/>
      <c r="Q11" s="206"/>
      <c r="R11" s="206"/>
      <c r="S11" s="206"/>
      <c r="T11" s="119"/>
      <c r="U11" s="13" t="s">
        <v>69</v>
      </c>
      <c r="V11" s="119"/>
      <c r="W11" s="206"/>
      <c r="X11" s="206"/>
      <c r="Y11" s="206"/>
      <c r="Z11" s="206"/>
    </row>
    <row r="12" spans="2:26" s="84" customFormat="1">
      <c r="B12" s="228">
        <v>2013</v>
      </c>
      <c r="C12" s="115"/>
      <c r="D12" s="115">
        <f>INDEX('Table 8'!$H$10:$H$36,MATCH($B12,'Table 8'!$B$10:$B$36,0))*INDEX('Table 11'!$C$22:$C$32,MATCH($B12,'Table 11'!$B$22:$B$32,0))/12</f>
        <v>28.035</v>
      </c>
      <c r="E12" s="115"/>
      <c r="F12" s="116"/>
      <c r="G12" s="119"/>
      <c r="H12" s="228">
        <f>$B12</f>
        <v>2013</v>
      </c>
      <c r="I12" s="229"/>
      <c r="J12" s="229"/>
      <c r="K12" s="229"/>
      <c r="L12" s="230">
        <f>'Table 2'!L57</f>
        <v>34.19</v>
      </c>
      <c r="M12" s="119"/>
      <c r="N12" s="228">
        <f>$B12</f>
        <v>2013</v>
      </c>
      <c r="O12" s="115">
        <f>D12</f>
        <v>28.035</v>
      </c>
      <c r="P12" s="229">
        <f>L12</f>
        <v>34.19</v>
      </c>
      <c r="Q12" s="229">
        <f>ROUND($P12+$O12/(4.416*Q$6),2)</f>
        <v>42.65</v>
      </c>
      <c r="R12" s="229">
        <f>ROUND($P12+$O12/(4.416*R$6),2)</f>
        <v>41.66</v>
      </c>
      <c r="S12" s="230">
        <f>ROUND($P12+$O12/(4.416*S$6),2)</f>
        <v>40.869999999999997</v>
      </c>
      <c r="T12" s="119"/>
      <c r="U12" s="228">
        <f>$B12</f>
        <v>2013</v>
      </c>
      <c r="V12" s="115">
        <f>D12</f>
        <v>28.035</v>
      </c>
      <c r="W12" s="229">
        <f>ROUND(V12/(4.416*'Table 8'!$D$129*0.57),2)</f>
        <v>12.23</v>
      </c>
      <c r="X12" s="229">
        <f>L12</f>
        <v>34.19</v>
      </c>
      <c r="Y12" s="229">
        <f>W12+X12</f>
        <v>46.42</v>
      </c>
      <c r="Z12" s="230">
        <f>X12</f>
        <v>34.19</v>
      </c>
    </row>
    <row r="13" spans="2:26" s="84" customFormat="1">
      <c r="B13" s="117">
        <f>B12+1</f>
        <v>2014</v>
      </c>
      <c r="C13" s="119"/>
      <c r="D13" s="119">
        <f>INDEX('Table 8'!$H$10:$H$36,MATCH($B13,'Table 8'!$B$10:$B$36,0))*INDEX('Table 11'!$C$22:$C$32,MATCH($B13,'Table 11'!$B$22:$B$32,0))/12</f>
        <v>47.520833333333336</v>
      </c>
      <c r="E13" s="227"/>
      <c r="F13" s="120"/>
      <c r="G13" s="119"/>
      <c r="H13" s="117">
        <f>$B13</f>
        <v>2014</v>
      </c>
      <c r="I13" s="206"/>
      <c r="J13" s="206"/>
      <c r="K13" s="206"/>
      <c r="L13" s="231">
        <f>'Table 2'!L58</f>
        <v>30.84</v>
      </c>
      <c r="M13" s="119"/>
      <c r="N13" s="117">
        <f>$B13</f>
        <v>2014</v>
      </c>
      <c r="O13" s="119">
        <f>D13</f>
        <v>47.520833333333336</v>
      </c>
      <c r="P13" s="206">
        <f>L13</f>
        <v>30.84</v>
      </c>
      <c r="Q13" s="206">
        <f t="shared" ref="Q13:S22" si="0">ROUND($P13+$O13/(8.76*Q$6),2)</f>
        <v>38.07</v>
      </c>
      <c r="R13" s="206">
        <f t="shared" si="0"/>
        <v>37.22</v>
      </c>
      <c r="S13" s="231">
        <f t="shared" si="0"/>
        <v>36.549999999999997</v>
      </c>
      <c r="T13" s="119"/>
      <c r="U13" s="117">
        <f t="shared" ref="U13:U22" si="1">$B13</f>
        <v>2014</v>
      </c>
      <c r="V13" s="119">
        <f t="shared" ref="V13" si="2">D13</f>
        <v>47.520833333333336</v>
      </c>
      <c r="W13" s="206">
        <f>ROUND(V13/(8.76*'Table 8'!$D$129*0.57),2)</f>
        <v>10.45</v>
      </c>
      <c r="X13" s="206">
        <f t="shared" ref="X13" si="3">L13</f>
        <v>30.84</v>
      </c>
      <c r="Y13" s="206">
        <f t="shared" ref="Y13" si="4">W13+X13</f>
        <v>41.29</v>
      </c>
      <c r="Z13" s="231">
        <f t="shared" ref="Z13" si="5">X13</f>
        <v>30.84</v>
      </c>
    </row>
    <row r="14" spans="2:26" s="84" customFormat="1">
      <c r="B14" s="117">
        <f t="shared" ref="B14:B22" si="6">B13+1</f>
        <v>2015</v>
      </c>
      <c r="C14" s="119"/>
      <c r="D14" s="119">
        <f>INDEX('Table 8'!$H$10:$H$36,MATCH($B14,'Table 8'!$B$10:$B$36,0))*INDEX('Table 11'!$C$22:$C$32,MATCH($B14,'Table 11'!$B$22:$B$32,0))/12</f>
        <v>57.94</v>
      </c>
      <c r="E14" s="227"/>
      <c r="F14" s="120"/>
      <c r="G14" s="119"/>
      <c r="H14" s="117">
        <f t="shared" ref="H14:H22" si="7">$B14</f>
        <v>2015</v>
      </c>
      <c r="I14" s="206"/>
      <c r="J14" s="206"/>
      <c r="K14" s="206"/>
      <c r="L14" s="231">
        <f>'Table 2'!L59</f>
        <v>31.48</v>
      </c>
      <c r="M14" s="119"/>
      <c r="N14" s="117">
        <f t="shared" ref="N14:N22" si="8">$B14</f>
        <v>2015</v>
      </c>
      <c r="O14" s="119">
        <f t="shared" ref="O14:O22" si="9">D14</f>
        <v>57.94</v>
      </c>
      <c r="P14" s="206">
        <f t="shared" ref="P14:P22" si="10">L14</f>
        <v>31.48</v>
      </c>
      <c r="Q14" s="206">
        <f t="shared" si="0"/>
        <v>40.299999999999997</v>
      </c>
      <c r="R14" s="206">
        <f t="shared" si="0"/>
        <v>39.26</v>
      </c>
      <c r="S14" s="231">
        <f t="shared" si="0"/>
        <v>38.44</v>
      </c>
      <c r="T14" s="119"/>
      <c r="U14" s="117">
        <f t="shared" si="1"/>
        <v>2015</v>
      </c>
      <c r="V14" s="119">
        <f t="shared" ref="V14:V22" si="11">D14</f>
        <v>57.94</v>
      </c>
      <c r="W14" s="206">
        <f>ROUND(V14/(8.76*'Table 8'!$D$129*0.57),2)</f>
        <v>12.74</v>
      </c>
      <c r="X14" s="206">
        <f t="shared" ref="X14:X22" si="12">L14</f>
        <v>31.48</v>
      </c>
      <c r="Y14" s="206">
        <f t="shared" ref="Y14:Y22" si="13">W14+X14</f>
        <v>44.22</v>
      </c>
      <c r="Z14" s="231">
        <f t="shared" ref="Z14:Z22" si="14">X14</f>
        <v>31.48</v>
      </c>
    </row>
    <row r="15" spans="2:26">
      <c r="B15" s="117">
        <f t="shared" si="6"/>
        <v>2016</v>
      </c>
      <c r="C15" s="119"/>
      <c r="D15" s="119">
        <f>INDEX('Table 8'!$H$10:$H$36,MATCH($B15,'Table 8'!$B$10:$B$36,0))*INDEX('Table 11'!$C$22:$C$32,MATCH($B15,'Table 11'!$B$22:$B$32,0))/12</f>
        <v>68.67583333333333</v>
      </c>
      <c r="E15" s="119"/>
      <c r="F15" s="120"/>
      <c r="G15" s="119"/>
      <c r="H15" s="117">
        <f t="shared" si="7"/>
        <v>2016</v>
      </c>
      <c r="I15" s="206"/>
      <c r="J15" s="206"/>
      <c r="K15" s="206"/>
      <c r="L15" s="231">
        <f>'Table 2'!L60</f>
        <v>32.1</v>
      </c>
      <c r="M15" s="119"/>
      <c r="N15" s="117">
        <f t="shared" si="8"/>
        <v>2016</v>
      </c>
      <c r="O15" s="119">
        <f t="shared" si="9"/>
        <v>68.67583333333333</v>
      </c>
      <c r="P15" s="206">
        <f t="shared" si="10"/>
        <v>32.1</v>
      </c>
      <c r="Q15" s="206">
        <f t="shared" si="0"/>
        <v>42.55</v>
      </c>
      <c r="R15" s="206">
        <f t="shared" si="0"/>
        <v>41.32</v>
      </c>
      <c r="S15" s="231">
        <f t="shared" si="0"/>
        <v>40.35</v>
      </c>
      <c r="T15" s="119"/>
      <c r="U15" s="117">
        <f t="shared" si="1"/>
        <v>2016</v>
      </c>
      <c r="V15" s="119">
        <f t="shared" si="11"/>
        <v>68.67583333333333</v>
      </c>
      <c r="W15" s="206">
        <f>ROUND(V15/(8.76*'Table 8'!$D$129*0.57),2)</f>
        <v>15.1</v>
      </c>
      <c r="X15" s="206">
        <f t="shared" si="12"/>
        <v>32.1</v>
      </c>
      <c r="Y15" s="206">
        <f t="shared" si="13"/>
        <v>47.2</v>
      </c>
      <c r="Z15" s="231">
        <f t="shared" si="14"/>
        <v>32.1</v>
      </c>
    </row>
    <row r="16" spans="2:26">
      <c r="B16" s="117">
        <f t="shared" si="6"/>
        <v>2017</v>
      </c>
      <c r="C16" s="119"/>
      <c r="D16" s="119">
        <f>INDEX('Table 8'!$H$10:$H$36,MATCH($B16,'Table 8'!$B$10:$B$36,0))*INDEX('Table 11'!$C$22:$C$32,MATCH($B16,'Table 11'!$B$22:$B$32,0))/12</f>
        <v>69.848333333333329</v>
      </c>
      <c r="E16" s="119"/>
      <c r="F16" s="120"/>
      <c r="G16" s="119"/>
      <c r="H16" s="117">
        <f t="shared" si="7"/>
        <v>2017</v>
      </c>
      <c r="I16" s="206"/>
      <c r="J16" s="206"/>
      <c r="K16" s="206"/>
      <c r="L16" s="231">
        <f>'Table 2'!L61</f>
        <v>33.729999999999997</v>
      </c>
      <c r="M16" s="119"/>
      <c r="N16" s="117">
        <f t="shared" si="8"/>
        <v>2017</v>
      </c>
      <c r="O16" s="119">
        <f t="shared" si="9"/>
        <v>69.848333333333329</v>
      </c>
      <c r="P16" s="206">
        <f t="shared" si="10"/>
        <v>33.729999999999997</v>
      </c>
      <c r="Q16" s="206">
        <f t="shared" si="0"/>
        <v>44.36</v>
      </c>
      <c r="R16" s="206">
        <f t="shared" si="0"/>
        <v>43.11</v>
      </c>
      <c r="S16" s="231">
        <f t="shared" si="0"/>
        <v>42.12</v>
      </c>
      <c r="T16" s="119"/>
      <c r="U16" s="117">
        <f t="shared" si="1"/>
        <v>2017</v>
      </c>
      <c r="V16" s="119">
        <f t="shared" si="11"/>
        <v>69.848333333333329</v>
      </c>
      <c r="W16" s="206">
        <f>ROUND(V16/(8.76*'Table 8'!$D$129*0.57),2)</f>
        <v>15.36</v>
      </c>
      <c r="X16" s="206">
        <f t="shared" si="12"/>
        <v>33.729999999999997</v>
      </c>
      <c r="Y16" s="206">
        <f t="shared" si="13"/>
        <v>49.089999999999996</v>
      </c>
      <c r="Z16" s="231">
        <f t="shared" si="14"/>
        <v>33.729999999999997</v>
      </c>
    </row>
    <row r="17" spans="2:27">
      <c r="B17" s="117">
        <f t="shared" si="6"/>
        <v>2018</v>
      </c>
      <c r="C17" s="119"/>
      <c r="D17" s="119">
        <f>INDEX('Table 8'!$H$10:$H$36,MATCH($B17,'Table 8'!$B$10:$B$36,0))*INDEX('Table 11'!$C$22:$C$32,MATCH($B17,'Table 11'!$B$22:$B$32,0))/12</f>
        <v>81.260000000000005</v>
      </c>
      <c r="E17" s="119"/>
      <c r="F17" s="120"/>
      <c r="G17" s="119"/>
      <c r="H17" s="117">
        <f t="shared" si="7"/>
        <v>2018</v>
      </c>
      <c r="I17" s="206"/>
      <c r="J17" s="206"/>
      <c r="K17" s="206"/>
      <c r="L17" s="231">
        <f>'Table 2'!L62</f>
        <v>34.82</v>
      </c>
      <c r="M17" s="119"/>
      <c r="N17" s="117">
        <f t="shared" si="8"/>
        <v>2018</v>
      </c>
      <c r="O17" s="119">
        <f t="shared" si="9"/>
        <v>81.260000000000005</v>
      </c>
      <c r="P17" s="206">
        <f t="shared" si="10"/>
        <v>34.82</v>
      </c>
      <c r="Q17" s="206">
        <f t="shared" si="0"/>
        <v>47.19</v>
      </c>
      <c r="R17" s="206">
        <f t="shared" si="0"/>
        <v>45.73</v>
      </c>
      <c r="S17" s="231">
        <f t="shared" si="0"/>
        <v>44.58</v>
      </c>
      <c r="T17" s="119"/>
      <c r="U17" s="117">
        <f t="shared" si="1"/>
        <v>2018</v>
      </c>
      <c r="V17" s="119">
        <f t="shared" si="11"/>
        <v>81.260000000000005</v>
      </c>
      <c r="W17" s="206">
        <f>ROUND(V17/(8.76*'Table 8'!$D$129*0.57),2)</f>
        <v>17.86</v>
      </c>
      <c r="X17" s="206">
        <f t="shared" si="12"/>
        <v>34.82</v>
      </c>
      <c r="Y17" s="206">
        <f t="shared" si="13"/>
        <v>52.68</v>
      </c>
      <c r="Z17" s="231">
        <f t="shared" si="14"/>
        <v>34.82</v>
      </c>
    </row>
    <row r="18" spans="2:27">
      <c r="B18" s="117">
        <f t="shared" si="6"/>
        <v>2019</v>
      </c>
      <c r="C18" s="119"/>
      <c r="D18" s="119">
        <f>INDEX('Table 8'!$H$10:$H$36,MATCH($B18,'Table 8'!$B$10:$B$36,0))*INDEX('Table 11'!$C$22:$C$32,MATCH($B18,'Table 11'!$B$22:$B$32,0))/12</f>
        <v>82.72</v>
      </c>
      <c r="E18" s="119"/>
      <c r="F18" s="120"/>
      <c r="G18" s="119"/>
      <c r="H18" s="117">
        <f t="shared" si="7"/>
        <v>2019</v>
      </c>
      <c r="I18" s="206"/>
      <c r="J18" s="206"/>
      <c r="K18" s="206"/>
      <c r="L18" s="231">
        <f>'Table 2'!L63</f>
        <v>37.200000000000003</v>
      </c>
      <c r="M18" s="119"/>
      <c r="N18" s="117">
        <f t="shared" si="8"/>
        <v>2019</v>
      </c>
      <c r="O18" s="119">
        <f t="shared" si="9"/>
        <v>82.72</v>
      </c>
      <c r="P18" s="206">
        <f t="shared" si="10"/>
        <v>37.200000000000003</v>
      </c>
      <c r="Q18" s="206">
        <f t="shared" si="0"/>
        <v>49.79</v>
      </c>
      <c r="R18" s="206">
        <f t="shared" si="0"/>
        <v>48.31</v>
      </c>
      <c r="S18" s="231">
        <f t="shared" si="0"/>
        <v>47.14</v>
      </c>
      <c r="T18" s="119"/>
      <c r="U18" s="117">
        <f t="shared" si="1"/>
        <v>2019</v>
      </c>
      <c r="V18" s="119">
        <f t="shared" si="11"/>
        <v>82.72</v>
      </c>
      <c r="W18" s="206">
        <f>ROUND(V18/(8.76*'Table 8'!$D$129*0.57),2)</f>
        <v>18.18</v>
      </c>
      <c r="X18" s="206">
        <f t="shared" si="12"/>
        <v>37.200000000000003</v>
      </c>
      <c r="Y18" s="206">
        <f t="shared" si="13"/>
        <v>55.38</v>
      </c>
      <c r="Z18" s="231">
        <f t="shared" si="14"/>
        <v>37.200000000000003</v>
      </c>
    </row>
    <row r="19" spans="2:27">
      <c r="B19" s="117">
        <f t="shared" si="6"/>
        <v>2020</v>
      </c>
      <c r="C19" s="119"/>
      <c r="D19" s="119">
        <f>INDEX('Table 8'!$H$10:$H$36,MATCH($B19,'Table 8'!$B$10:$B$36,0))*INDEX('Table 11'!$C$22:$C$32,MATCH($B19,'Table 11'!$B$22:$B$32,0))/12</f>
        <v>84.213333333333324</v>
      </c>
      <c r="E19" s="119"/>
      <c r="F19" s="120"/>
      <c r="G19" s="119"/>
      <c r="H19" s="117">
        <f t="shared" si="7"/>
        <v>2020</v>
      </c>
      <c r="I19" s="206"/>
      <c r="J19" s="206"/>
      <c r="K19" s="206"/>
      <c r="L19" s="231">
        <f>'Table 2'!L64</f>
        <v>41.38</v>
      </c>
      <c r="M19" s="119"/>
      <c r="N19" s="117">
        <f t="shared" si="8"/>
        <v>2020</v>
      </c>
      <c r="O19" s="119">
        <f t="shared" si="9"/>
        <v>84.213333333333324</v>
      </c>
      <c r="P19" s="206">
        <f t="shared" si="10"/>
        <v>41.38</v>
      </c>
      <c r="Q19" s="206">
        <f t="shared" si="0"/>
        <v>54.2</v>
      </c>
      <c r="R19" s="206">
        <f t="shared" si="0"/>
        <v>52.69</v>
      </c>
      <c r="S19" s="231">
        <f t="shared" si="0"/>
        <v>51.5</v>
      </c>
      <c r="T19" s="119"/>
      <c r="U19" s="117">
        <f t="shared" si="1"/>
        <v>2020</v>
      </c>
      <c r="V19" s="119">
        <f t="shared" si="11"/>
        <v>84.213333333333324</v>
      </c>
      <c r="W19" s="206">
        <f>ROUND(V19/(8.76*'Table 8'!$D$129*0.57),2)</f>
        <v>18.510000000000002</v>
      </c>
      <c r="X19" s="206">
        <f t="shared" si="12"/>
        <v>41.38</v>
      </c>
      <c r="Y19" s="206">
        <f t="shared" si="13"/>
        <v>59.89</v>
      </c>
      <c r="Z19" s="231">
        <f t="shared" si="14"/>
        <v>41.38</v>
      </c>
    </row>
    <row r="20" spans="2:27">
      <c r="B20" s="117">
        <f t="shared" si="6"/>
        <v>2021</v>
      </c>
      <c r="C20" s="119"/>
      <c r="D20" s="119">
        <f>INDEX('Table 8'!$H$10:$H$36,MATCH($B20,'Table 8'!$B$10:$B$36,0))*INDEX('Table 11'!$C$22:$C$32,MATCH($B20,'Table 11'!$B$22:$B$32,0))/12</f>
        <v>96.442499999999995</v>
      </c>
      <c r="E20" s="119"/>
      <c r="F20" s="120"/>
      <c r="G20" s="119"/>
      <c r="H20" s="117">
        <f t="shared" si="7"/>
        <v>2021</v>
      </c>
      <c r="I20" s="206"/>
      <c r="J20" s="206"/>
      <c r="K20" s="206"/>
      <c r="L20" s="231">
        <f>'Table 2'!L65</f>
        <v>46.7</v>
      </c>
      <c r="M20" s="119"/>
      <c r="N20" s="117">
        <f t="shared" si="8"/>
        <v>2021</v>
      </c>
      <c r="O20" s="119">
        <f t="shared" si="9"/>
        <v>96.442499999999995</v>
      </c>
      <c r="P20" s="206">
        <f t="shared" si="10"/>
        <v>46.7</v>
      </c>
      <c r="Q20" s="206">
        <f t="shared" si="0"/>
        <v>61.38</v>
      </c>
      <c r="R20" s="206">
        <f t="shared" si="0"/>
        <v>59.65</v>
      </c>
      <c r="S20" s="231">
        <f t="shared" si="0"/>
        <v>58.29</v>
      </c>
      <c r="T20" s="119"/>
      <c r="U20" s="117">
        <f t="shared" si="1"/>
        <v>2021</v>
      </c>
      <c r="V20" s="119">
        <f t="shared" si="11"/>
        <v>96.442499999999995</v>
      </c>
      <c r="W20" s="206">
        <f>ROUND(V20/(8.76*'Table 8'!$D$129*0.57),2)</f>
        <v>21.2</v>
      </c>
      <c r="X20" s="206">
        <f t="shared" si="12"/>
        <v>46.7</v>
      </c>
      <c r="Y20" s="206">
        <f t="shared" si="13"/>
        <v>67.900000000000006</v>
      </c>
      <c r="Z20" s="231">
        <f t="shared" si="14"/>
        <v>46.7</v>
      </c>
    </row>
    <row r="21" spans="2:27">
      <c r="B21" s="117">
        <f t="shared" si="6"/>
        <v>2022</v>
      </c>
      <c r="C21" s="119"/>
      <c r="D21" s="119">
        <f>INDEX('Table 8'!$H$10:$H$36,MATCH($B21,'Table 8'!$B$10:$B$36,0))*INDEX('Table 11'!$C$22:$C$32,MATCH($B21,'Table 11'!$B$22:$B$32,0))/12</f>
        <v>109.20833333333333</v>
      </c>
      <c r="E21" s="119"/>
      <c r="F21" s="120"/>
      <c r="G21" s="119"/>
      <c r="H21" s="117">
        <f t="shared" si="7"/>
        <v>2022</v>
      </c>
      <c r="I21" s="206"/>
      <c r="J21" s="206"/>
      <c r="K21" s="206"/>
      <c r="L21" s="231">
        <f>'Table 2'!L66</f>
        <v>53.39</v>
      </c>
      <c r="M21" s="119"/>
      <c r="N21" s="117">
        <f t="shared" si="8"/>
        <v>2022</v>
      </c>
      <c r="O21" s="119">
        <f t="shared" si="9"/>
        <v>109.20833333333333</v>
      </c>
      <c r="P21" s="206">
        <f t="shared" si="10"/>
        <v>53.39</v>
      </c>
      <c r="Q21" s="206">
        <f t="shared" si="0"/>
        <v>70.010000000000005</v>
      </c>
      <c r="R21" s="206">
        <f t="shared" si="0"/>
        <v>68.06</v>
      </c>
      <c r="S21" s="231">
        <f t="shared" si="0"/>
        <v>66.510000000000005</v>
      </c>
      <c r="T21" s="119"/>
      <c r="U21" s="117">
        <f t="shared" si="1"/>
        <v>2022</v>
      </c>
      <c r="V21" s="119">
        <f t="shared" si="11"/>
        <v>109.20833333333333</v>
      </c>
      <c r="W21" s="206">
        <f>ROUND(V21/(8.76*'Table 8'!$D$129*0.57),2)</f>
        <v>24.01</v>
      </c>
      <c r="X21" s="206">
        <f t="shared" si="12"/>
        <v>53.39</v>
      </c>
      <c r="Y21" s="206">
        <f t="shared" si="13"/>
        <v>77.400000000000006</v>
      </c>
      <c r="Z21" s="231">
        <f t="shared" si="14"/>
        <v>53.39</v>
      </c>
    </row>
    <row r="22" spans="2:27">
      <c r="B22" s="121">
        <f t="shared" si="6"/>
        <v>2023</v>
      </c>
      <c r="C22" s="123"/>
      <c r="D22" s="123">
        <f>INDEX('Table 8'!$H$10:$H$36,MATCH($B22,'Table 8'!$B$10:$B$36,0))*INDEX('Table 11'!$C$22:$C$32,MATCH($B22,'Table 11'!$B$22:$B$32,0))/12</f>
        <v>100.14749999999999</v>
      </c>
      <c r="E22" s="123"/>
      <c r="F22" s="124"/>
      <c r="G22" s="119"/>
      <c r="H22" s="121">
        <f t="shared" si="7"/>
        <v>2023</v>
      </c>
      <c r="I22" s="232"/>
      <c r="J22" s="232"/>
      <c r="K22" s="232"/>
      <c r="L22" s="233">
        <f>'Table 2'!L67</f>
        <v>58.57</v>
      </c>
      <c r="M22" s="119"/>
      <c r="N22" s="121">
        <f t="shared" si="8"/>
        <v>2023</v>
      </c>
      <c r="O22" s="123">
        <f t="shared" si="9"/>
        <v>100.14749999999999</v>
      </c>
      <c r="P22" s="232">
        <f t="shared" si="10"/>
        <v>58.57</v>
      </c>
      <c r="Q22" s="232">
        <f t="shared" si="0"/>
        <v>73.81</v>
      </c>
      <c r="R22" s="232">
        <f t="shared" si="0"/>
        <v>72.02</v>
      </c>
      <c r="S22" s="233">
        <f t="shared" si="0"/>
        <v>70.599999999999994</v>
      </c>
      <c r="T22" s="119"/>
      <c r="U22" s="121">
        <f t="shared" si="1"/>
        <v>2023</v>
      </c>
      <c r="V22" s="123">
        <f t="shared" si="11"/>
        <v>100.14749999999999</v>
      </c>
      <c r="W22" s="232">
        <f>ROUND(V22/(8.76*'Table 8'!$D$129*0.57),2)</f>
        <v>22.02</v>
      </c>
      <c r="X22" s="232">
        <f t="shared" si="12"/>
        <v>58.57</v>
      </c>
      <c r="Y22" s="232">
        <f t="shared" si="13"/>
        <v>80.59</v>
      </c>
      <c r="Z22" s="233">
        <f t="shared" si="14"/>
        <v>58.57</v>
      </c>
    </row>
    <row r="23" spans="2:27">
      <c r="B23" s="129"/>
      <c r="C23" s="234"/>
      <c r="D23" s="234"/>
      <c r="E23" s="234"/>
      <c r="F23" s="234"/>
      <c r="G23" s="119"/>
      <c r="H23" s="129"/>
      <c r="I23" s="206"/>
      <c r="J23" s="206"/>
      <c r="K23" s="206"/>
      <c r="L23" s="206"/>
      <c r="M23" s="119"/>
      <c r="N23" s="129"/>
      <c r="O23" s="119"/>
      <c r="P23" s="206"/>
      <c r="Q23" s="206"/>
      <c r="R23" s="206"/>
      <c r="S23" s="206"/>
      <c r="T23" s="119"/>
      <c r="U23" s="129"/>
      <c r="V23" s="119"/>
      <c r="W23" s="206"/>
      <c r="X23" s="206"/>
      <c r="Y23" s="206"/>
      <c r="Z23" s="206"/>
    </row>
    <row r="24" spans="2:27">
      <c r="B24" s="23" t="s">
        <v>97</v>
      </c>
      <c r="C24" s="119"/>
      <c r="D24" s="52" t="s">
        <v>94</v>
      </c>
      <c r="E24" s="119"/>
      <c r="F24" s="119"/>
      <c r="G24" s="119"/>
      <c r="H24" s="23" t="s">
        <v>97</v>
      </c>
      <c r="I24" s="206"/>
      <c r="J24" s="103" t="str">
        <f>$I$8&amp;" x "&amp;TEXT('Table 8'!$K$115/1000,"0.000")</f>
        <v>(a) x 6.560</v>
      </c>
      <c r="K24" s="206"/>
      <c r="L24" s="206"/>
      <c r="M24" s="119"/>
      <c r="N24" s="23" t="s">
        <v>97</v>
      </c>
      <c r="O24" s="119"/>
      <c r="P24" s="206"/>
      <c r="Q24" s="206"/>
      <c r="R24" s="206"/>
      <c r="S24" s="206"/>
      <c r="T24" s="119"/>
      <c r="U24" s="23" t="s">
        <v>97</v>
      </c>
      <c r="V24" s="119"/>
      <c r="W24" s="206"/>
      <c r="X24" s="206"/>
      <c r="Y24" s="206"/>
      <c r="Z24" s="206"/>
    </row>
    <row r="25" spans="2:27">
      <c r="B25" s="228">
        <f>B22+1</f>
        <v>2024</v>
      </c>
      <c r="C25" s="115">
        <f>INDEX('Table 8'!$H$62:$H$88,MATCH($B25,'Table 8'!$B$62:$B$88,0))</f>
        <v>143.71</v>
      </c>
      <c r="D25" s="115">
        <f>INDEX('Table 8'!$H$10:$H$36,MATCH($B25,'Table 8'!$B$10:$B$36,0))</f>
        <v>136.06</v>
      </c>
      <c r="E25" s="115">
        <f>ROUND((C25-D25)*0.5,2)</f>
        <v>3.83</v>
      </c>
      <c r="F25" s="116">
        <f>ROUND(E25/(8.76*'Table 8'!$D$128),2)</f>
        <v>0.84</v>
      </c>
      <c r="G25" s="119"/>
      <c r="H25" s="228">
        <f t="shared" ref="H25:H38" si="15">$B25</f>
        <v>2024</v>
      </c>
      <c r="I25" s="229">
        <f>INDEX('Table 9'!C:C,MATCH('Tables 3 to 6'!$H25,'Table 9'!B:B,0))</f>
        <v>6.23</v>
      </c>
      <c r="J25" s="229">
        <f>I25*'Table 8'!$K$115/1000</f>
        <v>40.8688</v>
      </c>
      <c r="K25" s="229">
        <f t="shared" ref="K25" si="16">F25</f>
        <v>0.84</v>
      </c>
      <c r="L25" s="230">
        <f t="shared" ref="L25" si="17">J25+K25</f>
        <v>41.708800000000004</v>
      </c>
      <c r="M25" s="119"/>
      <c r="N25" s="228">
        <f t="shared" ref="N25:N38" si="18">$B25</f>
        <v>2024</v>
      </c>
      <c r="O25" s="115">
        <f>D25+E25</f>
        <v>139.89000000000001</v>
      </c>
      <c r="P25" s="229">
        <f t="shared" ref="P25" si="19">L25</f>
        <v>41.708800000000004</v>
      </c>
      <c r="Q25" s="229">
        <f t="shared" ref="Q25:S38" si="20">ROUND($P25+$O25/(8.76*Q$6),2)</f>
        <v>63</v>
      </c>
      <c r="R25" s="229">
        <f t="shared" si="20"/>
        <v>60.5</v>
      </c>
      <c r="S25" s="230">
        <f t="shared" si="20"/>
        <v>58.52</v>
      </c>
      <c r="T25" s="119"/>
      <c r="U25" s="228">
        <f t="shared" ref="U25:U38" si="21">$B25</f>
        <v>2024</v>
      </c>
      <c r="V25" s="115">
        <f>D25+E25</f>
        <v>139.89000000000001</v>
      </c>
      <c r="W25" s="229">
        <f>ROUND(V25/(8.76*'Table 8'!$D$129*0.57),2)</f>
        <v>30.75</v>
      </c>
      <c r="X25" s="229">
        <f t="shared" ref="X25" si="22">L25</f>
        <v>41.708800000000004</v>
      </c>
      <c r="Y25" s="229">
        <f t="shared" ref="Y25" si="23">W25+X25</f>
        <v>72.458799999999997</v>
      </c>
      <c r="Z25" s="230">
        <f t="shared" ref="Z25" si="24">X25</f>
        <v>41.708800000000004</v>
      </c>
      <c r="AA25" s="84"/>
    </row>
    <row r="26" spans="2:27">
      <c r="B26" s="117">
        <f t="shared" ref="B26:B38" si="25">B25+1</f>
        <v>2025</v>
      </c>
      <c r="C26" s="119">
        <f>INDEX('Table 8'!$H$62:$H$88,MATCH($B26,'Table 8'!$B$62:$B$88,0))</f>
        <v>146.43</v>
      </c>
      <c r="D26" s="119">
        <f>INDEX('Table 8'!$H$10:$H$36,MATCH($B26,'Table 8'!$B$10:$B$36,0))</f>
        <v>138.66</v>
      </c>
      <c r="E26" s="119">
        <f>ROUND((C26-D26)*0.5,2)</f>
        <v>3.89</v>
      </c>
      <c r="F26" s="120">
        <f>ROUND(E26/(8.76*'Table 8'!$D$128),2)</f>
        <v>0.86</v>
      </c>
      <c r="G26" s="119"/>
      <c r="H26" s="117">
        <f t="shared" si="15"/>
        <v>2025</v>
      </c>
      <c r="I26" s="206">
        <f>INDEX('Table 9'!C:C,MATCH('Tables 3 to 6'!$H26,'Table 9'!B:B,0))</f>
        <v>6.23</v>
      </c>
      <c r="J26" s="206">
        <f>I26*'Table 8'!$K$115/1000</f>
        <v>40.8688</v>
      </c>
      <c r="K26" s="206">
        <f t="shared" ref="K26:K38" si="26">F26</f>
        <v>0.86</v>
      </c>
      <c r="L26" s="231">
        <f t="shared" ref="L26:L38" si="27">J26+K26</f>
        <v>41.7288</v>
      </c>
      <c r="M26" s="119"/>
      <c r="N26" s="117">
        <f t="shared" si="18"/>
        <v>2025</v>
      </c>
      <c r="O26" s="119">
        <f t="shared" ref="O26:O38" si="28">D26+E26</f>
        <v>142.54999999999998</v>
      </c>
      <c r="P26" s="206">
        <f t="shared" ref="P26:P38" si="29">L26</f>
        <v>41.7288</v>
      </c>
      <c r="Q26" s="206">
        <f t="shared" si="20"/>
        <v>63.43</v>
      </c>
      <c r="R26" s="206">
        <f t="shared" si="20"/>
        <v>60.87</v>
      </c>
      <c r="S26" s="231">
        <f t="shared" si="20"/>
        <v>58.86</v>
      </c>
      <c r="T26" s="119"/>
      <c r="U26" s="117">
        <f t="shared" si="21"/>
        <v>2025</v>
      </c>
      <c r="V26" s="119">
        <f t="shared" ref="V26:V38" si="30">D26+E26</f>
        <v>142.54999999999998</v>
      </c>
      <c r="W26" s="206">
        <f>ROUND(V26/(8.76*'Table 8'!$D$129*0.57),2)</f>
        <v>31.34</v>
      </c>
      <c r="X26" s="206">
        <f t="shared" ref="X26:X38" si="31">L26</f>
        <v>41.7288</v>
      </c>
      <c r="Y26" s="206">
        <f t="shared" ref="Y26:Y38" si="32">W26+X26</f>
        <v>73.068799999999996</v>
      </c>
      <c r="Z26" s="231">
        <f t="shared" ref="Z26:Z38" si="33">X26</f>
        <v>41.7288</v>
      </c>
    </row>
    <row r="27" spans="2:27">
      <c r="B27" s="117">
        <f t="shared" si="25"/>
        <v>2026</v>
      </c>
      <c r="C27" s="119">
        <f>INDEX('Table 8'!$H$62:$H$88,MATCH($B27,'Table 8'!$B$62:$B$88,0))</f>
        <v>149.21</v>
      </c>
      <c r="D27" s="119">
        <f>INDEX('Table 8'!$H$10:$H$36,MATCH($B27,'Table 8'!$B$10:$B$36,0))</f>
        <v>141.28</v>
      </c>
      <c r="E27" s="119">
        <f>ROUND((C27-D27)*0.5,2)</f>
        <v>3.97</v>
      </c>
      <c r="F27" s="120">
        <f>ROUND(E27/(8.76*'Table 8'!$D$128),2)</f>
        <v>0.87</v>
      </c>
      <c r="G27" s="119"/>
      <c r="H27" s="117">
        <f t="shared" si="15"/>
        <v>2026</v>
      </c>
      <c r="I27" s="206">
        <f>INDEX('Table 9'!C:C,MATCH('Tables 3 to 6'!$H27,'Table 9'!B:B,0))</f>
        <v>6.43</v>
      </c>
      <c r="J27" s="206">
        <f>I27*'Table 8'!$K$115/1000</f>
        <v>42.180799999999998</v>
      </c>
      <c r="K27" s="206">
        <f t="shared" si="26"/>
        <v>0.87</v>
      </c>
      <c r="L27" s="231">
        <f t="shared" si="27"/>
        <v>43.050799999999995</v>
      </c>
      <c r="M27" s="119"/>
      <c r="N27" s="117">
        <f t="shared" si="18"/>
        <v>2026</v>
      </c>
      <c r="O27" s="119">
        <f t="shared" si="28"/>
        <v>145.25</v>
      </c>
      <c r="P27" s="206">
        <f t="shared" si="29"/>
        <v>43.050799999999995</v>
      </c>
      <c r="Q27" s="206">
        <f t="shared" si="20"/>
        <v>65.16</v>
      </c>
      <c r="R27" s="206">
        <f t="shared" si="20"/>
        <v>62.56</v>
      </c>
      <c r="S27" s="231">
        <f t="shared" si="20"/>
        <v>60.5</v>
      </c>
      <c r="T27" s="119"/>
      <c r="U27" s="117">
        <f t="shared" si="21"/>
        <v>2026</v>
      </c>
      <c r="V27" s="119">
        <f t="shared" si="30"/>
        <v>145.25</v>
      </c>
      <c r="W27" s="206">
        <f>ROUND(V27/(8.76*'Table 8'!$D$129*0.57),2)</f>
        <v>31.93</v>
      </c>
      <c r="X27" s="206">
        <f t="shared" si="31"/>
        <v>43.050799999999995</v>
      </c>
      <c r="Y27" s="206">
        <f t="shared" si="32"/>
        <v>74.980799999999988</v>
      </c>
      <c r="Z27" s="231">
        <f t="shared" si="33"/>
        <v>43.050799999999995</v>
      </c>
    </row>
    <row r="28" spans="2:27">
      <c r="B28" s="117">
        <f t="shared" si="25"/>
        <v>2027</v>
      </c>
      <c r="C28" s="119">
        <f>INDEX('Table 8'!$H$62:$H$88,MATCH($B28,'Table 8'!$B$62:$B$88,0))</f>
        <v>151.88999999999999</v>
      </c>
      <c r="D28" s="119">
        <f>INDEX('Table 8'!$H$10:$H$36,MATCH($B28,'Table 8'!$B$10:$B$36,0))</f>
        <v>143.81</v>
      </c>
      <c r="E28" s="119">
        <f t="shared" ref="E28:E38" si="34">ROUND((C28-D28)*0.5,2)</f>
        <v>4.04</v>
      </c>
      <c r="F28" s="120">
        <f>ROUND(E28/(8.76*'Table 8'!$D$128),2)</f>
        <v>0.89</v>
      </c>
      <c r="G28" s="119"/>
      <c r="H28" s="117">
        <f t="shared" si="15"/>
        <v>2027</v>
      </c>
      <c r="I28" s="206">
        <f>INDEX('Table 9'!C:C,MATCH('Tables 3 to 6'!$H28,'Table 9'!B:B,0))</f>
        <v>6.42</v>
      </c>
      <c r="J28" s="206">
        <f>I28*'Table 8'!$K$115/1000</f>
        <v>42.115199999999994</v>
      </c>
      <c r="K28" s="206">
        <f t="shared" si="26"/>
        <v>0.89</v>
      </c>
      <c r="L28" s="231">
        <f t="shared" si="27"/>
        <v>43.005199999999995</v>
      </c>
      <c r="M28" s="119"/>
      <c r="N28" s="117">
        <f t="shared" si="18"/>
        <v>2027</v>
      </c>
      <c r="O28" s="119">
        <f t="shared" si="28"/>
        <v>147.85</v>
      </c>
      <c r="P28" s="206">
        <f t="shared" si="29"/>
        <v>43.005199999999995</v>
      </c>
      <c r="Q28" s="206">
        <f t="shared" si="20"/>
        <v>65.510000000000005</v>
      </c>
      <c r="R28" s="206">
        <f t="shared" si="20"/>
        <v>62.86</v>
      </c>
      <c r="S28" s="231">
        <f t="shared" si="20"/>
        <v>60.77</v>
      </c>
      <c r="T28" s="119"/>
      <c r="U28" s="117">
        <f t="shared" si="21"/>
        <v>2027</v>
      </c>
      <c r="V28" s="119">
        <f t="shared" si="30"/>
        <v>147.85</v>
      </c>
      <c r="W28" s="206">
        <f>ROUND(V28/(8.76*'Table 8'!$D$129*0.57),2)</f>
        <v>32.5</v>
      </c>
      <c r="X28" s="206">
        <f t="shared" si="31"/>
        <v>43.005199999999995</v>
      </c>
      <c r="Y28" s="206">
        <f t="shared" si="32"/>
        <v>75.505200000000002</v>
      </c>
      <c r="Z28" s="231">
        <f t="shared" si="33"/>
        <v>43.005199999999995</v>
      </c>
    </row>
    <row r="29" spans="2:27">
      <c r="B29" s="117">
        <f t="shared" si="25"/>
        <v>2028</v>
      </c>
      <c r="C29" s="119">
        <f>INDEX('Table 8'!$H$62:$H$88,MATCH($B29,'Table 8'!$B$62:$B$88,0))</f>
        <v>154.61000000000001</v>
      </c>
      <c r="D29" s="119">
        <f>INDEX('Table 8'!$H$10:$H$36,MATCH($B29,'Table 8'!$B$10:$B$36,0))</f>
        <v>146.4</v>
      </c>
      <c r="E29" s="119">
        <f t="shared" si="34"/>
        <v>4.1100000000000003</v>
      </c>
      <c r="F29" s="120">
        <f>ROUND(E29/(8.76*'Table 8'!$D$128),2)</f>
        <v>0.9</v>
      </c>
      <c r="G29" s="119"/>
      <c r="H29" s="117">
        <f t="shared" si="15"/>
        <v>2028</v>
      </c>
      <c r="I29" s="206">
        <f>INDEX('Table 9'!C:C,MATCH('Tables 3 to 6'!$H29,'Table 9'!B:B,0))</f>
        <v>6.66</v>
      </c>
      <c r="J29" s="206">
        <f>I29*'Table 8'!$K$115/1000</f>
        <v>43.689599999999999</v>
      </c>
      <c r="K29" s="206">
        <f t="shared" si="26"/>
        <v>0.9</v>
      </c>
      <c r="L29" s="231">
        <f t="shared" si="27"/>
        <v>44.589599999999997</v>
      </c>
      <c r="M29" s="119"/>
      <c r="N29" s="117">
        <f t="shared" si="18"/>
        <v>2028</v>
      </c>
      <c r="O29" s="119">
        <f t="shared" si="28"/>
        <v>150.51000000000002</v>
      </c>
      <c r="P29" s="206">
        <f t="shared" si="29"/>
        <v>44.589599999999997</v>
      </c>
      <c r="Q29" s="206">
        <f t="shared" si="20"/>
        <v>67.5</v>
      </c>
      <c r="R29" s="206">
        <f t="shared" si="20"/>
        <v>64.8</v>
      </c>
      <c r="S29" s="231">
        <f t="shared" si="20"/>
        <v>62.68</v>
      </c>
      <c r="T29" s="119"/>
      <c r="U29" s="117">
        <f t="shared" si="21"/>
        <v>2028</v>
      </c>
      <c r="V29" s="119">
        <f t="shared" si="30"/>
        <v>150.51000000000002</v>
      </c>
      <c r="W29" s="206">
        <f>ROUND(V29/(8.76*'Table 8'!$D$129*0.57),2)</f>
        <v>33.090000000000003</v>
      </c>
      <c r="X29" s="206">
        <f t="shared" si="31"/>
        <v>44.589599999999997</v>
      </c>
      <c r="Y29" s="206">
        <f t="shared" si="32"/>
        <v>77.679599999999994</v>
      </c>
      <c r="Z29" s="231">
        <f t="shared" si="33"/>
        <v>44.589599999999997</v>
      </c>
    </row>
    <row r="30" spans="2:27">
      <c r="B30" s="117">
        <f t="shared" si="25"/>
        <v>2029</v>
      </c>
      <c r="C30" s="119">
        <f>INDEX('Table 8'!$H$62:$H$88,MATCH($B30,'Table 8'!$B$62:$B$88,0))</f>
        <v>157.56</v>
      </c>
      <c r="D30" s="119">
        <f>INDEX('Table 8'!$H$10:$H$36,MATCH($B30,'Table 8'!$B$10:$B$36,0))</f>
        <v>149.19</v>
      </c>
      <c r="E30" s="119">
        <f t="shared" si="34"/>
        <v>4.1900000000000004</v>
      </c>
      <c r="F30" s="120">
        <f>ROUND(E30/(8.76*'Table 8'!$D$128),2)</f>
        <v>0.92</v>
      </c>
      <c r="G30" s="119"/>
      <c r="H30" s="117">
        <f t="shared" si="15"/>
        <v>2029</v>
      </c>
      <c r="I30" s="206">
        <f>INDEX('Table 9'!C:C,MATCH('Tables 3 to 6'!$H30,'Table 9'!B:B,0))</f>
        <v>6.86</v>
      </c>
      <c r="J30" s="206">
        <f>I30*'Table 8'!$K$115/1000</f>
        <v>45.001599999999996</v>
      </c>
      <c r="K30" s="206">
        <f t="shared" si="26"/>
        <v>0.92</v>
      </c>
      <c r="L30" s="231">
        <f t="shared" si="27"/>
        <v>45.921599999999998</v>
      </c>
      <c r="M30" s="119"/>
      <c r="N30" s="117">
        <f t="shared" si="18"/>
        <v>2029</v>
      </c>
      <c r="O30" s="119">
        <f t="shared" si="28"/>
        <v>153.38</v>
      </c>
      <c r="P30" s="206">
        <f t="shared" si="29"/>
        <v>45.921599999999998</v>
      </c>
      <c r="Q30" s="206">
        <f t="shared" si="20"/>
        <v>69.27</v>
      </c>
      <c r="R30" s="206">
        <f t="shared" si="20"/>
        <v>66.52</v>
      </c>
      <c r="S30" s="231">
        <f t="shared" si="20"/>
        <v>64.349999999999994</v>
      </c>
      <c r="T30" s="119"/>
      <c r="U30" s="117">
        <f t="shared" si="21"/>
        <v>2029</v>
      </c>
      <c r="V30" s="119">
        <f t="shared" si="30"/>
        <v>153.38</v>
      </c>
      <c r="W30" s="206">
        <f>ROUND(V30/(8.76*'Table 8'!$D$129*0.57),2)</f>
        <v>33.72</v>
      </c>
      <c r="X30" s="206">
        <f t="shared" si="31"/>
        <v>45.921599999999998</v>
      </c>
      <c r="Y30" s="206">
        <f t="shared" si="32"/>
        <v>79.641599999999997</v>
      </c>
      <c r="Z30" s="231">
        <f t="shared" si="33"/>
        <v>45.921599999999998</v>
      </c>
    </row>
    <row r="31" spans="2:27">
      <c r="B31" s="117">
        <f t="shared" si="25"/>
        <v>2030</v>
      </c>
      <c r="C31" s="119">
        <f>INDEX('Table 8'!$H$62:$H$88,MATCH($B31,'Table 8'!$B$62:$B$88,0))</f>
        <v>160.57</v>
      </c>
      <c r="D31" s="119">
        <f>INDEX('Table 8'!$H$10:$H$36,MATCH($B31,'Table 8'!$B$10:$B$36,0))</f>
        <v>152.02000000000001</v>
      </c>
      <c r="E31" s="119">
        <f t="shared" si="34"/>
        <v>4.2699999999999996</v>
      </c>
      <c r="F31" s="120">
        <f>ROUND(E31/(8.76*'Table 8'!$D$128),2)</f>
        <v>0.94</v>
      </c>
      <c r="G31" s="119"/>
      <c r="H31" s="117">
        <f t="shared" si="15"/>
        <v>2030</v>
      </c>
      <c r="I31" s="206">
        <f>INDEX('Table 9'!C:C,MATCH('Tables 3 to 6'!$H31,'Table 9'!B:B,0))</f>
        <v>6.91</v>
      </c>
      <c r="J31" s="206">
        <f>I31*'Table 8'!$K$115/1000</f>
        <v>45.329599999999999</v>
      </c>
      <c r="K31" s="206">
        <f t="shared" si="26"/>
        <v>0.94</v>
      </c>
      <c r="L31" s="231">
        <f t="shared" si="27"/>
        <v>46.269599999999997</v>
      </c>
      <c r="M31" s="119"/>
      <c r="N31" s="117">
        <f t="shared" si="18"/>
        <v>2030</v>
      </c>
      <c r="O31" s="119">
        <f t="shared" si="28"/>
        <v>156.29000000000002</v>
      </c>
      <c r="P31" s="206">
        <f t="shared" si="29"/>
        <v>46.269599999999997</v>
      </c>
      <c r="Q31" s="206">
        <f t="shared" si="20"/>
        <v>70.06</v>
      </c>
      <c r="R31" s="206">
        <f t="shared" si="20"/>
        <v>67.260000000000005</v>
      </c>
      <c r="S31" s="231">
        <f t="shared" si="20"/>
        <v>65.05</v>
      </c>
      <c r="T31" s="119"/>
      <c r="U31" s="117">
        <f t="shared" si="21"/>
        <v>2030</v>
      </c>
      <c r="V31" s="119">
        <f t="shared" si="30"/>
        <v>156.29000000000002</v>
      </c>
      <c r="W31" s="206">
        <f>ROUND(V31/(8.76*'Table 8'!$D$129*0.57),2)</f>
        <v>34.36</v>
      </c>
      <c r="X31" s="206">
        <f t="shared" si="31"/>
        <v>46.269599999999997</v>
      </c>
      <c r="Y31" s="206">
        <f t="shared" si="32"/>
        <v>80.629599999999996</v>
      </c>
      <c r="Z31" s="231">
        <f t="shared" si="33"/>
        <v>46.269599999999997</v>
      </c>
    </row>
    <row r="32" spans="2:27">
      <c r="B32" s="117">
        <f t="shared" si="25"/>
        <v>2031</v>
      </c>
      <c r="C32" s="119">
        <f>INDEX('Table 8'!$H$62:$H$88,MATCH($B32,'Table 8'!$B$62:$B$88,0))</f>
        <v>163.63</v>
      </c>
      <c r="D32" s="119">
        <f>INDEX('Table 8'!$H$10:$H$36,MATCH($B32,'Table 8'!$B$10:$B$36,0))</f>
        <v>154.91</v>
      </c>
      <c r="E32" s="119">
        <f t="shared" si="34"/>
        <v>4.3600000000000003</v>
      </c>
      <c r="F32" s="120">
        <f>ROUND(E32/(8.76*'Table 8'!$D$128),2)</f>
        <v>0.96</v>
      </c>
      <c r="G32" s="119"/>
      <c r="H32" s="117">
        <f t="shared" si="15"/>
        <v>2031</v>
      </c>
      <c r="I32" s="206">
        <f>INDEX('Table 9'!C:C,MATCH('Tables 3 to 6'!$H32,'Table 9'!B:B,0))</f>
        <v>6.97</v>
      </c>
      <c r="J32" s="206">
        <f>I32*'Table 8'!$K$115/1000</f>
        <v>45.723199999999999</v>
      </c>
      <c r="K32" s="206">
        <f t="shared" si="26"/>
        <v>0.96</v>
      </c>
      <c r="L32" s="231">
        <f t="shared" si="27"/>
        <v>46.683199999999999</v>
      </c>
      <c r="M32" s="119"/>
      <c r="N32" s="117">
        <f t="shared" si="18"/>
        <v>2031</v>
      </c>
      <c r="O32" s="119">
        <f t="shared" si="28"/>
        <v>159.27000000000001</v>
      </c>
      <c r="P32" s="206">
        <f t="shared" si="29"/>
        <v>46.683199999999999</v>
      </c>
      <c r="Q32" s="206">
        <f t="shared" si="20"/>
        <v>70.930000000000007</v>
      </c>
      <c r="R32" s="206">
        <f t="shared" si="20"/>
        <v>68.069999999999993</v>
      </c>
      <c r="S32" s="231">
        <f t="shared" si="20"/>
        <v>65.819999999999993</v>
      </c>
      <c r="T32" s="119"/>
      <c r="U32" s="117">
        <f t="shared" si="21"/>
        <v>2031</v>
      </c>
      <c r="V32" s="119">
        <f t="shared" si="30"/>
        <v>159.27000000000001</v>
      </c>
      <c r="W32" s="206">
        <f>ROUND(V32/(8.76*'Table 8'!$D$129*0.57),2)</f>
        <v>35.01</v>
      </c>
      <c r="X32" s="206">
        <f t="shared" si="31"/>
        <v>46.683199999999999</v>
      </c>
      <c r="Y32" s="206">
        <f t="shared" si="32"/>
        <v>81.69319999999999</v>
      </c>
      <c r="Z32" s="231">
        <f t="shared" si="33"/>
        <v>46.683199999999999</v>
      </c>
    </row>
    <row r="33" spans="2:26">
      <c r="B33" s="117">
        <f t="shared" si="25"/>
        <v>2032</v>
      </c>
      <c r="C33" s="119">
        <f>INDEX('Table 8'!$H$62:$H$88,MATCH($B33,'Table 8'!$B$62:$B$88,0))</f>
        <v>166.73</v>
      </c>
      <c r="D33" s="119">
        <f>INDEX('Table 8'!$H$10:$H$36,MATCH($B33,'Table 8'!$B$10:$B$36,0))</f>
        <v>157.85</v>
      </c>
      <c r="E33" s="119">
        <f t="shared" si="34"/>
        <v>4.4400000000000004</v>
      </c>
      <c r="F33" s="120">
        <f>ROUND(E33/(8.76*'Table 8'!$D$128),2)</f>
        <v>0.98</v>
      </c>
      <c r="G33" s="119"/>
      <c r="H33" s="117">
        <f t="shared" si="15"/>
        <v>2032</v>
      </c>
      <c r="I33" s="206">
        <f>INDEX('Table 9'!C:C,MATCH('Tables 3 to 6'!$H33,'Table 9'!B:B,0))</f>
        <v>7.1</v>
      </c>
      <c r="J33" s="206">
        <f>I33*'Table 8'!$K$115/1000</f>
        <v>46.576000000000001</v>
      </c>
      <c r="K33" s="206">
        <f t="shared" si="26"/>
        <v>0.98</v>
      </c>
      <c r="L33" s="231">
        <f t="shared" si="27"/>
        <v>47.555999999999997</v>
      </c>
      <c r="M33" s="119"/>
      <c r="N33" s="117">
        <f t="shared" si="18"/>
        <v>2032</v>
      </c>
      <c r="O33" s="119">
        <f t="shared" si="28"/>
        <v>162.29</v>
      </c>
      <c r="P33" s="206">
        <f t="shared" si="29"/>
        <v>47.555999999999997</v>
      </c>
      <c r="Q33" s="206">
        <f t="shared" si="20"/>
        <v>72.260000000000005</v>
      </c>
      <c r="R33" s="206">
        <f t="shared" si="20"/>
        <v>69.349999999999994</v>
      </c>
      <c r="S33" s="231">
        <f t="shared" si="20"/>
        <v>67.06</v>
      </c>
      <c r="T33" s="119"/>
      <c r="U33" s="117">
        <f t="shared" si="21"/>
        <v>2032</v>
      </c>
      <c r="V33" s="119">
        <f t="shared" si="30"/>
        <v>162.29</v>
      </c>
      <c r="W33" s="206">
        <f>ROUND(V33/(8.76*'Table 8'!$D$129*0.57),2)</f>
        <v>35.68</v>
      </c>
      <c r="X33" s="206">
        <f t="shared" si="31"/>
        <v>47.555999999999997</v>
      </c>
      <c r="Y33" s="206">
        <f t="shared" si="32"/>
        <v>83.23599999999999</v>
      </c>
      <c r="Z33" s="231">
        <f t="shared" si="33"/>
        <v>47.555999999999997</v>
      </c>
    </row>
    <row r="34" spans="2:26">
      <c r="B34" s="117">
        <f t="shared" si="25"/>
        <v>2033</v>
      </c>
      <c r="C34" s="119">
        <f>INDEX('Table 8'!$H$62:$H$88,MATCH($B34,'Table 8'!$B$62:$B$88,0))</f>
        <v>169.89</v>
      </c>
      <c r="D34" s="119">
        <f>INDEX('Table 8'!$H$10:$H$36,MATCH($B34,'Table 8'!$B$10:$B$36,0))</f>
        <v>160.86000000000001</v>
      </c>
      <c r="E34" s="119">
        <f t="shared" si="34"/>
        <v>4.51</v>
      </c>
      <c r="F34" s="120">
        <f>ROUND(E34/(8.76*'Table 8'!$D$128),2)</f>
        <v>0.99</v>
      </c>
      <c r="G34" s="119"/>
      <c r="H34" s="117">
        <f t="shared" si="15"/>
        <v>2033</v>
      </c>
      <c r="I34" s="206">
        <f>INDEX('Table 9'!C:C,MATCH('Tables 3 to 6'!$H34,'Table 9'!B:B,0))</f>
        <v>7.24</v>
      </c>
      <c r="J34" s="206">
        <f>I34*'Table 8'!$K$115/1000</f>
        <v>47.494399999999999</v>
      </c>
      <c r="K34" s="206">
        <f t="shared" si="26"/>
        <v>0.99</v>
      </c>
      <c r="L34" s="231">
        <f t="shared" si="27"/>
        <v>48.484400000000001</v>
      </c>
      <c r="M34" s="119"/>
      <c r="N34" s="117">
        <f t="shared" si="18"/>
        <v>2033</v>
      </c>
      <c r="O34" s="119">
        <f t="shared" si="28"/>
        <v>165.37</v>
      </c>
      <c r="P34" s="206">
        <f t="shared" si="29"/>
        <v>48.484400000000001</v>
      </c>
      <c r="Q34" s="206">
        <f t="shared" si="20"/>
        <v>73.650000000000006</v>
      </c>
      <c r="R34" s="206">
        <f t="shared" si="20"/>
        <v>70.69</v>
      </c>
      <c r="S34" s="231">
        <f t="shared" si="20"/>
        <v>68.36</v>
      </c>
      <c r="T34" s="119"/>
      <c r="U34" s="117">
        <f t="shared" si="21"/>
        <v>2033</v>
      </c>
      <c r="V34" s="119">
        <f t="shared" si="30"/>
        <v>165.37</v>
      </c>
      <c r="W34" s="206">
        <f>ROUND(V34/(8.76*'Table 8'!$D$129*0.57),2)</f>
        <v>36.35</v>
      </c>
      <c r="X34" s="206">
        <f t="shared" si="31"/>
        <v>48.484400000000001</v>
      </c>
      <c r="Y34" s="206">
        <f t="shared" si="32"/>
        <v>84.834400000000002</v>
      </c>
      <c r="Z34" s="231">
        <f t="shared" si="33"/>
        <v>48.484400000000001</v>
      </c>
    </row>
    <row r="35" spans="2:26">
      <c r="B35" s="117">
        <f t="shared" si="25"/>
        <v>2034</v>
      </c>
      <c r="C35" s="119">
        <f>INDEX('Table 8'!$H$62:$H$88,MATCH($B35,'Table 8'!$B$62:$B$88,0))</f>
        <v>173.11</v>
      </c>
      <c r="D35" s="119">
        <f>INDEX('Table 8'!$H$10:$H$36,MATCH($B35,'Table 8'!$B$10:$B$36,0))</f>
        <v>163.9</v>
      </c>
      <c r="E35" s="119">
        <f t="shared" ref="E35" si="35">ROUND((C35-D35)*0.5,2)</f>
        <v>4.6100000000000003</v>
      </c>
      <c r="F35" s="120">
        <f>ROUND(E35/(8.76*'Table 8'!$D$128),2)</f>
        <v>1.01</v>
      </c>
      <c r="G35" s="119"/>
      <c r="H35" s="117">
        <f t="shared" si="15"/>
        <v>2034</v>
      </c>
      <c r="I35" s="206">
        <f>INDEX('Table 9'!C:C,MATCH('Tables 3 to 6'!$H35,'Table 9'!B:B,0))</f>
        <v>7.37</v>
      </c>
      <c r="J35" s="206">
        <f>I35*'Table 8'!$K$115/1000</f>
        <v>48.347199999999994</v>
      </c>
      <c r="K35" s="206">
        <f t="shared" ref="K35" si="36">F35</f>
        <v>1.01</v>
      </c>
      <c r="L35" s="231">
        <f t="shared" ref="L35" si="37">J35+K35</f>
        <v>49.357199999999992</v>
      </c>
      <c r="M35" s="119"/>
      <c r="N35" s="117">
        <f t="shared" si="18"/>
        <v>2034</v>
      </c>
      <c r="O35" s="119">
        <f t="shared" ref="O35" si="38">D35+E35</f>
        <v>168.51000000000002</v>
      </c>
      <c r="P35" s="206">
        <f t="shared" ref="P35" si="39">L35</f>
        <v>49.357199999999992</v>
      </c>
      <c r="Q35" s="206">
        <f t="shared" si="20"/>
        <v>75.010000000000005</v>
      </c>
      <c r="R35" s="206">
        <f t="shared" si="20"/>
        <v>71.989999999999995</v>
      </c>
      <c r="S35" s="231">
        <f t="shared" si="20"/>
        <v>69.61</v>
      </c>
      <c r="T35" s="119"/>
      <c r="U35" s="117">
        <f t="shared" si="21"/>
        <v>2034</v>
      </c>
      <c r="V35" s="119">
        <f t="shared" ref="V35" si="40">D35+E35</f>
        <v>168.51000000000002</v>
      </c>
      <c r="W35" s="206">
        <f>ROUND(V35/(8.76*'Table 8'!$D$129*0.57),2)</f>
        <v>37.04</v>
      </c>
      <c r="X35" s="206">
        <f t="shared" ref="X35" si="41">L35</f>
        <v>49.357199999999992</v>
      </c>
      <c r="Y35" s="206">
        <f t="shared" ref="Y35" si="42">W35+X35</f>
        <v>86.397199999999998</v>
      </c>
      <c r="Z35" s="231">
        <f t="shared" ref="Z35" si="43">X35</f>
        <v>49.357199999999992</v>
      </c>
    </row>
    <row r="36" spans="2:26">
      <c r="B36" s="117">
        <f t="shared" si="25"/>
        <v>2035</v>
      </c>
      <c r="C36" s="119">
        <f>INDEX('Table 8'!$H$62:$H$88,MATCH($B36,'Table 8'!$B$62:$B$88,0))</f>
        <v>176.38</v>
      </c>
      <c r="D36" s="119">
        <f>INDEX('Table 8'!$H$10:$H$36,MATCH($B36,'Table 8'!$B$10:$B$36,0))</f>
        <v>167.03</v>
      </c>
      <c r="E36" s="119">
        <f t="shared" si="34"/>
        <v>4.68</v>
      </c>
      <c r="F36" s="120">
        <f>ROUND(E36/(8.76*'Table 8'!$D$128),2)</f>
        <v>1.03</v>
      </c>
      <c r="G36" s="119"/>
      <c r="H36" s="117">
        <f t="shared" si="15"/>
        <v>2035</v>
      </c>
      <c r="I36" s="206">
        <f>INDEX('Table 9'!C:C,MATCH('Tables 3 to 6'!$H36,'Table 9'!B:B,0))</f>
        <v>7.51</v>
      </c>
      <c r="J36" s="206">
        <f>I36*'Table 8'!$K$115/1000</f>
        <v>49.265599999999999</v>
      </c>
      <c r="K36" s="206">
        <f t="shared" si="26"/>
        <v>1.03</v>
      </c>
      <c r="L36" s="231">
        <f t="shared" si="27"/>
        <v>50.2956</v>
      </c>
      <c r="M36" s="119"/>
      <c r="N36" s="117">
        <f t="shared" si="18"/>
        <v>2035</v>
      </c>
      <c r="O36" s="119">
        <f t="shared" si="28"/>
        <v>171.71</v>
      </c>
      <c r="P36" s="206">
        <f t="shared" si="29"/>
        <v>50.2956</v>
      </c>
      <c r="Q36" s="206">
        <f t="shared" si="20"/>
        <v>76.430000000000007</v>
      </c>
      <c r="R36" s="206">
        <f t="shared" si="20"/>
        <v>73.36</v>
      </c>
      <c r="S36" s="231">
        <f t="shared" si="20"/>
        <v>70.930000000000007</v>
      </c>
      <c r="T36" s="119"/>
      <c r="U36" s="117">
        <f t="shared" si="21"/>
        <v>2035</v>
      </c>
      <c r="V36" s="119">
        <f t="shared" si="30"/>
        <v>171.71</v>
      </c>
      <c r="W36" s="206">
        <f>ROUND(V36/(8.76*'Table 8'!$D$129*0.57),2)</f>
        <v>37.75</v>
      </c>
      <c r="X36" s="206">
        <f t="shared" si="31"/>
        <v>50.2956</v>
      </c>
      <c r="Y36" s="206">
        <f t="shared" si="32"/>
        <v>88.045600000000007</v>
      </c>
      <c r="Z36" s="231">
        <f t="shared" si="33"/>
        <v>50.2956</v>
      </c>
    </row>
    <row r="37" spans="2:26">
      <c r="B37" s="117">
        <f t="shared" si="25"/>
        <v>2036</v>
      </c>
      <c r="C37" s="119">
        <f>INDEX('Table 8'!$H$62:$H$88,MATCH($B37,'Table 8'!$B$62:$B$88,0))</f>
        <v>179.75</v>
      </c>
      <c r="D37" s="119">
        <f>INDEX('Table 8'!$H$10:$H$36,MATCH($B37,'Table 8'!$B$10:$B$36,0))</f>
        <v>170.2</v>
      </c>
      <c r="E37" s="119">
        <f t="shared" si="34"/>
        <v>4.78</v>
      </c>
      <c r="F37" s="120">
        <f>ROUND(E37/(8.76*'Table 8'!$D$128),2)</f>
        <v>1.05</v>
      </c>
      <c r="G37" s="119"/>
      <c r="H37" s="117">
        <f t="shared" si="15"/>
        <v>2036</v>
      </c>
      <c r="I37" s="206">
        <f>INDEX('Table 9'!C:C,MATCH('Tables 3 to 6'!$H37,'Table 9'!B:B,0))</f>
        <v>7.66</v>
      </c>
      <c r="J37" s="206">
        <f>I37*'Table 8'!$K$115/1000</f>
        <v>50.249600000000001</v>
      </c>
      <c r="K37" s="206">
        <f t="shared" si="26"/>
        <v>1.05</v>
      </c>
      <c r="L37" s="231">
        <f t="shared" si="27"/>
        <v>51.299599999999998</v>
      </c>
      <c r="M37" s="119"/>
      <c r="N37" s="117">
        <f t="shared" si="18"/>
        <v>2036</v>
      </c>
      <c r="O37" s="119">
        <f t="shared" si="28"/>
        <v>174.98</v>
      </c>
      <c r="P37" s="206">
        <f t="shared" si="29"/>
        <v>51.299599999999998</v>
      </c>
      <c r="Q37" s="206">
        <f t="shared" si="20"/>
        <v>77.930000000000007</v>
      </c>
      <c r="R37" s="206">
        <f t="shared" si="20"/>
        <v>74.8</v>
      </c>
      <c r="S37" s="231">
        <f t="shared" si="20"/>
        <v>72.33</v>
      </c>
      <c r="T37" s="119"/>
      <c r="U37" s="117">
        <f t="shared" si="21"/>
        <v>2036</v>
      </c>
      <c r="V37" s="119">
        <f t="shared" si="30"/>
        <v>174.98</v>
      </c>
      <c r="W37" s="206">
        <f>ROUND(V37/(8.76*'Table 8'!$D$129*0.57),2)</f>
        <v>38.47</v>
      </c>
      <c r="X37" s="206">
        <f t="shared" si="31"/>
        <v>51.299599999999998</v>
      </c>
      <c r="Y37" s="206">
        <f t="shared" si="32"/>
        <v>89.769599999999997</v>
      </c>
      <c r="Z37" s="231">
        <f t="shared" si="33"/>
        <v>51.299599999999998</v>
      </c>
    </row>
    <row r="38" spans="2:26">
      <c r="B38" s="121">
        <f t="shared" si="25"/>
        <v>2037</v>
      </c>
      <c r="C38" s="123">
        <f>INDEX('Table 8'!$H$62:$H$88,MATCH($B38,'Table 8'!$B$62:$B$88,0))</f>
        <v>183.19</v>
      </c>
      <c r="D38" s="123">
        <f>INDEX('Table 8'!$H$10:$H$36,MATCH($B38,'Table 8'!$B$10:$B$36,0))</f>
        <v>173.43</v>
      </c>
      <c r="E38" s="123">
        <f t="shared" si="34"/>
        <v>4.88</v>
      </c>
      <c r="F38" s="124">
        <f>ROUND(E38/(8.76*'Table 8'!$D$128),2)</f>
        <v>1.07</v>
      </c>
      <c r="G38" s="119"/>
      <c r="H38" s="121">
        <f t="shared" si="15"/>
        <v>2037</v>
      </c>
      <c r="I38" s="232">
        <f>INDEX('Table 9'!C:C,MATCH('Tables 3 to 6'!$H38,'Table 9'!B:B,0))</f>
        <v>7.8</v>
      </c>
      <c r="J38" s="232">
        <f>I38*'Table 8'!$K$115/1000</f>
        <v>51.167999999999999</v>
      </c>
      <c r="K38" s="232">
        <f t="shared" si="26"/>
        <v>1.07</v>
      </c>
      <c r="L38" s="233">
        <f t="shared" si="27"/>
        <v>52.238</v>
      </c>
      <c r="M38" s="119"/>
      <c r="N38" s="121">
        <f t="shared" si="18"/>
        <v>2037</v>
      </c>
      <c r="O38" s="123">
        <f t="shared" si="28"/>
        <v>178.31</v>
      </c>
      <c r="P38" s="232">
        <f t="shared" si="29"/>
        <v>52.238</v>
      </c>
      <c r="Q38" s="232">
        <f t="shared" si="20"/>
        <v>79.38</v>
      </c>
      <c r="R38" s="232">
        <f t="shared" si="20"/>
        <v>76.19</v>
      </c>
      <c r="S38" s="233">
        <f t="shared" si="20"/>
        <v>73.66</v>
      </c>
      <c r="T38" s="119"/>
      <c r="U38" s="121">
        <f t="shared" si="21"/>
        <v>2037</v>
      </c>
      <c r="V38" s="123">
        <f t="shared" si="30"/>
        <v>178.31</v>
      </c>
      <c r="W38" s="232">
        <f>ROUND(V38/(8.76*'Table 8'!$D$129*0.57),2)</f>
        <v>39.200000000000003</v>
      </c>
      <c r="X38" s="232">
        <f t="shared" si="31"/>
        <v>52.238</v>
      </c>
      <c r="Y38" s="232">
        <f t="shared" si="32"/>
        <v>91.438000000000002</v>
      </c>
      <c r="Z38" s="233">
        <f t="shared" si="33"/>
        <v>52.238</v>
      </c>
    </row>
    <row r="40" spans="2:26">
      <c r="B40" s="72" t="s">
        <v>22</v>
      </c>
      <c r="H40" s="72" t="s">
        <v>22</v>
      </c>
      <c r="N40" s="72" t="s">
        <v>22</v>
      </c>
      <c r="U40" s="72" t="s">
        <v>22</v>
      </c>
    </row>
    <row r="41" spans="2:26">
      <c r="B41" s="209" t="str">
        <f>C8</f>
        <v>(a)</v>
      </c>
      <c r="C41" s="237" t="str">
        <f>"  "&amp;'Table 8'!$B$1&amp;"  Column "&amp;'Table 8'!$H$7</f>
        <v xml:space="preserve">  Table 8  Column (f)</v>
      </c>
      <c r="H41" s="209" t="str">
        <f>I8</f>
        <v>(a)</v>
      </c>
      <c r="I41" s="72" t="str">
        <f>"  "&amp;'Table 8'!$B$1&amp;"  Column "&amp;'Table 8'!$I$59</f>
        <v xml:space="preserve">  Table 8  Column (g)</v>
      </c>
      <c r="N41" s="235" t="str">
        <f>O8</f>
        <v>(a)</v>
      </c>
      <c r="O41" s="84" t="str">
        <f>"  "&amp;$B$1&amp;"  Column "&amp;$D$8&amp;" + "&amp;$B$1&amp;"  Column "&amp;$E$8</f>
        <v xml:space="preserve">  Table 3  Column (b) + Table 3  Column (c)</v>
      </c>
      <c r="P41" s="84"/>
      <c r="Q41" s="84"/>
      <c r="U41" s="235" t="str">
        <f>V8</f>
        <v>(a)</v>
      </c>
      <c r="V41" s="84" t="str">
        <f>"  "&amp;$B$1&amp;"  Column "&amp;$D$8&amp;" + "&amp;$B$1&amp;"  Column "&amp;$E$8</f>
        <v xml:space="preserve">  Table 3  Column (b) + Table 3  Column (c)</v>
      </c>
      <c r="X41" s="84"/>
    </row>
    <row r="42" spans="2:26">
      <c r="B42" s="209" t="str">
        <f>D8</f>
        <v>(b)</v>
      </c>
      <c r="C42" s="237" t="str">
        <f>C41</f>
        <v xml:space="preserve">  Table 8  Column (f)</v>
      </c>
      <c r="H42" s="209" t="str">
        <f>J8</f>
        <v>(b)</v>
      </c>
      <c r="I42" s="72" t="str">
        <f>"  "&amp;'Table 8'!$B$1&amp;"  Column "&amp;'Table 8'!K59&amp;" Heat rate "&amp;TEXT('Table 8'!$K$115/1000,"?.000")&amp;" MMBtu/MWh"</f>
        <v xml:space="preserve">  Table 8  Column (i) Heat rate 6.560 MMBtu/MWh</v>
      </c>
      <c r="N42" s="209" t="str">
        <f>P8</f>
        <v>(b)</v>
      </c>
      <c r="O42" s="72" t="str">
        <f>"  "&amp;$H$1&amp;"  Column "&amp;$L$8</f>
        <v xml:space="preserve">  Table 4  Column (d)</v>
      </c>
      <c r="U42" s="209" t="str">
        <f>W8</f>
        <v>(b)</v>
      </c>
      <c r="V42" s="72" t="str">
        <f>"  "&amp;'Table 8'!B1&amp;"   "&amp;TEXT('Table 8'!$D$129,"0.0%")&amp;" is the on-peak capacity factor of the proxy resource"</f>
        <v xml:space="preserve">  Table 8   91.1% is the on-peak capacity factor of the proxy resource</v>
      </c>
    </row>
    <row r="43" spans="2:26">
      <c r="B43" s="209"/>
      <c r="C43" s="237" t="str">
        <f>"  "&amp;'Table 11'!$B$1&amp;"  for the number of deficit months per year"</f>
        <v xml:space="preserve">  Table 11  for the number of deficit months per year</v>
      </c>
      <c r="H43" s="209" t="str">
        <f>K8</f>
        <v>(c)</v>
      </c>
      <c r="I43" s="72" t="str">
        <f>"  "&amp;$B$1&amp;"  Column "&amp;$F$8</f>
        <v xml:space="preserve">  Table 3  Column (d)</v>
      </c>
      <c r="N43" s="209" t="s">
        <v>25</v>
      </c>
      <c r="O43" s="236" t="s">
        <v>182</v>
      </c>
      <c r="V43" s="236" t="s">
        <v>182</v>
      </c>
    </row>
    <row r="44" spans="2:26">
      <c r="B44" s="209" t="str">
        <f>E8</f>
        <v>(c)</v>
      </c>
      <c r="C44" s="237" t="s">
        <v>186</v>
      </c>
      <c r="H44" s="213" t="str">
        <f>L8</f>
        <v>(d)</v>
      </c>
      <c r="I44" s="72" t="str">
        <f>"  For "&amp;H12&amp;"-"&amp;MAX(H14:H24)&amp;" - "&amp;'Table 2'!A1</f>
        <v xml:space="preserve">  For 2013-2023 - Table 2</v>
      </c>
      <c r="N44" s="209"/>
      <c r="O44" s="236"/>
      <c r="U44" s="209" t="str">
        <f>X8</f>
        <v>(c)</v>
      </c>
      <c r="V44" s="72" t="str">
        <f>"  "&amp;$H$1&amp;"  Column "&amp;$L$8</f>
        <v xml:space="preserve">  Table 4  Column (d)</v>
      </c>
    </row>
    <row r="45" spans="2:26">
      <c r="B45" s="209" t="str">
        <f>F8</f>
        <v>(d)</v>
      </c>
      <c r="C45" s="237" t="str">
        <f>"  "&amp;TEXT('Table 8'!$D$128,"0.0%")&amp;" CCCT energy weighted capacity factor - "&amp;'Table 8'!$B$1&amp;" page 3"</f>
        <v xml:space="preserve">  51.9% CCCT energy weighted capacity factor - Table 8 page 3</v>
      </c>
      <c r="H45" s="213"/>
      <c r="N45" s="209"/>
      <c r="O45" s="236"/>
      <c r="U45" s="209"/>
    </row>
    <row r="46" spans="2:26">
      <c r="G46" s="72"/>
      <c r="M46" s="72"/>
      <c r="T46" s="72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  <colBreaks count="3" manualBreakCount="3">
    <brk id="6" max="49" man="1"/>
    <brk id="12" max="49" man="1"/>
    <brk id="19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M55"/>
  <sheetViews>
    <sheetView showGridLines="0" zoomScaleNormal="100" zoomScaleSheetLayoutView="85" workbookViewId="0">
      <selection activeCell="B28" sqref="B28"/>
    </sheetView>
  </sheetViews>
  <sheetFormatPr defaultRowHeight="12.75"/>
  <cols>
    <col min="1" max="1" width="13.6640625" style="72" customWidth="1"/>
    <col min="2" max="2" width="13.1640625" style="72" customWidth="1"/>
    <col min="3" max="3" width="6" style="72" customWidth="1"/>
    <col min="4" max="5" width="25.5" style="72" customWidth="1"/>
    <col min="6" max="6" width="9.33203125" style="72"/>
    <col min="7" max="7" width="9.33203125" style="72" customWidth="1"/>
    <col min="8" max="16384" width="9.33203125" style="72"/>
  </cols>
  <sheetData>
    <row r="1" spans="1:5" s="5" customFormat="1" ht="15.75">
      <c r="A1" s="1" t="s">
        <v>40</v>
      </c>
      <c r="B1" s="6"/>
      <c r="C1" s="6"/>
      <c r="D1" s="6"/>
      <c r="E1" s="6"/>
    </row>
    <row r="2" spans="1:5" s="7" customFormat="1" ht="15">
      <c r="A2" s="3" t="s">
        <v>73</v>
      </c>
      <c r="B2" s="3"/>
      <c r="C2" s="3"/>
      <c r="D2" s="3"/>
      <c r="E2" s="3"/>
    </row>
    <row r="4" spans="1:5">
      <c r="A4" s="189"/>
      <c r="B4" s="190" t="s">
        <v>119</v>
      </c>
      <c r="C4" s="190"/>
      <c r="D4" s="106"/>
      <c r="E4" s="106"/>
    </row>
    <row r="5" spans="1:5">
      <c r="A5" s="191" t="s">
        <v>3</v>
      </c>
      <c r="B5" s="192" t="s">
        <v>72</v>
      </c>
      <c r="C5" s="193"/>
      <c r="D5" s="194" t="s">
        <v>70</v>
      </c>
      <c r="E5" s="195" t="s">
        <v>32</v>
      </c>
    </row>
    <row r="6" spans="1:5">
      <c r="A6" s="196"/>
      <c r="B6" s="197" t="s">
        <v>117</v>
      </c>
      <c r="C6" s="198"/>
      <c r="D6" s="199" t="s">
        <v>71</v>
      </c>
      <c r="E6" s="195"/>
    </row>
    <row r="7" spans="1:5">
      <c r="A7" s="200"/>
      <c r="B7" s="201" t="s">
        <v>123</v>
      </c>
      <c r="C7" s="202"/>
      <c r="D7" s="110" t="s">
        <v>123</v>
      </c>
      <c r="E7" s="108" t="s">
        <v>123</v>
      </c>
    </row>
    <row r="8" spans="1:5">
      <c r="B8" s="203" t="s">
        <v>23</v>
      </c>
      <c r="C8" s="203"/>
      <c r="D8" s="104" t="s">
        <v>24</v>
      </c>
      <c r="E8" s="104" t="s">
        <v>25</v>
      </c>
    </row>
    <row r="9" spans="1:5">
      <c r="B9" s="104"/>
      <c r="C9" s="104"/>
      <c r="D9" s="104"/>
      <c r="E9" s="4" t="str">
        <f>B8&amp;" - "&amp;D8</f>
        <v>(a) - (b)</v>
      </c>
    </row>
    <row r="10" spans="1:5">
      <c r="B10" s="104"/>
      <c r="C10" s="104"/>
      <c r="D10" s="104"/>
      <c r="E10" s="4"/>
    </row>
    <row r="11" spans="1:5">
      <c r="A11" s="204">
        <f>'Tables 3 to 6'!B12</f>
        <v>2013</v>
      </c>
      <c r="B11" s="205">
        <f>INDEX('Tables 3 to 6'!R:R,MATCH(A11,'Tables 3 to 6'!B:B,0))</f>
        <v>41.66</v>
      </c>
      <c r="C11" s="206"/>
      <c r="D11" s="206">
        <v>47.22</v>
      </c>
      <c r="E11" s="206">
        <f t="shared" ref="E11:E33" si="0">B11-D11</f>
        <v>-5.5600000000000023</v>
      </c>
    </row>
    <row r="12" spans="1:5" s="84" customFormat="1">
      <c r="A12" s="204">
        <f>A11+1</f>
        <v>2014</v>
      </c>
      <c r="B12" s="205">
        <f>INDEX('Tables 3 to 6'!R:R,MATCH(A12,'Tables 3 to 6'!B:B,0))</f>
        <v>37.22</v>
      </c>
      <c r="C12" s="206"/>
      <c r="D12" s="206">
        <v>48.84</v>
      </c>
      <c r="E12" s="206">
        <f t="shared" si="0"/>
        <v>-11.620000000000005</v>
      </c>
    </row>
    <row r="13" spans="1:5">
      <c r="A13" s="204">
        <f t="shared" ref="A13:A35" si="1">A12+1</f>
        <v>2015</v>
      </c>
      <c r="B13" s="205">
        <f>INDEX('Tables 3 to 6'!R:R,MATCH(A13,'Tables 3 to 6'!B:B,0))</f>
        <v>39.26</v>
      </c>
      <c r="C13" s="206"/>
      <c r="D13" s="206">
        <v>60.67</v>
      </c>
      <c r="E13" s="206">
        <f t="shared" si="0"/>
        <v>-21.410000000000004</v>
      </c>
    </row>
    <row r="14" spans="1:5">
      <c r="A14" s="204">
        <f t="shared" si="1"/>
        <v>2016</v>
      </c>
      <c r="B14" s="205">
        <f>INDEX('Tables 3 to 6'!R:R,MATCH(A14,'Tables 3 to 6'!B:B,0))</f>
        <v>41.32</v>
      </c>
      <c r="C14" s="206"/>
      <c r="D14" s="206">
        <v>63.32</v>
      </c>
      <c r="E14" s="206">
        <f t="shared" ref="E14" si="2">B14-D14</f>
        <v>-22</v>
      </c>
    </row>
    <row r="15" spans="1:5">
      <c r="A15" s="204">
        <f t="shared" si="1"/>
        <v>2017</v>
      </c>
      <c r="B15" s="205">
        <f>INDEX('Tables 3 to 6'!R:R,MATCH(A15,'Tables 3 to 6'!B:B,0))</f>
        <v>43.11</v>
      </c>
      <c r="C15" s="206"/>
      <c r="D15" s="206">
        <v>66.75</v>
      </c>
      <c r="E15" s="206">
        <f t="shared" si="0"/>
        <v>-23.64</v>
      </c>
    </row>
    <row r="16" spans="1:5">
      <c r="A16" s="204">
        <f t="shared" si="1"/>
        <v>2018</v>
      </c>
      <c r="B16" s="205">
        <f>INDEX('Tables 3 to 6'!R:R,MATCH(A16,'Tables 3 to 6'!B:B,0))</f>
        <v>45.73</v>
      </c>
      <c r="C16" s="206"/>
      <c r="D16" s="206">
        <v>70.11</v>
      </c>
      <c r="E16" s="206">
        <f t="shared" si="0"/>
        <v>-24.380000000000003</v>
      </c>
    </row>
    <row r="17" spans="1:5">
      <c r="A17" s="204">
        <f t="shared" si="1"/>
        <v>2019</v>
      </c>
      <c r="B17" s="205">
        <f>INDEX('Tables 3 to 6'!R:R,MATCH(A17,'Tables 3 to 6'!B:B,0))</f>
        <v>48.31</v>
      </c>
      <c r="C17" s="206"/>
      <c r="D17" s="206">
        <v>72.739999999999995</v>
      </c>
      <c r="E17" s="206">
        <f t="shared" si="0"/>
        <v>-24.429999999999993</v>
      </c>
    </row>
    <row r="18" spans="1:5">
      <c r="A18" s="204">
        <f t="shared" si="1"/>
        <v>2020</v>
      </c>
      <c r="B18" s="205">
        <f>INDEX('Tables 3 to 6'!R:R,MATCH(A18,'Tables 3 to 6'!B:B,0))</f>
        <v>52.69</v>
      </c>
      <c r="C18" s="206"/>
      <c r="D18" s="206">
        <v>73.77</v>
      </c>
      <c r="E18" s="206">
        <f t="shared" si="0"/>
        <v>-21.08</v>
      </c>
    </row>
    <row r="19" spans="1:5">
      <c r="A19" s="204">
        <f t="shared" si="1"/>
        <v>2021</v>
      </c>
      <c r="B19" s="205">
        <f>INDEX('Tables 3 to 6'!R:R,MATCH(A19,'Tables 3 to 6'!B:B,0))</f>
        <v>59.65</v>
      </c>
      <c r="C19" s="206"/>
      <c r="D19" s="206">
        <v>74.86</v>
      </c>
      <c r="E19" s="206">
        <f t="shared" si="0"/>
        <v>-15.21</v>
      </c>
    </row>
    <row r="20" spans="1:5">
      <c r="A20" s="204">
        <f t="shared" si="1"/>
        <v>2022</v>
      </c>
      <c r="B20" s="205">
        <f>INDEX('Tables 3 to 6'!R:R,MATCH(A20,'Tables 3 to 6'!B:B,0))</f>
        <v>68.06</v>
      </c>
      <c r="C20" s="206"/>
      <c r="D20" s="206">
        <v>76.81</v>
      </c>
      <c r="E20" s="206">
        <f t="shared" si="0"/>
        <v>-8.75</v>
      </c>
    </row>
    <row r="21" spans="1:5">
      <c r="A21" s="204">
        <f t="shared" si="1"/>
        <v>2023</v>
      </c>
      <c r="B21" s="205">
        <f>INDEX('Tables 3 to 6'!R:R,MATCH(A21,'Tables 3 to 6'!B:B,0))</f>
        <v>72.02</v>
      </c>
      <c r="C21" s="206"/>
      <c r="D21" s="206">
        <v>80.540000000000006</v>
      </c>
      <c r="E21" s="206">
        <f t="shared" si="0"/>
        <v>-8.5200000000000102</v>
      </c>
    </row>
    <row r="22" spans="1:5">
      <c r="A22" s="204">
        <f t="shared" si="1"/>
        <v>2024</v>
      </c>
      <c r="B22" s="205">
        <f>INDEX('Tables 3 to 6'!R:R,MATCH(A22,'Tables 3 to 6'!B:B,0))</f>
        <v>60.5</v>
      </c>
      <c r="C22" s="206"/>
      <c r="D22" s="206">
        <v>84.61</v>
      </c>
      <c r="E22" s="206">
        <f t="shared" si="0"/>
        <v>-24.11</v>
      </c>
    </row>
    <row r="23" spans="1:5">
      <c r="A23" s="204">
        <f t="shared" si="1"/>
        <v>2025</v>
      </c>
      <c r="B23" s="205">
        <f>INDEX('Tables 3 to 6'!R:R,MATCH(A23,'Tables 3 to 6'!B:B,0))</f>
        <v>60.87</v>
      </c>
      <c r="C23" s="206"/>
      <c r="D23" s="206">
        <v>83.43</v>
      </c>
      <c r="E23" s="206">
        <f t="shared" si="0"/>
        <v>-22.560000000000009</v>
      </c>
    </row>
    <row r="24" spans="1:5">
      <c r="A24" s="204">
        <f t="shared" si="1"/>
        <v>2026</v>
      </c>
      <c r="B24" s="205">
        <f>INDEX('Tables 3 to 6'!R:R,MATCH(A24,'Tables 3 to 6'!B:B,0))</f>
        <v>62.56</v>
      </c>
      <c r="C24" s="206"/>
      <c r="D24" s="206">
        <v>78.25</v>
      </c>
      <c r="E24" s="206">
        <f t="shared" si="0"/>
        <v>-15.689999999999998</v>
      </c>
    </row>
    <row r="25" spans="1:5">
      <c r="A25" s="204">
        <f t="shared" si="1"/>
        <v>2027</v>
      </c>
      <c r="B25" s="205">
        <f>INDEX('Tables 3 to 6'!R:R,MATCH(A25,'Tables 3 to 6'!B:B,0))</f>
        <v>62.86</v>
      </c>
      <c r="C25" s="206"/>
      <c r="D25" s="206">
        <v>74.900000000000006</v>
      </c>
      <c r="E25" s="206">
        <f t="shared" si="0"/>
        <v>-12.040000000000006</v>
      </c>
    </row>
    <row r="26" spans="1:5">
      <c r="A26" s="204">
        <f t="shared" si="1"/>
        <v>2028</v>
      </c>
      <c r="B26" s="205">
        <f>INDEX('Tables 3 to 6'!R:R,MATCH(A26,'Tables 3 to 6'!B:B,0))</f>
        <v>64.8</v>
      </c>
      <c r="C26" s="206"/>
      <c r="D26" s="206">
        <v>82.03</v>
      </c>
      <c r="E26" s="206">
        <f t="shared" si="0"/>
        <v>-17.230000000000004</v>
      </c>
    </row>
    <row r="27" spans="1:5">
      <c r="A27" s="204">
        <f t="shared" si="1"/>
        <v>2029</v>
      </c>
      <c r="B27" s="205">
        <f>INDEX('Tables 3 to 6'!R:R,MATCH(A27,'Tables 3 to 6'!B:B,0))</f>
        <v>66.52</v>
      </c>
      <c r="C27" s="206"/>
      <c r="D27" s="206">
        <v>84.36</v>
      </c>
      <c r="E27" s="206">
        <f t="shared" si="0"/>
        <v>-17.840000000000003</v>
      </c>
    </row>
    <row r="28" spans="1:5">
      <c r="A28" s="204">
        <f t="shared" si="1"/>
        <v>2030</v>
      </c>
      <c r="B28" s="205">
        <f>INDEX('Tables 3 to 6'!R:R,MATCH(A28,'Tables 3 to 6'!B:B,0))</f>
        <v>67.260000000000005</v>
      </c>
      <c r="C28" s="206"/>
      <c r="D28" s="206">
        <v>85.84</v>
      </c>
      <c r="E28" s="206">
        <f t="shared" si="0"/>
        <v>-18.579999999999998</v>
      </c>
    </row>
    <row r="29" spans="1:5">
      <c r="A29" s="204">
        <f t="shared" si="1"/>
        <v>2031</v>
      </c>
      <c r="B29" s="205">
        <f>INDEX('Tables 3 to 6'!R:R,MATCH(A29,'Tables 3 to 6'!B:B,0))</f>
        <v>68.069999999999993</v>
      </c>
      <c r="C29" s="206"/>
      <c r="D29" s="206">
        <v>87.47</v>
      </c>
      <c r="E29" s="206">
        <f t="shared" si="0"/>
        <v>-19.400000000000006</v>
      </c>
    </row>
    <row r="30" spans="1:5">
      <c r="A30" s="204">
        <f t="shared" si="1"/>
        <v>2032</v>
      </c>
      <c r="B30" s="205">
        <f>INDEX('Tables 3 to 6'!R:R,MATCH(A30,'Tables 3 to 6'!B:B,0))</f>
        <v>69.349999999999994</v>
      </c>
      <c r="C30" s="206"/>
      <c r="D30" s="206">
        <v>89.17</v>
      </c>
      <c r="E30" s="206">
        <f t="shared" si="0"/>
        <v>-19.820000000000007</v>
      </c>
    </row>
    <row r="31" spans="1:5">
      <c r="A31" s="204">
        <f t="shared" si="1"/>
        <v>2033</v>
      </c>
      <c r="B31" s="205">
        <f>INDEX('Tables 3 to 6'!R:R,MATCH(A31,'Tables 3 to 6'!B:B,0))</f>
        <v>70.69</v>
      </c>
      <c r="C31" s="206"/>
      <c r="D31" s="206">
        <v>90.82</v>
      </c>
      <c r="E31" s="206">
        <f t="shared" si="0"/>
        <v>-20.129999999999995</v>
      </c>
    </row>
    <row r="32" spans="1:5">
      <c r="A32" s="204">
        <f t="shared" si="1"/>
        <v>2034</v>
      </c>
      <c r="B32" s="205">
        <f>INDEX('Tables 3 to 6'!R:R,MATCH(A32,'Tables 3 to 6'!B:B,0))</f>
        <v>71.989999999999995</v>
      </c>
      <c r="C32" s="206"/>
      <c r="D32" s="206">
        <v>92.55</v>
      </c>
      <c r="E32" s="206">
        <f t="shared" si="0"/>
        <v>-20.560000000000002</v>
      </c>
    </row>
    <row r="33" spans="1:13">
      <c r="A33" s="204">
        <f t="shared" si="1"/>
        <v>2035</v>
      </c>
      <c r="B33" s="205">
        <f>INDEX('Tables 3 to 6'!R:R,MATCH(A33,'Tables 3 to 6'!B:B,0))</f>
        <v>73.36</v>
      </c>
      <c r="C33" s="206"/>
      <c r="D33" s="206">
        <v>94.25</v>
      </c>
      <c r="E33" s="206">
        <f t="shared" si="0"/>
        <v>-20.89</v>
      </c>
    </row>
    <row r="34" spans="1:13">
      <c r="A34" s="204">
        <f t="shared" si="1"/>
        <v>2036</v>
      </c>
      <c r="B34" s="205">
        <f>INDEX('Tables 3 to 6'!R:R,MATCH(A34,'Tables 3 to 6'!B:B,0))</f>
        <v>74.8</v>
      </c>
      <c r="C34" s="206"/>
      <c r="D34" s="206"/>
      <c r="E34" s="206"/>
    </row>
    <row r="35" spans="1:13">
      <c r="A35" s="204">
        <f t="shared" si="1"/>
        <v>2037</v>
      </c>
      <c r="B35" s="205">
        <f>INDEX('Tables 3 to 6'!R:R,MATCH(A35,'Tables 3 to 6'!B:B,0))</f>
        <v>76.19</v>
      </c>
      <c r="C35" s="206"/>
      <c r="D35" s="206"/>
      <c r="E35" s="206"/>
    </row>
    <row r="37" spans="1:13">
      <c r="A37" s="207" t="str">
        <f>"20 Year ("&amp;A11&amp;" to "&amp;A30&amp;") Levelized Prices (Nominal) @ "&amp;TEXT($G$38,"?.000%")&amp;" Discount Rate (2)"</f>
        <v>20 Year (2013 to 2032) Levelized Prices (Nominal) @ 6.882% Discount Rate (2)</v>
      </c>
      <c r="F37" s="208"/>
      <c r="G37" s="72" t="s">
        <v>165</v>
      </c>
    </row>
    <row r="38" spans="1:13">
      <c r="A38" s="209" t="s">
        <v>43</v>
      </c>
      <c r="B38" s="205">
        <f>-PMT($G$38,COUNT(B11:B30),NPV($G$38,B11:B30))</f>
        <v>52.646061573271616</v>
      </c>
      <c r="C38" s="210"/>
      <c r="D38" s="206">
        <f>-PMT($G$38,COUNT(D11:D30),NPV($G$38,D11:D30))</f>
        <v>70.108413735380481</v>
      </c>
      <c r="E38" s="206">
        <f>B38-D38</f>
        <v>-17.462352162108864</v>
      </c>
      <c r="F38" s="210"/>
      <c r="G38" s="211">
        <v>6.8820000000000006E-2</v>
      </c>
    </row>
    <row r="39" spans="1:13">
      <c r="B39" s="212"/>
      <c r="C39" s="212"/>
      <c r="D39" s="212"/>
      <c r="E39" s="212"/>
      <c r="F39" s="212"/>
      <c r="G39" s="88"/>
    </row>
    <row r="40" spans="1:13">
      <c r="A40" s="72" t="s">
        <v>22</v>
      </c>
    </row>
    <row r="41" spans="1:13">
      <c r="A41" s="209" t="str">
        <f>B8</f>
        <v>(a)</v>
      </c>
      <c r="B41" s="72" t="str">
        <f>"  "&amp;'Tables 3 to 6'!$N$1&amp;"  Column "&amp;'Tables 3 to 6'!$R$8</f>
        <v xml:space="preserve">  Table 5  Column (d)</v>
      </c>
    </row>
    <row r="42" spans="1:13">
      <c r="A42" s="209" t="str">
        <f>D8</f>
        <v>(b)</v>
      </c>
      <c r="B42" s="72" t="s">
        <v>184</v>
      </c>
    </row>
    <row r="43" spans="1:13">
      <c r="A43" s="213"/>
      <c r="B43" s="80"/>
      <c r="D43" s="212"/>
      <c r="E43" s="212"/>
      <c r="F43" s="212"/>
      <c r="G43" s="212"/>
      <c r="H43" s="212"/>
      <c r="I43" s="212"/>
      <c r="J43" s="214"/>
      <c r="K43" s="214"/>
      <c r="L43" s="214"/>
      <c r="M43" s="214"/>
    </row>
    <row r="44" spans="1:13">
      <c r="A44" s="209" t="s">
        <v>116</v>
      </c>
      <c r="B44" s="72" t="s">
        <v>120</v>
      </c>
    </row>
    <row r="45" spans="1:13">
      <c r="B45" s="72" t="s">
        <v>118</v>
      </c>
    </row>
    <row r="46" spans="1:13">
      <c r="B46" s="72" t="s">
        <v>187</v>
      </c>
    </row>
    <row r="55" ht="24.75" customHeight="1"/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O149"/>
  <sheetViews>
    <sheetView showGridLines="0" zoomScaleNormal="100" zoomScaleSheetLayoutView="100" workbookViewId="0">
      <selection activeCell="B28" sqref="B28"/>
    </sheetView>
  </sheetViews>
  <sheetFormatPr defaultRowHeight="12.75"/>
  <cols>
    <col min="1" max="1" width="1.33203125" style="66" customWidth="1"/>
    <col min="2" max="2" width="6.5" style="66" customWidth="1"/>
    <col min="3" max="3" width="9.83203125" style="66" customWidth="1"/>
    <col min="4" max="4" width="11.1640625" style="66" customWidth="1"/>
    <col min="5" max="5" width="9.1640625" style="66" customWidth="1"/>
    <col min="6" max="6" width="9.83203125" style="66" bestFit="1" customWidth="1"/>
    <col min="7" max="8" width="10.1640625" style="66" customWidth="1"/>
    <col min="9" max="9" width="9" style="66" customWidth="1"/>
    <col min="10" max="10" width="10.33203125" style="66" customWidth="1"/>
    <col min="11" max="11" width="10.5" style="66" customWidth="1"/>
    <col min="12" max="13" width="9.33203125" style="66"/>
    <col min="14" max="15" width="0" style="66" hidden="1" customWidth="1"/>
    <col min="16" max="16384" width="9.33203125" style="66"/>
  </cols>
  <sheetData>
    <row r="1" spans="1:12" ht="15.75">
      <c r="B1" s="24" t="s">
        <v>98</v>
      </c>
      <c r="C1" s="145"/>
      <c r="D1" s="145"/>
      <c r="E1" s="145"/>
      <c r="F1" s="145"/>
      <c r="G1" s="145"/>
      <c r="H1" s="145"/>
      <c r="I1" s="145"/>
      <c r="J1" s="145"/>
      <c r="K1" s="24"/>
    </row>
    <row r="2" spans="1:12" ht="15.75">
      <c r="B2" s="24" t="s">
        <v>99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5.75">
      <c r="B3" s="24"/>
      <c r="C3" s="145"/>
      <c r="D3" s="145"/>
      <c r="E3" s="145"/>
      <c r="F3" s="145"/>
      <c r="G3" s="145"/>
      <c r="H3" s="145"/>
      <c r="I3" s="145"/>
      <c r="J3" s="145"/>
      <c r="K3" s="150" t="s">
        <v>100</v>
      </c>
    </row>
    <row r="4" spans="1:12" ht="5.25" customHeigh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1:12" ht="51.75" customHeight="1">
      <c r="A5" s="154"/>
      <c r="B5" s="25" t="s">
        <v>3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50</v>
      </c>
      <c r="I5" s="152"/>
      <c r="J5" s="152"/>
      <c r="K5" s="152"/>
      <c r="L5" s="153"/>
    </row>
    <row r="6" spans="1:12" ht="18.75" customHeight="1">
      <c r="B6" s="27"/>
      <c r="C6" s="28" t="s">
        <v>41</v>
      </c>
      <c r="D6" s="29" t="s">
        <v>42</v>
      </c>
      <c r="E6" s="29" t="s">
        <v>42</v>
      </c>
      <c r="F6" s="29" t="s">
        <v>43</v>
      </c>
      <c r="G6" s="29" t="s">
        <v>42</v>
      </c>
      <c r="H6" s="29" t="s">
        <v>42</v>
      </c>
      <c r="I6" s="152"/>
      <c r="J6" s="152"/>
      <c r="K6" s="152"/>
      <c r="L6" s="153"/>
    </row>
    <row r="7" spans="1:12">
      <c r="C7" s="30" t="s">
        <v>23</v>
      </c>
      <c r="D7" s="30" t="s">
        <v>24</v>
      </c>
      <c r="E7" s="30" t="s">
        <v>25</v>
      </c>
      <c r="F7" s="30" t="s">
        <v>26</v>
      </c>
      <c r="G7" s="30" t="s">
        <v>27</v>
      </c>
      <c r="H7" s="30" t="s">
        <v>34</v>
      </c>
      <c r="I7" s="152"/>
      <c r="J7" s="152"/>
      <c r="K7" s="152"/>
    </row>
    <row r="8" spans="1:12" ht="6" customHeight="1">
      <c r="I8" s="152"/>
      <c r="J8" s="152"/>
      <c r="K8" s="152"/>
    </row>
    <row r="9" spans="1:12" ht="15.75">
      <c r="B9" s="31" t="str">
        <f>C43</f>
        <v>SCCT Frame UT (SCCT Frame "F" x 1 - 4,250')</v>
      </c>
      <c r="C9" s="153"/>
      <c r="E9" s="153"/>
      <c r="F9" s="153"/>
      <c r="G9" s="153"/>
      <c r="H9" s="153"/>
      <c r="I9" s="152"/>
      <c r="J9" s="152"/>
      <c r="K9" s="152"/>
      <c r="L9" s="153"/>
    </row>
    <row r="10" spans="1:12">
      <c r="B10" s="155">
        <v>2012</v>
      </c>
      <c r="C10" s="156">
        <f>C45</f>
        <v>761.56</v>
      </c>
      <c r="D10" s="157">
        <f>ROUND(C10*C50,2)</f>
        <v>60.57</v>
      </c>
      <c r="E10" s="157">
        <f>C48</f>
        <v>31.22</v>
      </c>
      <c r="F10" s="157">
        <f>C49</f>
        <v>10.220000000000001</v>
      </c>
      <c r="G10" s="158">
        <f t="shared" ref="G10:G36" si="0">ROUND(F10*(8.76*$C$51)+E10,2)</f>
        <v>50.02</v>
      </c>
      <c r="H10" s="158">
        <f t="shared" ref="H10:H34" si="1">ROUND(D10+G10,2)</f>
        <v>110.59</v>
      </c>
      <c r="I10" s="152"/>
      <c r="J10" s="286"/>
      <c r="K10" s="152"/>
    </row>
    <row r="11" spans="1:12">
      <c r="B11" s="155">
        <f t="shared" ref="B11:B34" si="2">B10+1</f>
        <v>2013</v>
      </c>
      <c r="C11" s="159"/>
      <c r="D11" s="157">
        <f>ROUND(D10*(1+$D$134),2)</f>
        <v>61.42</v>
      </c>
      <c r="E11" s="157">
        <f>ROUND(E10*(1+$D$134),2)</f>
        <v>31.66</v>
      </c>
      <c r="F11" s="157">
        <f>ROUND(F10*(1+$D$134),2)</f>
        <v>10.36</v>
      </c>
      <c r="G11" s="158">
        <f t="shared" si="0"/>
        <v>50.72</v>
      </c>
      <c r="H11" s="158">
        <f t="shared" si="1"/>
        <v>112.14</v>
      </c>
      <c r="I11" s="152"/>
      <c r="J11" s="285"/>
      <c r="K11" s="152"/>
    </row>
    <row r="12" spans="1:12">
      <c r="B12" s="155">
        <f t="shared" si="2"/>
        <v>2014</v>
      </c>
      <c r="C12" s="159"/>
      <c r="D12" s="158">
        <f>ROUND(D11*(1+$D$135),2)</f>
        <v>62.46</v>
      </c>
      <c r="E12" s="158">
        <f>ROUND(E11*(1+$D$135),2)</f>
        <v>32.200000000000003</v>
      </c>
      <c r="F12" s="158">
        <f>ROUND(F11*(1+$D$135),2)</f>
        <v>10.54</v>
      </c>
      <c r="G12" s="158">
        <f t="shared" si="0"/>
        <v>51.59</v>
      </c>
      <c r="H12" s="158">
        <f t="shared" si="1"/>
        <v>114.05</v>
      </c>
      <c r="I12" s="160"/>
      <c r="J12" s="285"/>
      <c r="K12" s="161"/>
    </row>
    <row r="13" spans="1:12">
      <c r="B13" s="155">
        <f t="shared" si="2"/>
        <v>2015</v>
      </c>
      <c r="C13" s="159"/>
      <c r="D13" s="158">
        <f>ROUND(D12*(1+$D$136),2)</f>
        <v>63.46</v>
      </c>
      <c r="E13" s="158">
        <f>ROUND(E12*(1+$D$136),2)</f>
        <v>32.72</v>
      </c>
      <c r="F13" s="158">
        <f>ROUND(F12*(1+$D$136),2)</f>
        <v>10.71</v>
      </c>
      <c r="G13" s="158">
        <f t="shared" si="0"/>
        <v>52.42</v>
      </c>
      <c r="H13" s="158">
        <f t="shared" si="1"/>
        <v>115.88</v>
      </c>
      <c r="I13" s="160"/>
      <c r="J13" s="285"/>
      <c r="K13" s="161"/>
    </row>
    <row r="14" spans="1:12">
      <c r="B14" s="155">
        <f t="shared" si="2"/>
        <v>2016</v>
      </c>
      <c r="C14" s="159"/>
      <c r="D14" s="158">
        <f>ROUND(D13*(1+$D$137),2)</f>
        <v>64.48</v>
      </c>
      <c r="E14" s="158">
        <f>ROUND(E13*(1+$D$137),2)</f>
        <v>33.24</v>
      </c>
      <c r="F14" s="158">
        <f>ROUND(F13*(1+$D$137),2)</f>
        <v>10.88</v>
      </c>
      <c r="G14" s="158">
        <f t="shared" si="0"/>
        <v>53.25</v>
      </c>
      <c r="H14" s="158">
        <f t="shared" si="1"/>
        <v>117.73</v>
      </c>
      <c r="I14" s="160"/>
      <c r="J14" s="285"/>
      <c r="K14" s="161"/>
    </row>
    <row r="15" spans="1:12">
      <c r="B15" s="155">
        <f t="shared" si="2"/>
        <v>2017</v>
      </c>
      <c r="C15" s="159"/>
      <c r="D15" s="158">
        <f>ROUND(D14*(1+$D$138),2)</f>
        <v>65.58</v>
      </c>
      <c r="E15" s="158">
        <f>ROUND(E14*(1+$D$138),2)</f>
        <v>33.81</v>
      </c>
      <c r="F15" s="158">
        <f>ROUND(F14*(1+$D$138),2)</f>
        <v>11.06</v>
      </c>
      <c r="G15" s="158">
        <f t="shared" si="0"/>
        <v>54.16</v>
      </c>
      <c r="H15" s="158">
        <f t="shared" si="1"/>
        <v>119.74</v>
      </c>
      <c r="I15" s="160"/>
      <c r="J15" s="160"/>
      <c r="K15" s="161"/>
    </row>
    <row r="16" spans="1:12">
      <c r="B16" s="155">
        <f t="shared" si="2"/>
        <v>2018</v>
      </c>
      <c r="C16" s="159"/>
      <c r="D16" s="158">
        <f>ROUND(D15*(1+$D$139),2)</f>
        <v>66.760000000000005</v>
      </c>
      <c r="E16" s="158">
        <f>ROUND(E15*(1+$D$139),2)</f>
        <v>34.42</v>
      </c>
      <c r="F16" s="158">
        <f>ROUND(F15*(1+$D$139),2)</f>
        <v>11.26</v>
      </c>
      <c r="G16" s="158">
        <f t="shared" si="0"/>
        <v>55.13</v>
      </c>
      <c r="H16" s="158">
        <f t="shared" si="1"/>
        <v>121.89</v>
      </c>
      <c r="I16" s="160"/>
      <c r="J16" s="160"/>
      <c r="K16" s="161"/>
    </row>
    <row r="17" spans="2:11">
      <c r="B17" s="155">
        <f t="shared" si="2"/>
        <v>2019</v>
      </c>
      <c r="C17" s="159"/>
      <c r="D17" s="162">
        <f>ROUND(D16*(1+$D$140),2)</f>
        <v>67.959999999999994</v>
      </c>
      <c r="E17" s="162">
        <f>ROUND(E16*(1+$D$140),2)</f>
        <v>35.04</v>
      </c>
      <c r="F17" s="162">
        <f>ROUND(F16*(1+$D$140),2)</f>
        <v>11.46</v>
      </c>
      <c r="G17" s="158">
        <f t="shared" si="0"/>
        <v>56.12</v>
      </c>
      <c r="H17" s="158">
        <f t="shared" si="1"/>
        <v>124.08</v>
      </c>
      <c r="I17" s="160"/>
      <c r="J17" s="160"/>
      <c r="K17" s="161"/>
    </row>
    <row r="18" spans="2:11">
      <c r="B18" s="155">
        <f t="shared" si="2"/>
        <v>2020</v>
      </c>
      <c r="C18" s="159"/>
      <c r="D18" s="162">
        <f>ROUND(D17*(1+$D$141),2)</f>
        <v>69.180000000000007</v>
      </c>
      <c r="E18" s="162">
        <f>ROUND(E17*(1+$D$141),2)</f>
        <v>35.67</v>
      </c>
      <c r="F18" s="162">
        <f>ROUND(F17*(1+$D$141),2)</f>
        <v>11.67</v>
      </c>
      <c r="G18" s="158">
        <f t="shared" si="0"/>
        <v>57.14</v>
      </c>
      <c r="H18" s="158">
        <f t="shared" si="1"/>
        <v>126.32</v>
      </c>
      <c r="I18" s="160"/>
      <c r="J18" s="160"/>
      <c r="K18" s="161"/>
    </row>
    <row r="19" spans="2:11">
      <c r="B19" s="155">
        <f t="shared" si="2"/>
        <v>2021</v>
      </c>
      <c r="C19" s="159"/>
      <c r="D19" s="162">
        <f>ROUND(D18*(1+$G$133),2)</f>
        <v>70.430000000000007</v>
      </c>
      <c r="E19" s="162">
        <f>ROUND(E18*(1+$G$133),2)</f>
        <v>36.31</v>
      </c>
      <c r="F19" s="162">
        <f>ROUND(F18*(1+$G$133),2)</f>
        <v>11.88</v>
      </c>
      <c r="G19" s="158">
        <f t="shared" si="0"/>
        <v>58.16</v>
      </c>
      <c r="H19" s="158">
        <f t="shared" si="1"/>
        <v>128.59</v>
      </c>
      <c r="I19" s="160"/>
      <c r="J19" s="160"/>
      <c r="K19" s="161"/>
    </row>
    <row r="20" spans="2:11">
      <c r="B20" s="155">
        <f t="shared" si="2"/>
        <v>2022</v>
      </c>
      <c r="C20" s="159"/>
      <c r="D20" s="162">
        <f>ROUND(D19*(1+$G$134),2)</f>
        <v>71.77</v>
      </c>
      <c r="E20" s="162">
        <f>ROUND(E19*(1+$G$134),2)</f>
        <v>37</v>
      </c>
      <c r="F20" s="162">
        <f>ROUND(F19*(1+$G$134),2)</f>
        <v>12.11</v>
      </c>
      <c r="G20" s="158">
        <f t="shared" si="0"/>
        <v>59.28</v>
      </c>
      <c r="H20" s="158">
        <f t="shared" si="1"/>
        <v>131.05000000000001</v>
      </c>
      <c r="I20" s="160"/>
      <c r="J20" s="160"/>
      <c r="K20" s="161"/>
    </row>
    <row r="21" spans="2:11">
      <c r="B21" s="155">
        <f t="shared" si="2"/>
        <v>2023</v>
      </c>
      <c r="C21" s="159"/>
      <c r="D21" s="162">
        <f>ROUND(D20*(1+$G$135),2)</f>
        <v>73.13</v>
      </c>
      <c r="E21" s="162">
        <f>ROUND(E20*(1+$G$135),2)</f>
        <v>37.700000000000003</v>
      </c>
      <c r="F21" s="162">
        <f>ROUND(F20*(1+$G$135),2)</f>
        <v>12.34</v>
      </c>
      <c r="G21" s="158">
        <f t="shared" si="0"/>
        <v>60.4</v>
      </c>
      <c r="H21" s="158">
        <f t="shared" si="1"/>
        <v>133.53</v>
      </c>
      <c r="I21" s="160"/>
      <c r="J21" s="160"/>
      <c r="K21" s="161"/>
    </row>
    <row r="22" spans="2:11">
      <c r="B22" s="155">
        <f t="shared" si="2"/>
        <v>2024</v>
      </c>
      <c r="C22" s="159"/>
      <c r="D22" s="162">
        <f>ROUND(D21*(1+$G$136),2)</f>
        <v>74.52</v>
      </c>
      <c r="E22" s="162">
        <f>ROUND(E21*(1+$G$136),2)</f>
        <v>38.42</v>
      </c>
      <c r="F22" s="162">
        <f>ROUND(F21*(1+$G$136),2)</f>
        <v>12.57</v>
      </c>
      <c r="G22" s="158">
        <f t="shared" si="0"/>
        <v>61.54</v>
      </c>
      <c r="H22" s="158">
        <f t="shared" si="1"/>
        <v>136.06</v>
      </c>
      <c r="I22" s="160"/>
      <c r="J22" s="160"/>
      <c r="K22" s="161"/>
    </row>
    <row r="23" spans="2:11">
      <c r="B23" s="155">
        <f t="shared" si="2"/>
        <v>2025</v>
      </c>
      <c r="C23" s="159"/>
      <c r="D23" s="162">
        <f>ROUND(D22*(1+$G$137),2)</f>
        <v>75.94</v>
      </c>
      <c r="E23" s="162">
        <f>ROUND(E22*(1+$G$137),2)</f>
        <v>39.15</v>
      </c>
      <c r="F23" s="162">
        <f>ROUND(F22*(1+$G$137),2)</f>
        <v>12.81</v>
      </c>
      <c r="G23" s="158">
        <f t="shared" si="0"/>
        <v>62.72</v>
      </c>
      <c r="H23" s="158">
        <f t="shared" si="1"/>
        <v>138.66</v>
      </c>
      <c r="I23" s="160"/>
      <c r="J23" s="160"/>
      <c r="K23" s="161"/>
    </row>
    <row r="24" spans="2:11">
      <c r="B24" s="155">
        <f t="shared" si="2"/>
        <v>2026</v>
      </c>
      <c r="C24" s="159"/>
      <c r="D24" s="162">
        <f>ROUND(D23*(1+$G$138),2)</f>
        <v>77.38</v>
      </c>
      <c r="E24" s="162">
        <f>ROUND(E23*(1+$G$138),2)</f>
        <v>39.89</v>
      </c>
      <c r="F24" s="162">
        <f>ROUND(F23*(1+$G$138),2)</f>
        <v>13.05</v>
      </c>
      <c r="G24" s="158">
        <f t="shared" si="0"/>
        <v>63.9</v>
      </c>
      <c r="H24" s="158">
        <f t="shared" si="1"/>
        <v>141.28</v>
      </c>
      <c r="I24" s="160"/>
      <c r="J24" s="160"/>
      <c r="K24" s="161"/>
    </row>
    <row r="25" spans="2:11">
      <c r="B25" s="155">
        <f t="shared" si="2"/>
        <v>2027</v>
      </c>
      <c r="C25" s="159"/>
      <c r="D25" s="162">
        <f>ROUND(D24*(1+$G$139),2)</f>
        <v>78.77</v>
      </c>
      <c r="E25" s="162">
        <f>ROUND(E24*(1+$G$139),2)</f>
        <v>40.61</v>
      </c>
      <c r="F25" s="162">
        <f>ROUND(F24*(1+$G$139),2)</f>
        <v>13.28</v>
      </c>
      <c r="G25" s="158">
        <f t="shared" si="0"/>
        <v>65.040000000000006</v>
      </c>
      <c r="H25" s="158">
        <f t="shared" si="1"/>
        <v>143.81</v>
      </c>
      <c r="I25" s="160"/>
      <c r="J25" s="160"/>
      <c r="K25" s="161"/>
    </row>
    <row r="26" spans="2:11">
      <c r="B26" s="155">
        <f t="shared" si="2"/>
        <v>2028</v>
      </c>
      <c r="C26" s="159"/>
      <c r="D26" s="162">
        <f>ROUND(D25*(1+$G$140),2)</f>
        <v>80.19</v>
      </c>
      <c r="E26" s="162">
        <f>ROUND(E25*(1+$G$140),2)</f>
        <v>41.34</v>
      </c>
      <c r="F26" s="162">
        <f>ROUND(F25*(1+$G$140),2)</f>
        <v>13.52</v>
      </c>
      <c r="G26" s="158">
        <f t="shared" si="0"/>
        <v>66.209999999999994</v>
      </c>
      <c r="H26" s="158">
        <f t="shared" si="1"/>
        <v>146.4</v>
      </c>
      <c r="I26" s="160"/>
      <c r="J26" s="160"/>
      <c r="K26" s="161"/>
    </row>
    <row r="27" spans="2:11">
      <c r="B27" s="155">
        <f t="shared" si="2"/>
        <v>2029</v>
      </c>
      <c r="C27" s="159"/>
      <c r="D27" s="162">
        <f>ROUND(D26*(1+$G$141),2)</f>
        <v>81.709999999999994</v>
      </c>
      <c r="E27" s="162">
        <f>ROUND(E26*(1+$G$141),2)</f>
        <v>42.13</v>
      </c>
      <c r="F27" s="162">
        <f>ROUND(F26*(1+$G$141),2)</f>
        <v>13.78</v>
      </c>
      <c r="G27" s="158">
        <f t="shared" si="0"/>
        <v>67.48</v>
      </c>
      <c r="H27" s="158">
        <f t="shared" si="1"/>
        <v>149.19</v>
      </c>
      <c r="I27" s="160"/>
      <c r="J27" s="160"/>
      <c r="K27" s="161"/>
    </row>
    <row r="28" spans="2:11">
      <c r="B28" s="155">
        <f t="shared" si="2"/>
        <v>2030</v>
      </c>
      <c r="C28" s="159"/>
      <c r="D28" s="162">
        <f>ROUND(D27*(1+$J$133),2)</f>
        <v>83.26</v>
      </c>
      <c r="E28" s="162">
        <f>ROUND(E27*(1+$J$133),2)</f>
        <v>42.93</v>
      </c>
      <c r="F28" s="162">
        <f>ROUND(F27*(1+$J$133),2)</f>
        <v>14.04</v>
      </c>
      <c r="G28" s="158">
        <f t="shared" si="0"/>
        <v>68.760000000000005</v>
      </c>
      <c r="H28" s="158">
        <f t="shared" si="1"/>
        <v>152.02000000000001</v>
      </c>
      <c r="I28" s="160"/>
      <c r="J28" s="160"/>
      <c r="K28" s="161"/>
    </row>
    <row r="29" spans="2:11">
      <c r="B29" s="155">
        <f t="shared" si="2"/>
        <v>2031</v>
      </c>
      <c r="C29" s="159"/>
      <c r="D29" s="162">
        <f>ROUND(D28*(1+$J$134),2)</f>
        <v>84.84</v>
      </c>
      <c r="E29" s="162">
        <f>ROUND(E28*(1+$J$134),2)</f>
        <v>43.75</v>
      </c>
      <c r="F29" s="162">
        <f>ROUND(F28*(1+$J$134),2)</f>
        <v>14.31</v>
      </c>
      <c r="G29" s="158">
        <f t="shared" si="0"/>
        <v>70.069999999999993</v>
      </c>
      <c r="H29" s="158">
        <f t="shared" si="1"/>
        <v>154.91</v>
      </c>
      <c r="I29" s="160"/>
      <c r="J29" s="160"/>
      <c r="K29" s="161"/>
    </row>
    <row r="30" spans="2:11">
      <c r="B30" s="155">
        <f t="shared" si="2"/>
        <v>2032</v>
      </c>
      <c r="C30" s="159"/>
      <c r="D30" s="162">
        <f>ROUND(D29*(1+$J$135),2)</f>
        <v>86.45</v>
      </c>
      <c r="E30" s="162">
        <f>ROUND(E29*(1+$J$135),2)</f>
        <v>44.58</v>
      </c>
      <c r="F30" s="162">
        <f>ROUND(F29*(1+$J$135),2)</f>
        <v>14.58</v>
      </c>
      <c r="G30" s="158">
        <f t="shared" si="0"/>
        <v>71.400000000000006</v>
      </c>
      <c r="H30" s="158">
        <f t="shared" si="1"/>
        <v>157.85</v>
      </c>
      <c r="I30" s="160"/>
      <c r="J30" s="160"/>
      <c r="K30" s="161"/>
    </row>
    <row r="31" spans="2:11">
      <c r="B31" s="155">
        <f t="shared" si="2"/>
        <v>2033</v>
      </c>
      <c r="C31" s="159"/>
      <c r="D31" s="162">
        <f>ROUND(D30*(1+$J$136),2)</f>
        <v>88.09</v>
      </c>
      <c r="E31" s="162">
        <f>ROUND(E30*(1+$J$136),2)</f>
        <v>45.43</v>
      </c>
      <c r="F31" s="162">
        <f>ROUND(F30*(1+$J$136),2)</f>
        <v>14.86</v>
      </c>
      <c r="G31" s="158">
        <f t="shared" si="0"/>
        <v>72.77</v>
      </c>
      <c r="H31" s="158">
        <f t="shared" si="1"/>
        <v>160.86000000000001</v>
      </c>
      <c r="I31" s="160"/>
      <c r="J31" s="160"/>
      <c r="K31" s="161"/>
    </row>
    <row r="32" spans="2:11">
      <c r="B32" s="155">
        <f t="shared" si="2"/>
        <v>2034</v>
      </c>
      <c r="C32" s="159"/>
      <c r="D32" s="162">
        <f>ROUND(D31*(1+$J$137),2)</f>
        <v>89.76</v>
      </c>
      <c r="E32" s="162">
        <f>ROUND(E31*(1+$J$137),2)</f>
        <v>46.29</v>
      </c>
      <c r="F32" s="162">
        <f>ROUND(F31*(1+$J$137),2)</f>
        <v>15.14</v>
      </c>
      <c r="G32" s="158">
        <f t="shared" si="0"/>
        <v>74.14</v>
      </c>
      <c r="H32" s="158">
        <f t="shared" si="1"/>
        <v>163.9</v>
      </c>
      <c r="I32" s="160"/>
      <c r="J32" s="160"/>
      <c r="K32" s="161"/>
    </row>
    <row r="33" spans="2:12">
      <c r="B33" s="155">
        <f t="shared" si="2"/>
        <v>2035</v>
      </c>
      <c r="C33" s="159"/>
      <c r="D33" s="162">
        <f>ROUND(D32*(1+$J$138),2)</f>
        <v>91.47</v>
      </c>
      <c r="E33" s="162">
        <f>ROUND(E32*(1+$J$138),2)</f>
        <v>47.17</v>
      </c>
      <c r="F33" s="162">
        <f>ROUND(F32*(1+$J$138),2)</f>
        <v>15.43</v>
      </c>
      <c r="G33" s="158">
        <f t="shared" si="0"/>
        <v>75.56</v>
      </c>
      <c r="H33" s="158">
        <f t="shared" si="1"/>
        <v>167.03</v>
      </c>
      <c r="I33" s="160"/>
      <c r="J33" s="160"/>
      <c r="K33" s="161"/>
    </row>
    <row r="34" spans="2:12">
      <c r="B34" s="155">
        <f t="shared" si="2"/>
        <v>2036</v>
      </c>
      <c r="C34" s="159"/>
      <c r="D34" s="162">
        <f>ROUND(D33*(1+$J$139),2)</f>
        <v>93.21</v>
      </c>
      <c r="E34" s="162">
        <f>ROUND(E33*(1+$J$139),2)</f>
        <v>48.07</v>
      </c>
      <c r="F34" s="162">
        <f>ROUND(F33*(1+$J$139),2)</f>
        <v>15.72</v>
      </c>
      <c r="G34" s="158">
        <f t="shared" si="0"/>
        <v>76.989999999999995</v>
      </c>
      <c r="H34" s="158">
        <f t="shared" si="1"/>
        <v>170.2</v>
      </c>
      <c r="I34" s="160"/>
      <c r="J34" s="160"/>
      <c r="K34" s="161"/>
    </row>
    <row r="35" spans="2:12">
      <c r="B35" s="155">
        <f>B34+1</f>
        <v>2037</v>
      </c>
      <c r="C35" s="159"/>
      <c r="D35" s="162">
        <f>ROUND(D34*(1+$J$140),2)</f>
        <v>94.98</v>
      </c>
      <c r="E35" s="162">
        <f>ROUND(E34*(1+$J$140),2)</f>
        <v>48.98</v>
      </c>
      <c r="F35" s="162">
        <f>ROUND(F34*(1+$J$140),2)</f>
        <v>16.02</v>
      </c>
      <c r="G35" s="158">
        <f t="shared" si="0"/>
        <v>78.45</v>
      </c>
      <c r="H35" s="158">
        <f>ROUND(D35+G35,2)</f>
        <v>173.43</v>
      </c>
      <c r="I35" s="160"/>
      <c r="J35" s="160"/>
      <c r="K35" s="161"/>
    </row>
    <row r="36" spans="2:12">
      <c r="B36" s="155">
        <f t="shared" ref="B36" si="3">B35+1</f>
        <v>2038</v>
      </c>
      <c r="C36" s="159"/>
      <c r="D36" s="162">
        <f>ROUND(D35*(1+$J$141),2)</f>
        <v>96.78</v>
      </c>
      <c r="E36" s="162">
        <f>ROUND(E35*(1+$J$141),2)</f>
        <v>49.91</v>
      </c>
      <c r="F36" s="162">
        <f>ROUND(F35*(1+$J$141),2)</f>
        <v>16.32</v>
      </c>
      <c r="G36" s="158">
        <f t="shared" si="0"/>
        <v>79.930000000000007</v>
      </c>
      <c r="H36" s="158">
        <f t="shared" ref="H36" si="4">ROUND(D36+G36,2)</f>
        <v>176.71</v>
      </c>
      <c r="I36" s="160"/>
      <c r="J36" s="160"/>
      <c r="K36" s="161"/>
    </row>
    <row r="37" spans="2:12" ht="6" customHeight="1">
      <c r="B37" s="163"/>
      <c r="C37" s="164"/>
      <c r="D37" s="165"/>
      <c r="E37" s="162"/>
      <c r="F37" s="162"/>
      <c r="G37" s="162"/>
      <c r="H37" s="162"/>
      <c r="I37" s="160"/>
      <c r="J37" s="160"/>
      <c r="K37" s="166"/>
    </row>
    <row r="38" spans="2:12">
      <c r="B38" s="85" t="str">
        <f>B96</f>
        <v>Source: (a)(c)(d)</v>
      </c>
      <c r="C38" s="85"/>
      <c r="D38" s="85" t="str">
        <f>D96</f>
        <v>Plant Costs  - 2013 IRP - Table 6.1 &amp; 6.2</v>
      </c>
      <c r="E38" s="85"/>
      <c r="F38" s="85"/>
      <c r="G38" s="85"/>
      <c r="H38" s="85"/>
      <c r="I38" s="85"/>
      <c r="J38" s="85"/>
      <c r="K38" s="85"/>
      <c r="L38" s="85"/>
    </row>
    <row r="39" spans="2:12">
      <c r="B39" s="85"/>
      <c r="C39" s="167" t="str">
        <f>D7</f>
        <v>(b)</v>
      </c>
      <c r="D39" s="168" t="str">
        <f>"= "&amp;C7&amp;" x "&amp;C50&amp;D50</f>
        <v>= (a) x 0.07954  Payment Factor</v>
      </c>
      <c r="E39" s="85"/>
      <c r="F39" s="85"/>
      <c r="G39" s="85"/>
      <c r="H39" s="85"/>
      <c r="I39" s="85"/>
      <c r="J39" s="85"/>
      <c r="K39" s="85"/>
      <c r="L39" s="85"/>
    </row>
    <row r="40" spans="2:12">
      <c r="B40" s="85"/>
      <c r="C40" s="167" t="str">
        <f>G7</f>
        <v>(e)</v>
      </c>
      <c r="D40" s="168" t="str">
        <f>"= "&amp;$F$7&amp;" x  (8.76 x "&amp;TEXT(C51,"?%")&amp;" ) + "&amp;$E$7</f>
        <v>= (d) x  (8.76 x 21% ) + (c)</v>
      </c>
      <c r="E40" s="85"/>
      <c r="F40" s="85"/>
      <c r="G40" s="85"/>
      <c r="H40" s="85"/>
      <c r="I40" s="85"/>
      <c r="J40" s="85"/>
      <c r="K40" s="85"/>
      <c r="L40" s="85"/>
    </row>
    <row r="41" spans="2:12">
      <c r="B41" s="85"/>
      <c r="C41" s="167" t="str">
        <f>H7</f>
        <v>(f)</v>
      </c>
      <c r="D41" s="168" t="str">
        <f>"= "&amp;D7&amp;" + "&amp;G7</f>
        <v>= (b) + (e)</v>
      </c>
      <c r="E41" s="85"/>
      <c r="F41" s="85"/>
      <c r="G41" s="85"/>
      <c r="H41" s="85"/>
      <c r="I41" s="85"/>
      <c r="J41" s="85"/>
      <c r="K41" s="85"/>
      <c r="L41" s="85"/>
    </row>
    <row r="42" spans="2:12" ht="6" customHeight="1" thickBot="1">
      <c r="B42" s="85"/>
      <c r="C42" s="167"/>
      <c r="D42" s="168"/>
      <c r="E42" s="85"/>
      <c r="F42" s="85"/>
      <c r="G42" s="85"/>
      <c r="H42" s="85"/>
      <c r="I42" s="85"/>
      <c r="J42" s="85"/>
      <c r="K42" s="85"/>
      <c r="L42" s="85"/>
    </row>
    <row r="43" spans="2:12" ht="13.5" thickBot="1">
      <c r="B43" s="85"/>
      <c r="C43" s="32" t="s">
        <v>190</v>
      </c>
      <c r="D43" s="33"/>
      <c r="E43" s="34"/>
      <c r="F43" s="33"/>
      <c r="G43" s="33"/>
      <c r="H43" s="33"/>
      <c r="I43" s="33"/>
      <c r="J43" s="35"/>
      <c r="K43" s="36"/>
    </row>
    <row r="44" spans="2:12">
      <c r="B44" s="85"/>
      <c r="C44" s="85">
        <v>181</v>
      </c>
      <c r="D44" s="66" t="s">
        <v>192</v>
      </c>
      <c r="E44" s="85"/>
      <c r="J44" s="85"/>
      <c r="K44" s="85"/>
    </row>
    <row r="45" spans="2:12">
      <c r="B45" s="85"/>
      <c r="C45" s="74">
        <f>761.56</f>
        <v>761.56</v>
      </c>
      <c r="D45" s="66" t="s">
        <v>191</v>
      </c>
      <c r="E45" s="169"/>
      <c r="F45" s="19"/>
      <c r="G45" s="20"/>
      <c r="H45" s="85"/>
      <c r="I45" s="85"/>
      <c r="J45" s="85"/>
      <c r="K45" s="85"/>
    </row>
    <row r="46" spans="2:12">
      <c r="B46" s="85"/>
      <c r="C46" s="75">
        <f>8.67+0.12</f>
        <v>8.7899999999999991</v>
      </c>
      <c r="D46" s="72" t="str">
        <f>E121</f>
        <v xml:space="preserve">  Fixed O&amp;M &amp; Capitalized O&amp;M</v>
      </c>
      <c r="E46" s="169"/>
      <c r="F46" s="19"/>
      <c r="G46" s="20"/>
      <c r="H46" s="85"/>
      <c r="I46" s="85"/>
      <c r="J46" s="85"/>
      <c r="K46" s="85"/>
    </row>
    <row r="47" spans="2:12">
      <c r="B47" s="85"/>
      <c r="C47" s="44">
        <v>22.43</v>
      </c>
      <c r="D47" s="72" t="str">
        <f t="shared" ref="D47:D49" si="5">E122</f>
        <v xml:space="preserve">  Fixed Pipeline</v>
      </c>
      <c r="E47" s="169"/>
      <c r="F47" s="19"/>
      <c r="G47" s="20"/>
      <c r="H47" s="85"/>
      <c r="I47" s="85"/>
      <c r="J47" s="85"/>
      <c r="K47" s="85"/>
    </row>
    <row r="48" spans="2:12">
      <c r="B48" s="85"/>
      <c r="C48" s="75">
        <f>C46+C47</f>
        <v>31.22</v>
      </c>
      <c r="D48" s="72" t="str">
        <f t="shared" si="5"/>
        <v xml:space="preserve">  Fixed O&amp;M Including Fixed Pipeline &amp; Capitalized O&amp;M ($/kW-Yr)</v>
      </c>
      <c r="E48" s="169"/>
      <c r="F48" s="19"/>
      <c r="G48" s="20"/>
      <c r="H48" s="85"/>
      <c r="I48" s="85"/>
      <c r="J48" s="85"/>
      <c r="K48" s="85"/>
    </row>
    <row r="49" spans="2:12">
      <c r="B49" s="85"/>
      <c r="C49" s="75">
        <f>9.48+0.74</f>
        <v>10.220000000000001</v>
      </c>
      <c r="D49" s="72" t="str">
        <f t="shared" si="5"/>
        <v xml:space="preserve">  Variable O&amp;M Costs &amp; Capitalized Variable O&amp;M ($/MWh)</v>
      </c>
      <c r="E49" s="169"/>
      <c r="F49" s="19"/>
      <c r="G49" s="20"/>
      <c r="H49" s="85"/>
      <c r="I49" s="85"/>
      <c r="J49" s="85"/>
      <c r="K49" s="85"/>
    </row>
    <row r="50" spans="2:12">
      <c r="B50" s="85"/>
      <c r="C50" s="238">
        <v>7.954E-2</v>
      </c>
      <c r="D50" s="66" t="s">
        <v>101</v>
      </c>
      <c r="E50" s="85"/>
      <c r="F50" s="85"/>
      <c r="G50" s="85"/>
      <c r="H50" s="85"/>
      <c r="I50" s="85"/>
      <c r="J50" s="85"/>
      <c r="K50" s="85"/>
    </row>
    <row r="51" spans="2:12">
      <c r="B51" s="85"/>
      <c r="C51" s="170">
        <v>0.21</v>
      </c>
      <c r="D51" s="66" t="s">
        <v>102</v>
      </c>
      <c r="E51" s="85"/>
      <c r="F51" s="85"/>
      <c r="G51" s="85"/>
      <c r="H51" s="85"/>
      <c r="I51" s="85"/>
      <c r="J51" s="85"/>
      <c r="K51" s="85"/>
    </row>
    <row r="52" spans="2:12" ht="3.75" customHeight="1">
      <c r="B52" s="85"/>
      <c r="C52" s="85"/>
      <c r="D52" s="171"/>
      <c r="E52" s="172"/>
      <c r="F52" s="173"/>
      <c r="G52" s="85"/>
      <c r="H52" s="85"/>
      <c r="I52" s="85"/>
      <c r="J52" s="85"/>
      <c r="K52" s="85"/>
    </row>
    <row r="53" spans="2:12" ht="15.75">
      <c r="B53" s="24" t="str">
        <f>$B$1</f>
        <v>Table 8</v>
      </c>
      <c r="C53" s="145"/>
      <c r="D53" s="145"/>
      <c r="E53" s="145"/>
      <c r="F53" s="145"/>
      <c r="G53" s="145"/>
      <c r="H53" s="145"/>
      <c r="I53" s="145"/>
      <c r="J53" s="145"/>
      <c r="K53" s="24"/>
    </row>
    <row r="54" spans="2:12" ht="15.75">
      <c r="B54" s="24" t="str">
        <f>B2</f>
        <v>Total Cost of Displaceable Resources</v>
      </c>
      <c r="C54" s="24"/>
      <c r="D54" s="145"/>
      <c r="E54" s="145"/>
      <c r="F54" s="145"/>
      <c r="G54" s="145"/>
      <c r="H54" s="145"/>
      <c r="I54" s="145"/>
      <c r="J54" s="145"/>
      <c r="K54" s="145"/>
    </row>
    <row r="55" spans="2:12" ht="15.75">
      <c r="B55" s="24"/>
      <c r="C55" s="145"/>
      <c r="D55" s="145"/>
      <c r="E55" s="145"/>
      <c r="F55" s="145"/>
      <c r="G55" s="145"/>
      <c r="H55" s="145"/>
      <c r="I55" s="145"/>
      <c r="J55" s="145"/>
      <c r="K55" s="150" t="s">
        <v>103</v>
      </c>
    </row>
    <row r="56" spans="2:12" ht="7.5" customHeigh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3"/>
    </row>
    <row r="57" spans="2:12" ht="51.75" customHeight="1">
      <c r="B57" s="25" t="s">
        <v>3</v>
      </c>
      <c r="C57" s="26" t="s">
        <v>45</v>
      </c>
      <c r="D57" s="26" t="s">
        <v>46</v>
      </c>
      <c r="E57" s="26" t="s">
        <v>47</v>
      </c>
      <c r="F57" s="26" t="s">
        <v>48</v>
      </c>
      <c r="G57" s="26" t="s">
        <v>49</v>
      </c>
      <c r="H57" s="26" t="s">
        <v>50</v>
      </c>
      <c r="I57" s="89" t="s">
        <v>35</v>
      </c>
      <c r="J57" s="89" t="s">
        <v>142</v>
      </c>
      <c r="K57" s="90" t="s">
        <v>143</v>
      </c>
      <c r="L57" s="153"/>
    </row>
    <row r="58" spans="2:12" ht="18.75" customHeight="1">
      <c r="B58" s="27"/>
      <c r="C58" s="28" t="s">
        <v>41</v>
      </c>
      <c r="D58" s="29" t="s">
        <v>42</v>
      </c>
      <c r="E58" s="29" t="s">
        <v>42</v>
      </c>
      <c r="F58" s="29" t="s">
        <v>43</v>
      </c>
      <c r="G58" s="29" t="s">
        <v>42</v>
      </c>
      <c r="H58" s="29" t="s">
        <v>42</v>
      </c>
      <c r="I58" s="91" t="s">
        <v>44</v>
      </c>
      <c r="J58" s="92" t="s">
        <v>144</v>
      </c>
      <c r="K58" s="92" t="s">
        <v>144</v>
      </c>
      <c r="L58" s="153"/>
    </row>
    <row r="59" spans="2:12">
      <c r="C59" s="30" t="s">
        <v>23</v>
      </c>
      <c r="D59" s="30" t="s">
        <v>24</v>
      </c>
      <c r="E59" s="30" t="s">
        <v>25</v>
      </c>
      <c r="F59" s="30" t="s">
        <v>26</v>
      </c>
      <c r="G59" s="30" t="s">
        <v>27</v>
      </c>
      <c r="H59" s="30" t="s">
        <v>34</v>
      </c>
      <c r="I59" s="22" t="s">
        <v>145</v>
      </c>
      <c r="J59" s="22" t="s">
        <v>146</v>
      </c>
      <c r="K59" s="22" t="s">
        <v>147</v>
      </c>
    </row>
    <row r="60" spans="2:12" ht="6" customHeight="1">
      <c r="I60" s="152"/>
      <c r="J60" s="152"/>
      <c r="K60" s="152"/>
    </row>
    <row r="61" spans="2:12" ht="15.75">
      <c r="B61" s="31" t="str">
        <f>C104</f>
        <v>CCCT Dry "J", Adv 1x1 - East Side Resource (5,050')</v>
      </c>
      <c r="C61" s="153"/>
      <c r="E61" s="153"/>
      <c r="F61" s="153"/>
      <c r="G61" s="153"/>
      <c r="H61" s="153"/>
      <c r="I61" s="152"/>
      <c r="J61" s="152"/>
      <c r="K61" s="152"/>
      <c r="L61" s="153"/>
    </row>
    <row r="62" spans="2:12">
      <c r="B62" s="155">
        <v>2012</v>
      </c>
      <c r="C62" s="156">
        <f>H110</f>
        <v>1015</v>
      </c>
      <c r="D62" s="157">
        <f>C62*$C$126</f>
        <v>80.042900000000003</v>
      </c>
      <c r="E62" s="174">
        <f>I110</f>
        <v>24.78</v>
      </c>
      <c r="F62" s="174">
        <f>J115</f>
        <v>2.64</v>
      </c>
      <c r="G62" s="162">
        <f t="shared" ref="G62:G88" si="6">ROUND(F62*(8.76*$G$115)+E62,2)</f>
        <v>36.78</v>
      </c>
      <c r="H62" s="162">
        <f t="shared" ref="H62:H72" si="7">ROUND(D62+G62,2)</f>
        <v>116.82</v>
      </c>
      <c r="I62" s="152"/>
      <c r="J62" s="152"/>
      <c r="K62" s="152"/>
    </row>
    <row r="63" spans="2:12">
      <c r="B63" s="155">
        <f t="shared" ref="B63:B88" si="8">B62+1</f>
        <v>2013</v>
      </c>
      <c r="C63" s="159"/>
      <c r="D63" s="157">
        <f>ROUND(D62*(1+$D$134),2)</f>
        <v>81.16</v>
      </c>
      <c r="E63" s="157">
        <f>ROUND(E62*(1+$D$134),2)</f>
        <v>25.13</v>
      </c>
      <c r="F63" s="157">
        <f>ROUND(F62*(1+$D$134),2)</f>
        <v>2.68</v>
      </c>
      <c r="G63" s="158">
        <f t="shared" si="6"/>
        <v>37.31</v>
      </c>
      <c r="H63" s="162">
        <f t="shared" si="7"/>
        <v>118.47</v>
      </c>
      <c r="I63" s="152"/>
      <c r="J63" s="152"/>
      <c r="K63" s="152"/>
    </row>
    <row r="64" spans="2:12" s="153" customFormat="1">
      <c r="B64" s="163">
        <f t="shared" si="8"/>
        <v>2014</v>
      </c>
      <c r="C64" s="164"/>
      <c r="D64" s="158">
        <f>ROUND(D63*(1+$D$135),2)</f>
        <v>82.54</v>
      </c>
      <c r="E64" s="158">
        <f>ROUND(E63*(1+$D$135),2)</f>
        <v>25.56</v>
      </c>
      <c r="F64" s="158">
        <f>ROUND(F63*(1+$D$135),2)</f>
        <v>2.73</v>
      </c>
      <c r="G64" s="162">
        <f t="shared" si="6"/>
        <v>37.97</v>
      </c>
      <c r="H64" s="158">
        <f t="shared" si="7"/>
        <v>120.51</v>
      </c>
      <c r="I64" s="152"/>
      <c r="J64" s="152"/>
      <c r="K64" s="152"/>
    </row>
    <row r="65" spans="2:11" s="153" customFormat="1">
      <c r="B65" s="163">
        <f t="shared" si="8"/>
        <v>2015</v>
      </c>
      <c r="C65" s="164"/>
      <c r="D65" s="158">
        <f>ROUND(D64*(1+$D$136),2)</f>
        <v>83.86</v>
      </c>
      <c r="E65" s="158">
        <f>ROUND(E64*(1+$D$136),2)</f>
        <v>25.97</v>
      </c>
      <c r="F65" s="158">
        <f>ROUND(F64*(1+$D$136),2)</f>
        <v>2.77</v>
      </c>
      <c r="G65" s="162">
        <f t="shared" si="6"/>
        <v>38.56</v>
      </c>
      <c r="H65" s="162">
        <f t="shared" si="7"/>
        <v>122.42</v>
      </c>
      <c r="I65" s="152"/>
      <c r="J65" s="152"/>
      <c r="K65" s="152"/>
    </row>
    <row r="66" spans="2:11" s="153" customFormat="1">
      <c r="B66" s="163">
        <f t="shared" si="8"/>
        <v>2016</v>
      </c>
      <c r="C66" s="164"/>
      <c r="D66" s="158">
        <f>ROUND(D65*(1+$D$137),2)</f>
        <v>85.2</v>
      </c>
      <c r="E66" s="158">
        <f>ROUND(E65*(1+$D$137),2)</f>
        <v>26.39</v>
      </c>
      <c r="F66" s="158">
        <f>ROUND(F65*(1+$D$137),2)</f>
        <v>2.81</v>
      </c>
      <c r="G66" s="162">
        <f t="shared" si="6"/>
        <v>39.17</v>
      </c>
      <c r="H66" s="162">
        <f t="shared" si="7"/>
        <v>124.37</v>
      </c>
      <c r="I66" s="152"/>
      <c r="J66" s="152"/>
      <c r="K66" s="152"/>
    </row>
    <row r="67" spans="2:11" s="153" customFormat="1">
      <c r="B67" s="163">
        <f t="shared" si="8"/>
        <v>2017</v>
      </c>
      <c r="C67" s="164"/>
      <c r="D67" s="158">
        <f>ROUND(D66*(1+$D$138),2)</f>
        <v>86.65</v>
      </c>
      <c r="E67" s="158">
        <f>ROUND(E66*(1+$D$138),2)</f>
        <v>26.84</v>
      </c>
      <c r="F67" s="158">
        <f>ROUND(F66*(1+$D$138),2)</f>
        <v>2.86</v>
      </c>
      <c r="G67" s="162">
        <f t="shared" si="6"/>
        <v>39.840000000000003</v>
      </c>
      <c r="H67" s="162">
        <f t="shared" ref="H67:H68" si="9">ROUND(D67+G67,2)</f>
        <v>126.49</v>
      </c>
      <c r="I67" s="152"/>
      <c r="J67" s="152"/>
      <c r="K67" s="152"/>
    </row>
    <row r="68" spans="2:11">
      <c r="B68" s="155">
        <f t="shared" si="8"/>
        <v>2018</v>
      </c>
      <c r="C68" s="159"/>
      <c r="D68" s="157">
        <f>ROUND(D67*(1+$D$139),2)</f>
        <v>88.21</v>
      </c>
      <c r="E68" s="157">
        <f>ROUND(E67*(1+$D$139),2)</f>
        <v>27.32</v>
      </c>
      <c r="F68" s="157">
        <f>ROUND(F67*(1+$D$139),2)</f>
        <v>2.91</v>
      </c>
      <c r="G68" s="162">
        <f t="shared" si="6"/>
        <v>40.549999999999997</v>
      </c>
      <c r="H68" s="162">
        <f t="shared" si="9"/>
        <v>128.76</v>
      </c>
      <c r="I68" s="152"/>
      <c r="J68" s="152"/>
      <c r="K68" s="152"/>
    </row>
    <row r="69" spans="2:11">
      <c r="B69" s="155">
        <f t="shared" si="8"/>
        <v>2019</v>
      </c>
      <c r="C69" s="159"/>
      <c r="D69" s="162">
        <f>ROUND(D68*(1+$D$140),2)</f>
        <v>89.8</v>
      </c>
      <c r="E69" s="162">
        <f>ROUND(E68*(1+$D$140),2)</f>
        <v>27.81</v>
      </c>
      <c r="F69" s="162">
        <f>ROUND(F68*(1+$D$140),2)</f>
        <v>2.96</v>
      </c>
      <c r="G69" s="162">
        <f t="shared" si="6"/>
        <v>41.27</v>
      </c>
      <c r="H69" s="162">
        <f t="shared" si="7"/>
        <v>131.07</v>
      </c>
      <c r="I69" s="152"/>
      <c r="J69" s="152"/>
      <c r="K69" s="152"/>
    </row>
    <row r="70" spans="2:11">
      <c r="B70" s="155">
        <f t="shared" si="8"/>
        <v>2020</v>
      </c>
      <c r="C70" s="159"/>
      <c r="D70" s="162">
        <f>ROUND(D69*(1+$D$141),2)</f>
        <v>91.42</v>
      </c>
      <c r="E70" s="162">
        <f>ROUND(E69*(1+$D$141),2)</f>
        <v>28.31</v>
      </c>
      <c r="F70" s="162">
        <f>ROUND(F69*(1+$D$141),2)</f>
        <v>3.01</v>
      </c>
      <c r="G70" s="162">
        <f t="shared" si="6"/>
        <v>41.99</v>
      </c>
      <c r="H70" s="162">
        <f t="shared" si="7"/>
        <v>133.41</v>
      </c>
      <c r="I70" s="152"/>
      <c r="J70" s="152"/>
      <c r="K70" s="152"/>
    </row>
    <row r="71" spans="2:11">
      <c r="B71" s="155">
        <f t="shared" si="8"/>
        <v>2021</v>
      </c>
      <c r="C71" s="159"/>
      <c r="D71" s="162">
        <f>ROUND(D70*(1+$G$133),2)</f>
        <v>93.07</v>
      </c>
      <c r="E71" s="162">
        <f>ROUND(E70*(1+$G$133),2)</f>
        <v>28.82</v>
      </c>
      <c r="F71" s="162">
        <f>ROUND(F70*(1+$G$133),2)</f>
        <v>3.06</v>
      </c>
      <c r="G71" s="162">
        <f t="shared" si="6"/>
        <v>42.73</v>
      </c>
      <c r="H71" s="162">
        <f t="shared" si="7"/>
        <v>135.80000000000001</v>
      </c>
      <c r="I71" s="152"/>
      <c r="J71" s="152"/>
      <c r="K71" s="152"/>
    </row>
    <row r="72" spans="2:11">
      <c r="B72" s="155">
        <f t="shared" si="8"/>
        <v>2022</v>
      </c>
      <c r="C72" s="159"/>
      <c r="D72" s="162">
        <f>ROUND(D71*(1+$G$134),2)</f>
        <v>94.84</v>
      </c>
      <c r="E72" s="162">
        <f>ROUND(E71*(1+$G$134),2)</f>
        <v>29.37</v>
      </c>
      <c r="F72" s="162">
        <f>ROUND(F71*(1+$G$134),2)</f>
        <v>3.12</v>
      </c>
      <c r="G72" s="162">
        <f t="shared" si="6"/>
        <v>43.55</v>
      </c>
      <c r="H72" s="162">
        <f t="shared" si="7"/>
        <v>138.38999999999999</v>
      </c>
      <c r="I72" s="152"/>
      <c r="J72" s="152"/>
      <c r="K72" s="152"/>
    </row>
    <row r="73" spans="2:11" ht="13.5" thickBot="1">
      <c r="B73" s="175">
        <f t="shared" si="8"/>
        <v>2023</v>
      </c>
      <c r="C73" s="176"/>
      <c r="D73" s="177">
        <f>ROUND(D72*(1+$G$135),2)</f>
        <v>96.64</v>
      </c>
      <c r="E73" s="177">
        <f>ROUND(E72*(1+$G$135),2)</f>
        <v>29.93</v>
      </c>
      <c r="F73" s="177">
        <f>ROUND(F72*(1+$G$135),2)</f>
        <v>3.18</v>
      </c>
      <c r="G73" s="178">
        <f t="shared" si="6"/>
        <v>44.39</v>
      </c>
      <c r="H73" s="178">
        <f t="shared" ref="H73:H87" si="10">ROUND(D73+G73,2)</f>
        <v>141.03</v>
      </c>
      <c r="I73" s="94"/>
      <c r="J73" s="94"/>
      <c r="K73" s="94"/>
    </row>
    <row r="74" spans="2:11">
      <c r="B74" s="155">
        <f t="shared" si="8"/>
        <v>2024</v>
      </c>
      <c r="C74" s="159"/>
      <c r="D74" s="157">
        <f>ROUND(D73*(1+$G$136),2)</f>
        <v>98.48</v>
      </c>
      <c r="E74" s="157">
        <f>ROUND(E73*(1+$G$136),2)</f>
        <v>30.5</v>
      </c>
      <c r="F74" s="157">
        <f>ROUND(F73*(1+$G$136),2)</f>
        <v>3.24</v>
      </c>
      <c r="G74" s="162">
        <f t="shared" si="6"/>
        <v>45.23</v>
      </c>
      <c r="H74" s="162">
        <f t="shared" si="10"/>
        <v>143.71</v>
      </c>
      <c r="I74" s="93">
        <f>VLOOKUP(B74,'Table 9'!$B$10:$C$35,2,FALSE)</f>
        <v>6.23</v>
      </c>
      <c r="J74" s="93">
        <f t="shared" ref="J74:J87" si="11">ROUND($K$115*I74/1000,2)</f>
        <v>40.869999999999997</v>
      </c>
      <c r="K74" s="93">
        <f t="shared" ref="K74:K87" si="12">ROUND(H74*1000/8760/$G$115+J74,2)</f>
        <v>72.48</v>
      </c>
    </row>
    <row r="75" spans="2:11">
      <c r="B75" s="155">
        <f t="shared" si="8"/>
        <v>2025</v>
      </c>
      <c r="C75" s="159"/>
      <c r="D75" s="157">
        <f>ROUND(D74*(1+$G$137),2)</f>
        <v>100.35</v>
      </c>
      <c r="E75" s="157">
        <f>ROUND(E74*(1+$G$137),2)</f>
        <v>31.08</v>
      </c>
      <c r="F75" s="157">
        <f>ROUND(F74*(1+$G$137),2)</f>
        <v>3.3</v>
      </c>
      <c r="G75" s="162">
        <f t="shared" si="6"/>
        <v>46.08</v>
      </c>
      <c r="H75" s="162">
        <f t="shared" si="10"/>
        <v>146.43</v>
      </c>
      <c r="I75" s="93">
        <f>VLOOKUP(B75,'Table 9'!$B$10:$C$35,2,FALSE)</f>
        <v>6.23</v>
      </c>
      <c r="J75" s="93">
        <f t="shared" si="11"/>
        <v>40.869999999999997</v>
      </c>
      <c r="K75" s="93">
        <f t="shared" si="12"/>
        <v>73.08</v>
      </c>
    </row>
    <row r="76" spans="2:11">
      <c r="B76" s="155">
        <f t="shared" si="8"/>
        <v>2026</v>
      </c>
      <c r="C76" s="159"/>
      <c r="D76" s="162">
        <f>ROUND(D75*(1+$G$138),2)</f>
        <v>102.26</v>
      </c>
      <c r="E76" s="162">
        <f>ROUND(E75*(1+$G$138),2)</f>
        <v>31.67</v>
      </c>
      <c r="F76" s="162">
        <f>ROUND(F75*(1+$G$138),2)</f>
        <v>3.36</v>
      </c>
      <c r="G76" s="162">
        <f t="shared" si="6"/>
        <v>46.95</v>
      </c>
      <c r="H76" s="162">
        <f t="shared" si="10"/>
        <v>149.21</v>
      </c>
      <c r="I76" s="93">
        <f>VLOOKUP(B76,'Table 9'!$B$10:$C$35,2,FALSE)</f>
        <v>6.43</v>
      </c>
      <c r="J76" s="93">
        <f t="shared" si="11"/>
        <v>42.18</v>
      </c>
      <c r="K76" s="93">
        <f t="shared" si="12"/>
        <v>75</v>
      </c>
    </row>
    <row r="77" spans="2:11">
      <c r="B77" s="155">
        <f t="shared" si="8"/>
        <v>2027</v>
      </c>
      <c r="C77" s="159"/>
      <c r="D77" s="162">
        <f>ROUND(D76*(1+$G$139),2)</f>
        <v>104.1</v>
      </c>
      <c r="E77" s="162">
        <f>ROUND(E76*(1+$G$139),2)</f>
        <v>32.24</v>
      </c>
      <c r="F77" s="162">
        <f>ROUND(F76*(1+$G$139),2)</f>
        <v>3.42</v>
      </c>
      <c r="G77" s="162">
        <f t="shared" si="6"/>
        <v>47.79</v>
      </c>
      <c r="H77" s="162">
        <f t="shared" si="10"/>
        <v>151.88999999999999</v>
      </c>
      <c r="I77" s="93">
        <f>VLOOKUP(B77,'Table 9'!$B$10:$C$35,2,FALSE)</f>
        <v>6.42</v>
      </c>
      <c r="J77" s="93">
        <f t="shared" si="11"/>
        <v>42.12</v>
      </c>
      <c r="K77" s="93">
        <f t="shared" si="12"/>
        <v>75.53</v>
      </c>
    </row>
    <row r="78" spans="2:11">
      <c r="B78" s="155">
        <f t="shared" si="8"/>
        <v>2028</v>
      </c>
      <c r="C78" s="159"/>
      <c r="D78" s="162">
        <f>ROUND(D77*(1+$G$140),2)</f>
        <v>105.97</v>
      </c>
      <c r="E78" s="162">
        <f>ROUND(E77*(1+$G$140),2)</f>
        <v>32.82</v>
      </c>
      <c r="F78" s="162">
        <f>ROUND(F77*(1+$G$140),2)</f>
        <v>3.48</v>
      </c>
      <c r="G78" s="162">
        <f t="shared" si="6"/>
        <v>48.64</v>
      </c>
      <c r="H78" s="162">
        <f t="shared" si="10"/>
        <v>154.61000000000001</v>
      </c>
      <c r="I78" s="93">
        <f>VLOOKUP(B78,'Table 9'!$B$10:$C$35,2,FALSE)</f>
        <v>6.66</v>
      </c>
      <c r="J78" s="93">
        <f t="shared" si="11"/>
        <v>43.69</v>
      </c>
      <c r="K78" s="93">
        <f t="shared" si="12"/>
        <v>77.7</v>
      </c>
    </row>
    <row r="79" spans="2:11">
      <c r="B79" s="155">
        <f t="shared" si="8"/>
        <v>2029</v>
      </c>
      <c r="C79" s="159"/>
      <c r="D79" s="162">
        <f>ROUND(D78*(1+$G$141),2)</f>
        <v>107.98</v>
      </c>
      <c r="E79" s="162">
        <f>ROUND(E78*(1+$G$141),2)</f>
        <v>33.44</v>
      </c>
      <c r="F79" s="162">
        <f>ROUND(F78*(1+$G$141),2)</f>
        <v>3.55</v>
      </c>
      <c r="G79" s="162">
        <f t="shared" si="6"/>
        <v>49.58</v>
      </c>
      <c r="H79" s="162">
        <f t="shared" si="10"/>
        <v>157.56</v>
      </c>
      <c r="I79" s="93">
        <f>VLOOKUP(B79,'Table 9'!$B$10:$C$35,2,FALSE)</f>
        <v>6.86</v>
      </c>
      <c r="J79" s="93">
        <f t="shared" si="11"/>
        <v>45</v>
      </c>
      <c r="K79" s="93">
        <f t="shared" si="12"/>
        <v>79.66</v>
      </c>
    </row>
    <row r="80" spans="2:11">
      <c r="B80" s="155">
        <f t="shared" si="8"/>
        <v>2030</v>
      </c>
      <c r="C80" s="159"/>
      <c r="D80" s="162">
        <f>ROUND(D79*(1+$J$133),2)</f>
        <v>110.03</v>
      </c>
      <c r="E80" s="162">
        <f>ROUND(E79*(1+$J$133),2)</f>
        <v>34.08</v>
      </c>
      <c r="F80" s="162">
        <f>ROUND(F79*(1+$J$133),2)</f>
        <v>3.62</v>
      </c>
      <c r="G80" s="162">
        <f t="shared" si="6"/>
        <v>50.54</v>
      </c>
      <c r="H80" s="162">
        <f t="shared" si="10"/>
        <v>160.57</v>
      </c>
      <c r="I80" s="93">
        <f>VLOOKUP(B80,'Table 9'!$B$10:$C$35,2,FALSE)</f>
        <v>6.91</v>
      </c>
      <c r="J80" s="93">
        <f t="shared" si="11"/>
        <v>45.33</v>
      </c>
      <c r="K80" s="93">
        <f t="shared" si="12"/>
        <v>80.650000000000006</v>
      </c>
    </row>
    <row r="81" spans="2:15">
      <c r="B81" s="155">
        <f t="shared" si="8"/>
        <v>2031</v>
      </c>
      <c r="C81" s="159"/>
      <c r="D81" s="162">
        <f>ROUND(D80*(1+$J$134),2)</f>
        <v>112.12</v>
      </c>
      <c r="E81" s="162">
        <f>ROUND(E80*(1+$J$134),2)</f>
        <v>34.729999999999997</v>
      </c>
      <c r="F81" s="162">
        <f>ROUND(F80*(1+$J$134),2)</f>
        <v>3.69</v>
      </c>
      <c r="G81" s="162">
        <f t="shared" si="6"/>
        <v>51.51</v>
      </c>
      <c r="H81" s="162">
        <f t="shared" si="10"/>
        <v>163.63</v>
      </c>
      <c r="I81" s="93">
        <f>VLOOKUP(B81,'Table 9'!$B$10:$C$35,2,FALSE)</f>
        <v>6.97</v>
      </c>
      <c r="J81" s="93">
        <f t="shared" si="11"/>
        <v>45.72</v>
      </c>
      <c r="K81" s="93">
        <f t="shared" si="12"/>
        <v>81.709999999999994</v>
      </c>
    </row>
    <row r="82" spans="2:15">
      <c r="B82" s="155">
        <f t="shared" si="8"/>
        <v>2032</v>
      </c>
      <c r="C82" s="159"/>
      <c r="D82" s="162">
        <f>ROUND(D81*(1+$J$135),2)</f>
        <v>114.25</v>
      </c>
      <c r="E82" s="162">
        <f>ROUND(E81*(1+$J$135),2)</f>
        <v>35.39</v>
      </c>
      <c r="F82" s="162">
        <f>ROUND(F81*(1+$J$135),2)</f>
        <v>3.76</v>
      </c>
      <c r="G82" s="162">
        <f t="shared" si="6"/>
        <v>52.48</v>
      </c>
      <c r="H82" s="162">
        <f t="shared" si="10"/>
        <v>166.73</v>
      </c>
      <c r="I82" s="93">
        <f>VLOOKUP(B82,'Table 9'!$B$10:$C$35,2,FALSE)</f>
        <v>7.1</v>
      </c>
      <c r="J82" s="93">
        <f t="shared" si="11"/>
        <v>46.58</v>
      </c>
      <c r="K82" s="93">
        <f t="shared" si="12"/>
        <v>83.25</v>
      </c>
    </row>
    <row r="83" spans="2:15">
      <c r="B83" s="155">
        <f t="shared" si="8"/>
        <v>2033</v>
      </c>
      <c r="C83" s="159"/>
      <c r="D83" s="162">
        <f>ROUND(D82*(1+$J$136),2)</f>
        <v>116.42</v>
      </c>
      <c r="E83" s="162">
        <f>ROUND(E82*(1+$J$136),2)</f>
        <v>36.06</v>
      </c>
      <c r="F83" s="162">
        <f>ROUND(F82*(1+$J$136),2)</f>
        <v>3.83</v>
      </c>
      <c r="G83" s="162">
        <f t="shared" si="6"/>
        <v>53.47</v>
      </c>
      <c r="H83" s="162">
        <f t="shared" si="10"/>
        <v>169.89</v>
      </c>
      <c r="I83" s="93">
        <f>VLOOKUP(B83,'Table 9'!$B$10:$C$35,2,FALSE)</f>
        <v>7.24</v>
      </c>
      <c r="J83" s="93">
        <f t="shared" si="11"/>
        <v>47.49</v>
      </c>
      <c r="K83" s="93">
        <f t="shared" si="12"/>
        <v>84.86</v>
      </c>
    </row>
    <row r="84" spans="2:15">
      <c r="B84" s="155">
        <f t="shared" si="8"/>
        <v>2034</v>
      </c>
      <c r="C84" s="159"/>
      <c r="D84" s="162">
        <f>ROUND(D83*(1+$J$137),2)</f>
        <v>118.63</v>
      </c>
      <c r="E84" s="162">
        <f>ROUND(E83*(1+$J$137),2)</f>
        <v>36.75</v>
      </c>
      <c r="F84" s="162">
        <f>ROUND(F83*(1+$J$137),2)</f>
        <v>3.9</v>
      </c>
      <c r="G84" s="162">
        <f t="shared" si="6"/>
        <v>54.48</v>
      </c>
      <c r="H84" s="162">
        <f t="shared" si="10"/>
        <v>173.11</v>
      </c>
      <c r="I84" s="93">
        <f>VLOOKUP(B84,'Table 9'!$B$10:$C$35,2,FALSE)</f>
        <v>7.37</v>
      </c>
      <c r="J84" s="93">
        <f t="shared" si="11"/>
        <v>48.35</v>
      </c>
      <c r="K84" s="93">
        <f t="shared" si="12"/>
        <v>86.43</v>
      </c>
    </row>
    <row r="85" spans="2:15">
      <c r="B85" s="155">
        <f t="shared" si="8"/>
        <v>2035</v>
      </c>
      <c r="C85" s="159"/>
      <c r="D85" s="162">
        <f>ROUND(D84*(1+$J$138),2)</f>
        <v>120.88</v>
      </c>
      <c r="E85" s="162">
        <f>ROUND(E84*(1+$J$138),2)</f>
        <v>37.450000000000003</v>
      </c>
      <c r="F85" s="162">
        <f>ROUND(F84*(1+$J$138),2)</f>
        <v>3.97</v>
      </c>
      <c r="G85" s="162">
        <f t="shared" si="6"/>
        <v>55.5</v>
      </c>
      <c r="H85" s="162">
        <f t="shared" si="10"/>
        <v>176.38</v>
      </c>
      <c r="I85" s="93">
        <f>VLOOKUP(B85,'Table 9'!$B$10:$C$35,2,FALSE)</f>
        <v>7.51</v>
      </c>
      <c r="J85" s="93">
        <f t="shared" si="11"/>
        <v>49.27</v>
      </c>
      <c r="K85" s="93">
        <f t="shared" si="12"/>
        <v>88.07</v>
      </c>
    </row>
    <row r="86" spans="2:15">
      <c r="B86" s="155">
        <f t="shared" si="8"/>
        <v>2036</v>
      </c>
      <c r="C86" s="159"/>
      <c r="D86" s="162">
        <f>ROUND(D85*(1+$J$139),2)</f>
        <v>123.18</v>
      </c>
      <c r="E86" s="162">
        <f>ROUND(E85*(1+$J$139),2)</f>
        <v>38.159999999999997</v>
      </c>
      <c r="F86" s="162">
        <f>ROUND(F85*(1+$J$139),2)</f>
        <v>4.05</v>
      </c>
      <c r="G86" s="162">
        <f t="shared" si="6"/>
        <v>56.57</v>
      </c>
      <c r="H86" s="162">
        <f t="shared" si="10"/>
        <v>179.75</v>
      </c>
      <c r="I86" s="93">
        <f>VLOOKUP(B86,'Table 9'!$B$10:$C$35,2,FALSE)</f>
        <v>7.66</v>
      </c>
      <c r="J86" s="93">
        <f t="shared" si="11"/>
        <v>50.25</v>
      </c>
      <c r="K86" s="93">
        <f t="shared" si="12"/>
        <v>89.79</v>
      </c>
    </row>
    <row r="87" spans="2:15">
      <c r="B87" s="155">
        <f t="shared" si="8"/>
        <v>2037</v>
      </c>
      <c r="C87" s="159"/>
      <c r="D87" s="162">
        <f>ROUND(D86*(1+$J$140),2)</f>
        <v>125.52</v>
      </c>
      <c r="E87" s="162">
        <f>ROUND(E86*(1+$J$140),2)</f>
        <v>38.89</v>
      </c>
      <c r="F87" s="162">
        <f>ROUND(F86*(1+$J$140),2)</f>
        <v>4.13</v>
      </c>
      <c r="G87" s="162">
        <f t="shared" si="6"/>
        <v>57.67</v>
      </c>
      <c r="H87" s="162">
        <f t="shared" si="10"/>
        <v>183.19</v>
      </c>
      <c r="I87" s="93">
        <f>VLOOKUP(B87,'Table 9'!$B$10:$C$35,2,FALSE)</f>
        <v>7.8</v>
      </c>
      <c r="J87" s="93">
        <f t="shared" si="11"/>
        <v>51.17</v>
      </c>
      <c r="K87" s="93">
        <f t="shared" si="12"/>
        <v>91.46</v>
      </c>
    </row>
    <row r="88" spans="2:15">
      <c r="B88" s="155">
        <f t="shared" si="8"/>
        <v>2038</v>
      </c>
      <c r="C88" s="159"/>
      <c r="D88" s="162">
        <f>ROUND(D87*(1+$J$141),2)</f>
        <v>127.9</v>
      </c>
      <c r="E88" s="162">
        <f>ROUND(E87*(1+$J$141),2)</f>
        <v>39.630000000000003</v>
      </c>
      <c r="F88" s="162">
        <f>ROUND(F87*(1+$J$141),2)</f>
        <v>4.21</v>
      </c>
      <c r="G88" s="162">
        <f t="shared" si="6"/>
        <v>58.77</v>
      </c>
      <c r="H88" s="162">
        <f t="shared" ref="H88" si="13">ROUND(D88+G88,2)</f>
        <v>186.67</v>
      </c>
      <c r="I88" s="93">
        <f>VLOOKUP(B88,'Table 9'!$B$10:$C$35,2,FALSE)</f>
        <v>7.96</v>
      </c>
      <c r="J88" s="93">
        <f t="shared" ref="J88" si="14">ROUND($K$115*I88/1000,2)</f>
        <v>52.22</v>
      </c>
      <c r="K88" s="93">
        <f t="shared" ref="K88" si="15">ROUND(H88*1000/8760/$G$115+J88,2)</f>
        <v>93.28</v>
      </c>
    </row>
    <row r="89" spans="2:15">
      <c r="M89" s="155"/>
      <c r="O89" s="179"/>
    </row>
    <row r="90" spans="2:15" ht="15.75">
      <c r="B90" s="24" t="str">
        <f>$B$53</f>
        <v>Table 8</v>
      </c>
      <c r="C90" s="145"/>
      <c r="D90" s="145"/>
      <c r="E90" s="145"/>
      <c r="F90" s="145"/>
      <c r="G90" s="145"/>
      <c r="H90" s="145"/>
      <c r="I90" s="145"/>
      <c r="J90" s="145"/>
      <c r="K90" s="24"/>
      <c r="M90" s="155"/>
      <c r="N90" s="179"/>
      <c r="O90" s="179"/>
    </row>
    <row r="91" spans="2:15" ht="15.75">
      <c r="B91" s="24" t="str">
        <f>B2</f>
        <v>Total Cost of Displaceable Resources</v>
      </c>
      <c r="C91" s="37"/>
      <c r="D91" s="145"/>
      <c r="E91" s="145"/>
      <c r="F91" s="145"/>
      <c r="G91" s="145"/>
      <c r="H91" s="145"/>
      <c r="I91" s="145"/>
      <c r="J91" s="145"/>
      <c r="K91" s="145"/>
      <c r="M91" s="155"/>
      <c r="N91" s="179"/>
      <c r="O91" s="179"/>
    </row>
    <row r="92" spans="2:15" ht="15.75">
      <c r="B92" s="24"/>
      <c r="C92" s="145"/>
      <c r="D92" s="145"/>
      <c r="E92" s="145"/>
      <c r="F92" s="145"/>
      <c r="G92" s="145"/>
      <c r="H92" s="145"/>
      <c r="I92" s="145"/>
      <c r="J92" s="145"/>
      <c r="K92" s="150" t="s">
        <v>104</v>
      </c>
      <c r="M92" s="155"/>
      <c r="N92" s="179"/>
      <c r="O92" s="179"/>
    </row>
    <row r="93" spans="2:15" ht="5.25" customHeight="1"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3"/>
      <c r="M93" s="155"/>
      <c r="N93" s="179"/>
      <c r="O93" s="179"/>
    </row>
    <row r="94" spans="2:15" ht="14.25">
      <c r="B94" s="37" t="s">
        <v>105</v>
      </c>
      <c r="C94" s="38"/>
      <c r="D94" s="38"/>
      <c r="E94" s="38"/>
      <c r="F94" s="38"/>
      <c r="G94" s="38"/>
      <c r="H94" s="38"/>
      <c r="I94" s="38"/>
      <c r="J94" s="38"/>
      <c r="K94" s="38"/>
      <c r="M94" s="155"/>
      <c r="N94" s="179"/>
      <c r="O94" s="179"/>
    </row>
    <row r="96" spans="2:15">
      <c r="B96" s="72" t="s">
        <v>67</v>
      </c>
      <c r="C96" s="72"/>
      <c r="D96" s="85" t="s">
        <v>170</v>
      </c>
      <c r="E96" s="72"/>
      <c r="F96" s="72"/>
      <c r="G96" s="72"/>
      <c r="H96" s="72"/>
      <c r="I96" s="72"/>
    </row>
    <row r="97" spans="3:11">
      <c r="C97" s="180" t="str">
        <f>D59</f>
        <v>(b)</v>
      </c>
      <c r="D97" s="162" t="str">
        <f>"= "&amp;C59&amp;" x "&amp;C126&amp;E126</f>
        <v>= (a) x 0.07886  Payment Factor</v>
      </c>
    </row>
    <row r="98" spans="3:11">
      <c r="C98" s="180" t="str">
        <f>G59</f>
        <v>(e)</v>
      </c>
      <c r="D98" s="162" t="str">
        <f>"= "&amp;$F$59&amp;" x  (8.76 x "&amp;TEXT(G115,"0.0%")&amp;") + "&amp;$E$59</f>
        <v>= (d) x  (8.76 x 51.9%) + (c)</v>
      </c>
    </row>
    <row r="99" spans="3:11">
      <c r="C99" s="180" t="str">
        <f>H59</f>
        <v>(f)</v>
      </c>
      <c r="D99" s="162" t="str">
        <f>"= "&amp;D59&amp;" + "&amp;G59</f>
        <v>= (b) + (e)</v>
      </c>
    </row>
    <row r="100" spans="3:11">
      <c r="C100" s="180" t="str">
        <f>I59</f>
        <v>(g)</v>
      </c>
      <c r="D100" s="181" t="str">
        <f>'Table 9'!B1&amp;" - "&amp;'Table 9'!B2</f>
        <v>Table 9 - Natural Gas Price - Delivered to Plant</v>
      </c>
    </row>
    <row r="101" spans="3:11">
      <c r="C101" s="180" t="str">
        <f>J59</f>
        <v>(h)</v>
      </c>
      <c r="D101" s="162" t="str">
        <f>"= "&amp;TEXT(K115,"?,0")&amp;" MMBtu/MWH x "&amp;I59</f>
        <v>= 6,560 MMBtu/MWH x (g)</v>
      </c>
    </row>
    <row r="102" spans="3:11">
      <c r="C102" s="180" t="str">
        <f>K59</f>
        <v>(i)</v>
      </c>
      <c r="D102" s="182" t="str">
        <f>"= "&amp;H59&amp;" / (8.76 x 'Capacity Factor' ) + "&amp;J59</f>
        <v>= (f) / (8.76 x 'Capacity Factor' ) + (h)</v>
      </c>
    </row>
    <row r="103" spans="3:11" ht="13.5" thickBot="1"/>
    <row r="104" spans="3:11" ht="13.5" thickBot="1">
      <c r="C104" s="32" t="s">
        <v>171</v>
      </c>
      <c r="D104" s="64"/>
      <c r="E104" s="64"/>
      <c r="F104" s="64"/>
      <c r="G104" s="64"/>
      <c r="H104" s="64"/>
      <c r="I104" s="64"/>
      <c r="J104" s="65"/>
      <c r="K104" s="82"/>
    </row>
    <row r="105" spans="3:11" ht="5.25" customHeight="1"/>
    <row r="106" spans="3:11" ht="5.25" customHeight="1"/>
    <row r="107" spans="3:11">
      <c r="C107" s="39" t="s">
        <v>89</v>
      </c>
      <c r="D107" s="40"/>
      <c r="E107" s="39"/>
      <c r="F107" s="41" t="s">
        <v>84</v>
      </c>
      <c r="G107" s="41" t="s">
        <v>88</v>
      </c>
      <c r="H107" s="41" t="s">
        <v>81</v>
      </c>
      <c r="I107" s="41" t="s">
        <v>82</v>
      </c>
    </row>
    <row r="108" spans="3:11">
      <c r="C108" s="66" t="s">
        <v>173</v>
      </c>
      <c r="F108" s="183">
        <f>C119</f>
        <v>380</v>
      </c>
      <c r="G108" s="78">
        <f>F108/F110</f>
        <v>0.89834515366430256</v>
      </c>
      <c r="H108" s="74">
        <f>C120</f>
        <v>1075</v>
      </c>
      <c r="I108" s="75">
        <f>C123</f>
        <v>25.39</v>
      </c>
    </row>
    <row r="109" spans="3:11">
      <c r="C109" s="66" t="s">
        <v>172</v>
      </c>
      <c r="F109" s="42">
        <f>D119</f>
        <v>43</v>
      </c>
      <c r="G109" s="18">
        <f>1-G108</f>
        <v>0.10165484633569744</v>
      </c>
      <c r="H109" s="43">
        <f>D120</f>
        <v>486</v>
      </c>
      <c r="I109" s="44">
        <f>D123</f>
        <v>19.41</v>
      </c>
    </row>
    <row r="110" spans="3:11">
      <c r="C110" s="66" t="s">
        <v>90</v>
      </c>
      <c r="F110" s="183">
        <f>F108+F109</f>
        <v>423</v>
      </c>
      <c r="G110" s="78">
        <f>G108+G109</f>
        <v>1</v>
      </c>
      <c r="H110" s="74">
        <f>ROUND(((F108*H108)+(F109*H109))/F110,0)</f>
        <v>1015</v>
      </c>
      <c r="I110" s="75">
        <f>ROUND(((F108*I108)+(F109*I109))/F110,2)</f>
        <v>24.78</v>
      </c>
    </row>
    <row r="111" spans="3:11">
      <c r="F111" s="183"/>
      <c r="G111" s="78"/>
      <c r="H111" s="74"/>
      <c r="I111" s="75"/>
    </row>
    <row r="112" spans="3:11">
      <c r="C112" s="39" t="s">
        <v>89</v>
      </c>
      <c r="D112" s="40"/>
      <c r="E112" s="39"/>
      <c r="F112" s="41" t="s">
        <v>84</v>
      </c>
      <c r="G112" s="41" t="s">
        <v>91</v>
      </c>
      <c r="H112" s="41" t="s">
        <v>68</v>
      </c>
      <c r="I112" s="41" t="s">
        <v>88</v>
      </c>
      <c r="J112" s="41" t="s">
        <v>106</v>
      </c>
      <c r="K112" s="41" t="s">
        <v>83</v>
      </c>
    </row>
    <row r="113" spans="3:11">
      <c r="C113" s="184" t="str">
        <f>C108</f>
        <v>CCCT Dry "J" - Turbine</v>
      </c>
      <c r="D113" s="184"/>
      <c r="E113" s="184"/>
      <c r="F113" s="66">
        <f>C119</f>
        <v>380</v>
      </c>
      <c r="G113" s="78">
        <f>C127</f>
        <v>0.56000000000000005</v>
      </c>
      <c r="H113" s="66">
        <f>G113*F113</f>
        <v>212.8</v>
      </c>
      <c r="I113" s="78">
        <f>H113/H115</f>
        <v>0.96868171886380194</v>
      </c>
      <c r="J113" s="75">
        <f>C124</f>
        <v>2.72</v>
      </c>
      <c r="K113" s="185">
        <f>C125</f>
        <v>6495</v>
      </c>
    </row>
    <row r="114" spans="3:11">
      <c r="C114" s="184" t="str">
        <f>C109</f>
        <v>CCCT Dry "J" - Duct Firing</v>
      </c>
      <c r="D114" s="184"/>
      <c r="E114" s="184"/>
      <c r="F114" s="45">
        <f>D119</f>
        <v>43</v>
      </c>
      <c r="G114" s="18">
        <f>D127</f>
        <v>0.16</v>
      </c>
      <c r="H114" s="45">
        <f>G114*F114</f>
        <v>6.88</v>
      </c>
      <c r="I114" s="18">
        <f>1-I113</f>
        <v>3.1318281136198056E-2</v>
      </c>
      <c r="J114" s="46">
        <f>D124</f>
        <v>0.08</v>
      </c>
      <c r="K114" s="63">
        <f>D125</f>
        <v>8611</v>
      </c>
    </row>
    <row r="115" spans="3:11">
      <c r="C115" s="66" t="s">
        <v>92</v>
      </c>
      <c r="F115" s="66">
        <f>F113+F114</f>
        <v>423</v>
      </c>
      <c r="G115" s="186">
        <f>ROUND(H115/F115,3)</f>
        <v>0.51900000000000002</v>
      </c>
      <c r="H115" s="66">
        <f>SUM(H113:H114)</f>
        <v>219.68</v>
      </c>
      <c r="I115" s="78">
        <f>I113+I114</f>
        <v>1</v>
      </c>
      <c r="J115" s="75">
        <f>ROUND(($I113*J113)+($I114*J114),2)</f>
        <v>2.64</v>
      </c>
      <c r="K115" s="183">
        <f>ROUND(($I113*K113)+($I114*K114),-1)</f>
        <v>6560</v>
      </c>
    </row>
    <row r="116" spans="3:11">
      <c r="G116" s="186"/>
      <c r="I116" s="78"/>
      <c r="J116" s="75"/>
      <c r="K116" s="47" t="s">
        <v>107</v>
      </c>
    </row>
    <row r="118" spans="3:11">
      <c r="C118" s="69" t="s">
        <v>108</v>
      </c>
      <c r="D118" s="69" t="s">
        <v>109</v>
      </c>
      <c r="E118" s="48" t="str">
        <f>D96</f>
        <v>Plant Costs  - 2013 IRP - Table 6.1 &amp; 6.2</v>
      </c>
      <c r="F118" s="70"/>
      <c r="G118" s="70"/>
      <c r="H118" s="70"/>
      <c r="I118" s="70"/>
      <c r="J118" s="70"/>
      <c r="K118" s="71"/>
    </row>
    <row r="119" spans="3:11">
      <c r="C119" s="72">
        <v>380</v>
      </c>
      <c r="D119" s="72">
        <v>43</v>
      </c>
      <c r="E119" s="72" t="s">
        <v>192</v>
      </c>
      <c r="F119" s="72"/>
      <c r="G119" s="72"/>
      <c r="H119" s="73"/>
      <c r="I119" s="72"/>
      <c r="J119" s="72"/>
      <c r="K119" s="72"/>
    </row>
    <row r="120" spans="3:11">
      <c r="C120" s="74">
        <v>1075</v>
      </c>
      <c r="D120" s="74">
        <v>486</v>
      </c>
      <c r="E120" s="72" t="s">
        <v>194</v>
      </c>
      <c r="F120" s="72"/>
      <c r="G120" s="72"/>
      <c r="H120" s="72"/>
      <c r="I120" s="72"/>
      <c r="J120" s="72"/>
      <c r="K120" s="72"/>
    </row>
    <row r="121" spans="3:11">
      <c r="C121" s="75">
        <f>10.54+0.21</f>
        <v>10.75</v>
      </c>
      <c r="D121" s="75">
        <v>0</v>
      </c>
      <c r="E121" s="72" t="s">
        <v>174</v>
      </c>
      <c r="F121" s="72"/>
      <c r="G121" s="72"/>
      <c r="H121" s="72"/>
      <c r="I121" s="72"/>
      <c r="J121" s="72"/>
      <c r="K121" s="72"/>
    </row>
    <row r="122" spans="3:11">
      <c r="C122" s="44">
        <v>14.64</v>
      </c>
      <c r="D122" s="44">
        <v>19.41</v>
      </c>
      <c r="E122" s="72" t="s">
        <v>141</v>
      </c>
      <c r="F122" s="72"/>
      <c r="G122" s="72"/>
      <c r="H122" s="72"/>
      <c r="I122" s="72"/>
      <c r="J122" s="72"/>
      <c r="K122" s="72"/>
    </row>
    <row r="123" spans="3:11">
      <c r="C123" s="75">
        <f>C121+C122</f>
        <v>25.39</v>
      </c>
      <c r="D123" s="75">
        <f>D121+D122</f>
        <v>19.41</v>
      </c>
      <c r="E123" s="72" t="s">
        <v>193</v>
      </c>
      <c r="F123" s="72"/>
      <c r="G123" s="72"/>
      <c r="H123" s="72"/>
      <c r="I123" s="72"/>
      <c r="J123" s="72"/>
      <c r="K123" s="72"/>
    </row>
    <row r="124" spans="3:11">
      <c r="C124" s="75">
        <f>2.54+0.18</f>
        <v>2.72</v>
      </c>
      <c r="D124" s="75">
        <v>0.08</v>
      </c>
      <c r="E124" s="72" t="s">
        <v>175</v>
      </c>
      <c r="F124" s="72"/>
      <c r="G124" s="72"/>
      <c r="H124" s="72"/>
      <c r="I124" s="72"/>
      <c r="J124" s="72"/>
      <c r="K124" s="72"/>
    </row>
    <row r="125" spans="3:11">
      <c r="C125" s="76">
        <v>6495</v>
      </c>
      <c r="D125" s="76">
        <v>8611</v>
      </c>
      <c r="E125" s="72" t="s">
        <v>133</v>
      </c>
      <c r="F125" s="72"/>
      <c r="G125" s="72"/>
      <c r="H125" s="72"/>
      <c r="I125" s="72"/>
      <c r="J125" s="72"/>
      <c r="K125" s="72"/>
    </row>
    <row r="126" spans="3:11">
      <c r="C126" s="252">
        <v>7.886E-2</v>
      </c>
      <c r="D126" s="252">
        <f>C126</f>
        <v>7.886E-2</v>
      </c>
      <c r="E126" s="72" t="s">
        <v>101</v>
      </c>
      <c r="F126" s="72"/>
      <c r="G126" s="72"/>
      <c r="H126" s="72"/>
      <c r="I126" s="72"/>
      <c r="J126" s="72"/>
      <c r="K126" s="72"/>
    </row>
    <row r="127" spans="3:11">
      <c r="C127" s="77">
        <v>0.56000000000000005</v>
      </c>
      <c r="D127" s="77">
        <v>0.16</v>
      </c>
      <c r="E127" s="72" t="s">
        <v>102</v>
      </c>
      <c r="F127" s="72"/>
      <c r="G127" s="72"/>
      <c r="H127" s="72"/>
      <c r="I127" s="72"/>
      <c r="J127" s="72"/>
      <c r="K127" s="72"/>
    </row>
    <row r="128" spans="3:11">
      <c r="C128" s="72"/>
      <c r="D128" s="78">
        <f>ROUND(H115/F115,3)</f>
        <v>0.51900000000000002</v>
      </c>
      <c r="E128" s="72" t="s">
        <v>134</v>
      </c>
      <c r="F128" s="72"/>
      <c r="G128" s="72"/>
      <c r="H128" s="72"/>
      <c r="I128" s="72"/>
      <c r="J128" s="72"/>
      <c r="K128" s="72"/>
    </row>
    <row r="129" spans="3:15">
      <c r="C129" s="72"/>
      <c r="D129" s="79">
        <f>MIN(1,ROUND(D128/0.57,3))</f>
        <v>0.91100000000000003</v>
      </c>
      <c r="E129" s="80" t="str">
        <f>"  Capacity Factor - On-peak     "&amp;TEXT(D128,"0.0%")&amp;" / 57% (percent of hours on-peak) "</f>
        <v xml:space="preserve">  Capacity Factor - On-peak     51.9% / 57% (percent of hours on-peak) </v>
      </c>
      <c r="F129" s="72"/>
      <c r="G129" s="72"/>
      <c r="H129" s="72"/>
      <c r="I129" s="72"/>
      <c r="J129" s="72"/>
      <c r="K129" s="72"/>
    </row>
    <row r="130" spans="3:15">
      <c r="C130" s="170"/>
      <c r="D130" s="170"/>
    </row>
    <row r="131" spans="3:15" ht="13.5" thickBot="1"/>
    <row r="132" spans="3:15" ht="13.5" thickBot="1">
      <c r="C132" s="81" t="str">
        <f>"Company Official Inflation - "&amp;'Table 9'!B38</f>
        <v>Company Official Inflation - Official Forward Price Curve dated March 2013</v>
      </c>
      <c r="D132" s="64"/>
      <c r="E132" s="64"/>
      <c r="F132" s="64"/>
      <c r="G132" s="64"/>
      <c r="H132" s="64"/>
      <c r="I132" s="64"/>
      <c r="J132" s="65"/>
      <c r="K132" s="82"/>
      <c r="N132" s="66" t="s">
        <v>131</v>
      </c>
    </row>
    <row r="133" spans="3:15">
      <c r="C133" s="83">
        <v>2012</v>
      </c>
      <c r="D133" s="78">
        <v>1.9E-2</v>
      </c>
      <c r="E133" s="72"/>
      <c r="F133" s="83">
        <f>C141+1</f>
        <v>2021</v>
      </c>
      <c r="G133" s="78">
        <v>1.7999999999999999E-2</v>
      </c>
      <c r="H133" s="72"/>
      <c r="I133" s="83">
        <f>F141+1</f>
        <v>2030</v>
      </c>
      <c r="J133" s="78">
        <v>1.9E-2</v>
      </c>
      <c r="K133" s="72"/>
      <c r="N133" s="83">
        <v>2009</v>
      </c>
      <c r="O133" s="78">
        <v>4.0000000000000001E-3</v>
      </c>
    </row>
    <row r="134" spans="3:15">
      <c r="C134" s="83">
        <f>C133+1</f>
        <v>2013</v>
      </c>
      <c r="D134" s="78">
        <v>1.4E-2</v>
      </c>
      <c r="E134" s="72"/>
      <c r="F134" s="83">
        <f t="shared" ref="F134:F141" si="16">F133+1</f>
        <v>2022</v>
      </c>
      <c r="G134" s="78">
        <v>1.9E-2</v>
      </c>
      <c r="H134" s="72"/>
      <c r="I134" s="83">
        <f t="shared" ref="I134:I141" si="17">I133+1</f>
        <v>2031</v>
      </c>
      <c r="J134" s="78">
        <v>1.9E-2</v>
      </c>
      <c r="K134" s="72"/>
      <c r="N134" s="83">
        <f t="shared" ref="N134:N149" si="18">N133+1</f>
        <v>2010</v>
      </c>
      <c r="O134" s="78">
        <v>1.2999999999999999E-2</v>
      </c>
    </row>
    <row r="135" spans="3:15">
      <c r="C135" s="83">
        <f t="shared" ref="C135:C141" si="19">C134+1</f>
        <v>2014</v>
      </c>
      <c r="D135" s="78">
        <v>1.7000000000000001E-2</v>
      </c>
      <c r="E135" s="72"/>
      <c r="F135" s="83">
        <f t="shared" si="16"/>
        <v>2023</v>
      </c>
      <c r="G135" s="78">
        <v>1.9E-2</v>
      </c>
      <c r="H135" s="72"/>
      <c r="I135" s="83">
        <f t="shared" si="17"/>
        <v>2032</v>
      </c>
      <c r="J135" s="78">
        <v>1.9E-2</v>
      </c>
      <c r="K135" s="72"/>
      <c r="N135" s="83">
        <f t="shared" si="18"/>
        <v>2011</v>
      </c>
      <c r="O135" s="78">
        <v>1.7000000000000001E-2</v>
      </c>
    </row>
    <row r="136" spans="3:15">
      <c r="C136" s="83">
        <f t="shared" si="19"/>
        <v>2015</v>
      </c>
      <c r="D136" s="78">
        <v>1.6E-2</v>
      </c>
      <c r="E136" s="72"/>
      <c r="F136" s="83">
        <f t="shared" si="16"/>
        <v>2024</v>
      </c>
      <c r="G136" s="78">
        <v>1.9E-2</v>
      </c>
      <c r="H136" s="72"/>
      <c r="I136" s="83">
        <f t="shared" si="17"/>
        <v>2033</v>
      </c>
      <c r="J136" s="78">
        <v>1.9E-2</v>
      </c>
      <c r="K136" s="72"/>
      <c r="N136" s="83">
        <f t="shared" si="18"/>
        <v>2012</v>
      </c>
      <c r="O136" s="78">
        <v>0.02</v>
      </c>
    </row>
    <row r="137" spans="3:15">
      <c r="C137" s="83">
        <f t="shared" si="19"/>
        <v>2016</v>
      </c>
      <c r="D137" s="78">
        <v>1.6E-2</v>
      </c>
      <c r="E137" s="72"/>
      <c r="F137" s="83">
        <f t="shared" si="16"/>
        <v>2025</v>
      </c>
      <c r="G137" s="78">
        <v>1.9E-2</v>
      </c>
      <c r="H137" s="72"/>
      <c r="I137" s="83">
        <f t="shared" si="17"/>
        <v>2034</v>
      </c>
      <c r="J137" s="78">
        <v>1.9E-2</v>
      </c>
      <c r="K137" s="72"/>
      <c r="N137" s="83">
        <f t="shared" si="18"/>
        <v>2013</v>
      </c>
      <c r="O137" s="78">
        <v>0.02</v>
      </c>
    </row>
    <row r="138" spans="3:15">
      <c r="C138" s="83">
        <f t="shared" si="19"/>
        <v>2017</v>
      </c>
      <c r="D138" s="78">
        <v>1.7000000000000001E-2</v>
      </c>
      <c r="E138" s="72"/>
      <c r="F138" s="83">
        <f t="shared" si="16"/>
        <v>2026</v>
      </c>
      <c r="G138" s="78">
        <v>1.9E-2</v>
      </c>
      <c r="H138" s="72"/>
      <c r="I138" s="83">
        <f t="shared" si="17"/>
        <v>2035</v>
      </c>
      <c r="J138" s="78">
        <v>1.9E-2</v>
      </c>
      <c r="K138" s="72"/>
      <c r="N138" s="83">
        <f t="shared" si="18"/>
        <v>2014</v>
      </c>
      <c r="O138" s="78">
        <v>1.9E-2</v>
      </c>
    </row>
    <row r="139" spans="3:15" s="153" customFormat="1">
      <c r="C139" s="83">
        <f t="shared" si="19"/>
        <v>2018</v>
      </c>
      <c r="D139" s="78">
        <v>1.7999999999999999E-2</v>
      </c>
      <c r="E139" s="84"/>
      <c r="F139" s="83">
        <f t="shared" si="16"/>
        <v>2027</v>
      </c>
      <c r="G139" s="78">
        <v>1.7999999999999999E-2</v>
      </c>
      <c r="H139" s="84"/>
      <c r="I139" s="83">
        <f t="shared" si="17"/>
        <v>2036</v>
      </c>
      <c r="J139" s="78">
        <v>1.9E-2</v>
      </c>
      <c r="K139" s="84"/>
      <c r="N139" s="83">
        <f t="shared" si="18"/>
        <v>2015</v>
      </c>
      <c r="O139" s="78">
        <v>1.9E-2</v>
      </c>
    </row>
    <row r="140" spans="3:15" s="153" customFormat="1">
      <c r="C140" s="83">
        <f t="shared" si="19"/>
        <v>2019</v>
      </c>
      <c r="D140" s="78">
        <v>1.7999999999999999E-2</v>
      </c>
      <c r="E140" s="84"/>
      <c r="F140" s="83">
        <f t="shared" si="16"/>
        <v>2028</v>
      </c>
      <c r="G140" s="78">
        <v>1.7999999999999999E-2</v>
      </c>
      <c r="H140" s="84"/>
      <c r="I140" s="83">
        <f t="shared" si="17"/>
        <v>2037</v>
      </c>
      <c r="J140" s="78">
        <v>1.9E-2</v>
      </c>
      <c r="K140" s="84"/>
      <c r="N140" s="83">
        <f t="shared" si="18"/>
        <v>2016</v>
      </c>
      <c r="O140" s="78">
        <v>1.9E-2</v>
      </c>
    </row>
    <row r="141" spans="3:15" s="153" customFormat="1">
      <c r="C141" s="83">
        <f t="shared" si="19"/>
        <v>2020</v>
      </c>
      <c r="D141" s="78">
        <v>1.7999999999999999E-2</v>
      </c>
      <c r="E141" s="84"/>
      <c r="F141" s="83">
        <f t="shared" si="16"/>
        <v>2029</v>
      </c>
      <c r="G141" s="78">
        <v>1.9E-2</v>
      </c>
      <c r="H141" s="84"/>
      <c r="I141" s="83">
        <f t="shared" si="17"/>
        <v>2038</v>
      </c>
      <c r="J141" s="78">
        <v>1.9E-2</v>
      </c>
      <c r="K141" s="84"/>
      <c r="N141" s="83">
        <f t="shared" si="18"/>
        <v>2017</v>
      </c>
      <c r="O141" s="78">
        <v>1.9E-2</v>
      </c>
    </row>
    <row r="142" spans="3:15" s="153" customFormat="1" hidden="1">
      <c r="C142" s="187"/>
      <c r="D142" s="188">
        <v>9999999.9900000002</v>
      </c>
      <c r="G142" s="188">
        <v>9999999.9900000002</v>
      </c>
      <c r="J142" s="188">
        <v>9999999.9900000002</v>
      </c>
      <c r="N142" s="83">
        <f t="shared" si="18"/>
        <v>2018</v>
      </c>
      <c r="O142" s="78">
        <v>1.9E-2</v>
      </c>
    </row>
    <row r="143" spans="3:15" s="153" customFormat="1" hidden="1">
      <c r="C143" s="187"/>
      <c r="D143" s="188"/>
      <c r="N143" s="83">
        <f t="shared" si="18"/>
        <v>2019</v>
      </c>
      <c r="O143" s="78">
        <v>1.7999999999999999E-2</v>
      </c>
    </row>
    <row r="144" spans="3:15">
      <c r="C144" s="187"/>
      <c r="D144" s="188"/>
      <c r="N144" s="83">
        <f t="shared" si="18"/>
        <v>2020</v>
      </c>
      <c r="O144" s="78">
        <v>1.7000000000000001E-2</v>
      </c>
    </row>
    <row r="145" spans="3:15">
      <c r="C145" s="187"/>
      <c r="D145" s="188"/>
      <c r="N145" s="83">
        <f t="shared" si="18"/>
        <v>2021</v>
      </c>
      <c r="O145" s="78">
        <v>1.6E-2</v>
      </c>
    </row>
    <row r="146" spans="3:15">
      <c r="C146" s="187"/>
      <c r="D146" s="188"/>
      <c r="N146" s="83">
        <f t="shared" si="18"/>
        <v>2022</v>
      </c>
      <c r="O146" s="78">
        <v>1.6E-2</v>
      </c>
    </row>
    <row r="147" spans="3:15">
      <c r="C147" s="187"/>
      <c r="D147" s="188"/>
      <c r="N147" s="83">
        <f t="shared" si="18"/>
        <v>2023</v>
      </c>
      <c r="O147" s="78">
        <v>1.6E-2</v>
      </c>
    </row>
    <row r="148" spans="3:15">
      <c r="C148" s="187"/>
      <c r="D148" s="188"/>
      <c r="N148" s="83">
        <f t="shared" si="18"/>
        <v>2024</v>
      </c>
      <c r="O148" s="78">
        <v>1.7000000000000001E-2</v>
      </c>
    </row>
    <row r="149" spans="3:15">
      <c r="C149" s="187"/>
      <c r="D149" s="188"/>
      <c r="N149" s="83">
        <f t="shared" si="18"/>
        <v>2025</v>
      </c>
      <c r="O149" s="78">
        <v>1.7000000000000001E-2</v>
      </c>
    </row>
  </sheetData>
  <phoneticPr fontId="6" type="noConversion"/>
  <printOptions horizontalCentered="1"/>
  <pageMargins left="0.25" right="0.25" top="0.75" bottom="0.75" header="0.3" footer="0.3"/>
  <pageSetup fitToHeight="2" orientation="portrait" r:id="rId1"/>
  <headerFooter alignWithMargins="0">
    <oddFooter>&amp;L&amp;8NPC Group - &amp;F   ( &amp;A )&amp;C &amp;R &amp;8&amp;D  &amp;T</oddFooter>
  </headerFooter>
  <rowBreaks count="2" manualBreakCount="2">
    <brk id="52" min="1" max="10" man="1"/>
    <brk id="89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B1:C42"/>
  <sheetViews>
    <sheetView showGridLines="0" zoomScaleNormal="100" workbookViewId="0">
      <selection activeCell="B28" sqref="B28"/>
    </sheetView>
  </sheetViews>
  <sheetFormatPr defaultRowHeight="12.75"/>
  <cols>
    <col min="1" max="1" width="2" style="66" customWidth="1"/>
    <col min="2" max="3" width="31.5" style="66" customWidth="1"/>
    <col min="4" max="4" width="2.1640625" style="66" customWidth="1"/>
    <col min="5" max="16384" width="9.33203125" style="66"/>
  </cols>
  <sheetData>
    <row r="1" spans="2:3" ht="15.75">
      <c r="B1" s="24" t="s">
        <v>110</v>
      </c>
      <c r="C1" s="37"/>
    </row>
    <row r="2" spans="2:3" ht="15.75">
      <c r="B2" s="24" t="s">
        <v>122</v>
      </c>
      <c r="C2" s="37"/>
    </row>
    <row r="3" spans="2:3" ht="15.75">
      <c r="B3" s="24" t="s">
        <v>44</v>
      </c>
      <c r="C3" s="145"/>
    </row>
    <row r="4" spans="2:3" ht="15.75">
      <c r="B4" s="24"/>
      <c r="C4" s="145"/>
    </row>
    <row r="5" spans="2:3">
      <c r="B5" s="25"/>
      <c r="C5" s="25" t="s">
        <v>111</v>
      </c>
    </row>
    <row r="6" spans="2:3">
      <c r="B6" s="49" t="s">
        <v>3</v>
      </c>
      <c r="C6" s="49" t="s">
        <v>121</v>
      </c>
    </row>
    <row r="7" spans="2:3">
      <c r="B7" s="146"/>
      <c r="C7" s="50" t="s">
        <v>35</v>
      </c>
    </row>
    <row r="8" spans="2:3">
      <c r="C8" s="151" t="s">
        <v>23</v>
      </c>
    </row>
    <row r="9" spans="2:3">
      <c r="C9" s="147"/>
    </row>
    <row r="10" spans="2:3">
      <c r="B10" s="148">
        <f>'Tables 3 to 6'!$B$12</f>
        <v>2013</v>
      </c>
      <c r="C10" s="149">
        <v>3.88</v>
      </c>
    </row>
    <row r="11" spans="2:3">
      <c r="B11" s="148">
        <f>B10+1</f>
        <v>2014</v>
      </c>
      <c r="C11" s="149">
        <v>4.12</v>
      </c>
    </row>
    <row r="12" spans="2:3">
      <c r="B12" s="148">
        <f t="shared" ref="B12:B35" si="0">B11+1</f>
        <v>2015</v>
      </c>
      <c r="C12" s="149">
        <v>4.2</v>
      </c>
    </row>
    <row r="13" spans="2:3">
      <c r="B13" s="148">
        <f t="shared" si="0"/>
        <v>2016</v>
      </c>
      <c r="C13" s="149">
        <v>4.29</v>
      </c>
    </row>
    <row r="14" spans="2:3">
      <c r="B14" s="148">
        <f t="shared" si="0"/>
        <v>2017</v>
      </c>
      <c r="C14" s="149">
        <v>4.4400000000000004</v>
      </c>
    </row>
    <row r="15" spans="2:3">
      <c r="B15" s="148">
        <f t="shared" si="0"/>
        <v>2018</v>
      </c>
      <c r="C15" s="149">
        <v>4.6100000000000003</v>
      </c>
    </row>
    <row r="16" spans="2:3">
      <c r="B16" s="148">
        <f t="shared" si="0"/>
        <v>2019</v>
      </c>
      <c r="C16" s="149">
        <v>4.99</v>
      </c>
    </row>
    <row r="17" spans="2:3">
      <c r="B17" s="148">
        <f t="shared" si="0"/>
        <v>2020</v>
      </c>
      <c r="C17" s="149">
        <v>5.44</v>
      </c>
    </row>
    <row r="18" spans="2:3">
      <c r="B18" s="148">
        <f t="shared" si="0"/>
        <v>2021</v>
      </c>
      <c r="C18" s="149">
        <v>5.7</v>
      </c>
    </row>
    <row r="19" spans="2:3">
      <c r="B19" s="148">
        <f t="shared" si="0"/>
        <v>2022</v>
      </c>
      <c r="C19" s="149">
        <v>5.79</v>
      </c>
    </row>
    <row r="20" spans="2:3">
      <c r="B20" s="148">
        <f t="shared" si="0"/>
        <v>2023</v>
      </c>
      <c r="C20" s="149">
        <v>6.26</v>
      </c>
    </row>
    <row r="21" spans="2:3">
      <c r="B21" s="148">
        <f t="shared" si="0"/>
        <v>2024</v>
      </c>
      <c r="C21" s="149">
        <v>6.23</v>
      </c>
    </row>
    <row r="22" spans="2:3">
      <c r="B22" s="148">
        <f t="shared" si="0"/>
        <v>2025</v>
      </c>
      <c r="C22" s="149">
        <v>6.23</v>
      </c>
    </row>
    <row r="23" spans="2:3">
      <c r="B23" s="148">
        <f t="shared" si="0"/>
        <v>2026</v>
      </c>
      <c r="C23" s="149">
        <v>6.43</v>
      </c>
    </row>
    <row r="24" spans="2:3">
      <c r="B24" s="148">
        <f t="shared" si="0"/>
        <v>2027</v>
      </c>
      <c r="C24" s="149">
        <v>6.42</v>
      </c>
    </row>
    <row r="25" spans="2:3">
      <c r="B25" s="148">
        <f t="shared" si="0"/>
        <v>2028</v>
      </c>
      <c r="C25" s="149">
        <v>6.66</v>
      </c>
    </row>
    <row r="26" spans="2:3">
      <c r="B26" s="148">
        <f t="shared" si="0"/>
        <v>2029</v>
      </c>
      <c r="C26" s="149">
        <v>6.86</v>
      </c>
    </row>
    <row r="27" spans="2:3">
      <c r="B27" s="148">
        <f t="shared" si="0"/>
        <v>2030</v>
      </c>
      <c r="C27" s="149">
        <v>6.91</v>
      </c>
    </row>
    <row r="28" spans="2:3">
      <c r="B28" s="148">
        <f t="shared" si="0"/>
        <v>2031</v>
      </c>
      <c r="C28" s="149">
        <v>6.97</v>
      </c>
    </row>
    <row r="29" spans="2:3">
      <c r="B29" s="148">
        <f t="shared" si="0"/>
        <v>2032</v>
      </c>
      <c r="C29" s="149">
        <v>7.1</v>
      </c>
    </row>
    <row r="30" spans="2:3">
      <c r="B30" s="148">
        <f t="shared" si="0"/>
        <v>2033</v>
      </c>
      <c r="C30" s="149">
        <v>7.24</v>
      </c>
    </row>
    <row r="31" spans="2:3">
      <c r="B31" s="148">
        <f t="shared" si="0"/>
        <v>2034</v>
      </c>
      <c r="C31" s="149">
        <v>7.37</v>
      </c>
    </row>
    <row r="32" spans="2:3">
      <c r="B32" s="148">
        <f t="shared" si="0"/>
        <v>2035</v>
      </c>
      <c r="C32" s="149">
        <v>7.51</v>
      </c>
    </row>
    <row r="33" spans="2:3">
      <c r="B33" s="148">
        <f t="shared" si="0"/>
        <v>2036</v>
      </c>
      <c r="C33" s="149">
        <v>7.66</v>
      </c>
    </row>
    <row r="34" spans="2:3">
      <c r="B34" s="148">
        <f t="shared" si="0"/>
        <v>2037</v>
      </c>
      <c r="C34" s="149">
        <v>7.8</v>
      </c>
    </row>
    <row r="35" spans="2:3">
      <c r="B35" s="148">
        <f t="shared" si="0"/>
        <v>2038</v>
      </c>
      <c r="C35" s="149">
        <v>7.96</v>
      </c>
    </row>
    <row r="36" spans="2:3">
      <c r="B36" s="148"/>
      <c r="C36" s="149"/>
    </row>
    <row r="37" spans="2:3">
      <c r="B37" s="51" t="s">
        <v>112</v>
      </c>
    </row>
    <row r="38" spans="2:3">
      <c r="B38" s="66" t="s">
        <v>188</v>
      </c>
    </row>
    <row r="41" spans="2:3">
      <c r="B41" s="150"/>
    </row>
    <row r="42" spans="2:3">
      <c r="B42" s="15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F56"/>
  <sheetViews>
    <sheetView showGridLines="0" zoomScaleNormal="100" workbookViewId="0">
      <selection activeCell="B28" sqref="B28"/>
    </sheetView>
  </sheetViews>
  <sheetFormatPr defaultColWidth="8.83203125" defaultRowHeight="12.75"/>
  <cols>
    <col min="1" max="1" width="2.1640625" style="66" customWidth="1"/>
    <col min="2" max="2" width="22" style="66" customWidth="1"/>
    <col min="3" max="6" width="16.33203125" style="66" customWidth="1"/>
    <col min="7" max="7" width="2.1640625" style="66" customWidth="1"/>
    <col min="8" max="8" width="10" style="66" customWidth="1"/>
    <col min="9" max="16384" width="8.83203125" style="66"/>
  </cols>
  <sheetData>
    <row r="1" spans="2:6" ht="15.75">
      <c r="B1" s="24" t="s">
        <v>124</v>
      </c>
      <c r="C1" s="37"/>
      <c r="D1" s="37"/>
      <c r="E1" s="37"/>
      <c r="F1" s="37"/>
    </row>
    <row r="2" spans="2:6" ht="15.75">
      <c r="B2" s="24" t="s">
        <v>130</v>
      </c>
      <c r="C2" s="37"/>
      <c r="D2" s="37"/>
      <c r="E2" s="37"/>
      <c r="F2" s="37"/>
    </row>
    <row r="3" spans="2:6" ht="15.75">
      <c r="B3" s="24" t="s">
        <v>43</v>
      </c>
      <c r="C3" s="145"/>
      <c r="D3" s="145"/>
      <c r="E3" s="145"/>
      <c r="F3" s="145"/>
    </row>
    <row r="4" spans="2:6" ht="15.75">
      <c r="B4" s="24"/>
      <c r="C4" s="145"/>
      <c r="D4" s="145"/>
      <c r="E4" s="145"/>
      <c r="F4" s="145"/>
    </row>
    <row r="5" spans="2:6">
      <c r="B5" s="25"/>
      <c r="C5" s="39" t="s">
        <v>125</v>
      </c>
      <c r="D5" s="39"/>
      <c r="E5" s="39"/>
      <c r="F5" s="39"/>
    </row>
    <row r="6" spans="2:6">
      <c r="B6" s="49" t="s">
        <v>3</v>
      </c>
      <c r="C6" s="39" t="s">
        <v>126</v>
      </c>
      <c r="D6" s="39"/>
      <c r="E6" s="39" t="s">
        <v>127</v>
      </c>
      <c r="F6" s="39"/>
    </row>
    <row r="7" spans="2:6">
      <c r="B7" s="146"/>
      <c r="C7" s="39" t="s">
        <v>128</v>
      </c>
      <c r="D7" s="39" t="s">
        <v>129</v>
      </c>
      <c r="E7" s="39" t="s">
        <v>128</v>
      </c>
      <c r="F7" s="39" t="s">
        <v>129</v>
      </c>
    </row>
    <row r="8" spans="2:6">
      <c r="C8" s="30" t="s">
        <v>23</v>
      </c>
      <c r="D8" s="30" t="s">
        <v>24</v>
      </c>
      <c r="E8" s="30" t="s">
        <v>25</v>
      </c>
      <c r="F8" s="30" t="s">
        <v>26</v>
      </c>
    </row>
    <row r="9" spans="2:6">
      <c r="C9" s="147"/>
      <c r="D9" s="147"/>
      <c r="E9" s="147"/>
      <c r="F9" s="147"/>
    </row>
    <row r="10" spans="2:6">
      <c r="B10" s="148">
        <f>'Tables 3 to 6'!$B$12</f>
        <v>2013</v>
      </c>
      <c r="C10" s="149">
        <v>34.119999999999997</v>
      </c>
      <c r="D10" s="149">
        <v>39.1</v>
      </c>
      <c r="E10" s="149">
        <v>28.37</v>
      </c>
      <c r="F10" s="149">
        <v>29.36</v>
      </c>
    </row>
    <row r="11" spans="2:6">
      <c r="B11" s="148">
        <f>B10+1</f>
        <v>2014</v>
      </c>
      <c r="C11" s="149">
        <v>37.24</v>
      </c>
      <c r="D11" s="149">
        <v>40.880000000000003</v>
      </c>
      <c r="E11" s="149">
        <v>29.94</v>
      </c>
      <c r="F11" s="149">
        <v>30.69</v>
      </c>
    </row>
    <row r="12" spans="2:6">
      <c r="B12" s="148">
        <f t="shared" ref="B12:B35" si="0">B11+1</f>
        <v>2015</v>
      </c>
      <c r="C12" s="149">
        <v>39.99</v>
      </c>
      <c r="D12" s="149">
        <v>43.13</v>
      </c>
      <c r="E12" s="149">
        <v>31.5</v>
      </c>
      <c r="F12" s="149">
        <v>32.590000000000003</v>
      </c>
    </row>
    <row r="13" spans="2:6">
      <c r="B13" s="148">
        <f t="shared" si="0"/>
        <v>2016</v>
      </c>
      <c r="C13" s="149">
        <v>41.99</v>
      </c>
      <c r="D13" s="149">
        <v>44.88</v>
      </c>
      <c r="E13" s="149">
        <v>32.5</v>
      </c>
      <c r="F13" s="149">
        <v>34.39</v>
      </c>
    </row>
    <row r="14" spans="2:6">
      <c r="B14" s="148">
        <f t="shared" si="0"/>
        <v>2017</v>
      </c>
      <c r="C14" s="149">
        <v>44.64</v>
      </c>
      <c r="D14" s="149">
        <v>46.88</v>
      </c>
      <c r="E14" s="149">
        <v>34.5</v>
      </c>
      <c r="F14" s="149">
        <v>36.39</v>
      </c>
    </row>
    <row r="15" spans="2:6">
      <c r="B15" s="148">
        <f t="shared" si="0"/>
        <v>2018</v>
      </c>
      <c r="C15" s="149">
        <v>47.14</v>
      </c>
      <c r="D15" s="149">
        <v>49.13</v>
      </c>
      <c r="E15" s="149">
        <v>36.5</v>
      </c>
      <c r="F15" s="149">
        <v>38.54</v>
      </c>
    </row>
    <row r="16" spans="2:6">
      <c r="B16" s="148">
        <f t="shared" si="0"/>
        <v>2019</v>
      </c>
      <c r="C16" s="149">
        <v>50.52</v>
      </c>
      <c r="D16" s="149">
        <v>53.03</v>
      </c>
      <c r="E16" s="149">
        <v>40.53</v>
      </c>
      <c r="F16" s="149">
        <v>41.84</v>
      </c>
    </row>
    <row r="17" spans="2:6">
      <c r="B17" s="148">
        <f t="shared" si="0"/>
        <v>2020</v>
      </c>
      <c r="C17" s="149">
        <v>53.26</v>
      </c>
      <c r="D17" s="149">
        <v>56.47</v>
      </c>
      <c r="E17" s="149">
        <v>45.17</v>
      </c>
      <c r="F17" s="149">
        <v>45.34</v>
      </c>
    </row>
    <row r="18" spans="2:6">
      <c r="B18" s="148">
        <f t="shared" si="0"/>
        <v>2021</v>
      </c>
      <c r="C18" s="149">
        <v>56.76</v>
      </c>
      <c r="D18" s="149">
        <v>58.83</v>
      </c>
      <c r="E18" s="149">
        <v>47.88</v>
      </c>
      <c r="F18" s="149">
        <v>48.74</v>
      </c>
    </row>
    <row r="19" spans="2:6">
      <c r="B19" s="148">
        <f t="shared" si="0"/>
        <v>2022</v>
      </c>
      <c r="C19" s="149">
        <v>61.08</v>
      </c>
      <c r="D19" s="149">
        <v>66.61</v>
      </c>
      <c r="E19" s="149">
        <v>56.38</v>
      </c>
      <c r="F19" s="149">
        <v>54.22</v>
      </c>
    </row>
    <row r="20" spans="2:6">
      <c r="B20" s="148">
        <f t="shared" si="0"/>
        <v>2023</v>
      </c>
      <c r="C20" s="149">
        <v>66.430000000000007</v>
      </c>
      <c r="D20" s="149">
        <v>71.569999999999993</v>
      </c>
      <c r="E20" s="149">
        <v>61.16</v>
      </c>
      <c r="F20" s="149">
        <v>58.88</v>
      </c>
    </row>
    <row r="21" spans="2:6">
      <c r="B21" s="148">
        <f t="shared" si="0"/>
        <v>2024</v>
      </c>
      <c r="C21" s="149">
        <v>66.790000000000006</v>
      </c>
      <c r="D21" s="149">
        <v>72.37</v>
      </c>
      <c r="E21" s="149">
        <v>61.87</v>
      </c>
      <c r="F21" s="149">
        <v>59.23</v>
      </c>
    </row>
    <row r="22" spans="2:6">
      <c r="B22" s="148">
        <f t="shared" si="0"/>
        <v>2025</v>
      </c>
      <c r="C22" s="149">
        <v>67.09</v>
      </c>
      <c r="D22" s="149">
        <v>73.11</v>
      </c>
      <c r="E22" s="149">
        <v>62.94</v>
      </c>
      <c r="F22" s="149">
        <v>60.27</v>
      </c>
    </row>
    <row r="23" spans="2:6">
      <c r="B23" s="148">
        <f t="shared" si="0"/>
        <v>2026</v>
      </c>
      <c r="C23" s="149">
        <v>69.63</v>
      </c>
      <c r="D23" s="149">
        <v>75.64</v>
      </c>
      <c r="E23" s="149">
        <v>65.290000000000006</v>
      </c>
      <c r="F23" s="149">
        <v>62.13</v>
      </c>
    </row>
    <row r="24" spans="2:6">
      <c r="B24" s="148">
        <f t="shared" si="0"/>
        <v>2027</v>
      </c>
      <c r="C24" s="149">
        <v>71.64</v>
      </c>
      <c r="D24" s="149">
        <v>77.45</v>
      </c>
      <c r="E24" s="149">
        <v>66.89</v>
      </c>
      <c r="F24" s="149">
        <v>63.88</v>
      </c>
    </row>
    <row r="25" spans="2:6">
      <c r="B25" s="148">
        <f t="shared" si="0"/>
        <v>2028</v>
      </c>
      <c r="C25" s="149">
        <v>72.72</v>
      </c>
      <c r="D25" s="149">
        <v>78.44</v>
      </c>
      <c r="E25" s="149">
        <v>67.930000000000007</v>
      </c>
      <c r="F25" s="149">
        <v>65.14</v>
      </c>
    </row>
    <row r="26" spans="2:6">
      <c r="B26" s="148">
        <f t="shared" si="0"/>
        <v>2029</v>
      </c>
      <c r="C26" s="149">
        <v>75.540000000000006</v>
      </c>
      <c r="D26" s="149">
        <v>80.95</v>
      </c>
      <c r="E26" s="149">
        <v>70.44</v>
      </c>
      <c r="F26" s="149">
        <v>67.95</v>
      </c>
    </row>
    <row r="27" spans="2:6">
      <c r="B27" s="148">
        <f t="shared" si="0"/>
        <v>2030</v>
      </c>
      <c r="C27" s="149">
        <v>77.13</v>
      </c>
      <c r="D27" s="149">
        <v>83.09</v>
      </c>
      <c r="E27" s="149">
        <v>72.400000000000006</v>
      </c>
      <c r="F27" s="149">
        <v>70.02</v>
      </c>
    </row>
    <row r="28" spans="2:6">
      <c r="B28" s="148">
        <f t="shared" si="0"/>
        <v>2031</v>
      </c>
      <c r="C28" s="149">
        <v>79.290000000000006</v>
      </c>
      <c r="D28" s="149">
        <v>85.21</v>
      </c>
      <c r="E28" s="149">
        <v>74.400000000000006</v>
      </c>
      <c r="F28" s="149">
        <v>72.010000000000005</v>
      </c>
    </row>
    <row r="29" spans="2:6">
      <c r="B29" s="148">
        <f t="shared" si="0"/>
        <v>2032</v>
      </c>
      <c r="C29" s="149">
        <v>81.209999999999994</v>
      </c>
      <c r="D29" s="149">
        <v>87.47</v>
      </c>
      <c r="E29" s="149">
        <v>76.22</v>
      </c>
      <c r="F29" s="149">
        <v>73.430000000000007</v>
      </c>
    </row>
    <row r="30" spans="2:6">
      <c r="B30" s="148">
        <f t="shared" si="0"/>
        <v>2033</v>
      </c>
      <c r="C30" s="149">
        <v>82.9</v>
      </c>
      <c r="D30" s="149">
        <v>89.59</v>
      </c>
      <c r="E30" s="149">
        <v>78.02</v>
      </c>
      <c r="F30" s="149">
        <v>75.56</v>
      </c>
    </row>
    <row r="31" spans="2:6">
      <c r="B31" s="148">
        <f t="shared" si="0"/>
        <v>2034</v>
      </c>
      <c r="C31" s="149">
        <v>84.36</v>
      </c>
      <c r="D31" s="149">
        <v>91.38</v>
      </c>
      <c r="E31" s="149">
        <v>79.849999999999994</v>
      </c>
      <c r="F31" s="149">
        <v>77.11</v>
      </c>
    </row>
    <row r="32" spans="2:6">
      <c r="B32" s="148">
        <f t="shared" si="0"/>
        <v>2035</v>
      </c>
      <c r="C32" s="149">
        <v>86.56</v>
      </c>
      <c r="D32" s="149">
        <v>93.4</v>
      </c>
      <c r="E32" s="149">
        <v>81.599999999999994</v>
      </c>
      <c r="F32" s="149">
        <v>78.97</v>
      </c>
    </row>
    <row r="33" spans="2:6">
      <c r="B33" s="148">
        <f t="shared" si="0"/>
        <v>2036</v>
      </c>
      <c r="C33" s="149">
        <v>88.92</v>
      </c>
      <c r="D33" s="149">
        <v>95.12</v>
      </c>
      <c r="E33" s="149">
        <v>83.49</v>
      </c>
      <c r="F33" s="149">
        <v>80.760000000000005</v>
      </c>
    </row>
    <row r="34" spans="2:6">
      <c r="B34" s="148">
        <f t="shared" si="0"/>
        <v>2037</v>
      </c>
      <c r="C34" s="149">
        <v>91.09</v>
      </c>
      <c r="D34" s="149">
        <v>97.08</v>
      </c>
      <c r="E34" s="149">
        <v>85.24</v>
      </c>
      <c r="F34" s="149">
        <v>82.5</v>
      </c>
    </row>
    <row r="35" spans="2:6">
      <c r="B35" s="148">
        <f t="shared" si="0"/>
        <v>2038</v>
      </c>
      <c r="C35" s="149">
        <v>93.49</v>
      </c>
      <c r="D35" s="149">
        <v>99.61</v>
      </c>
      <c r="E35" s="149">
        <v>87.38</v>
      </c>
      <c r="F35" s="149">
        <v>84.83</v>
      </c>
    </row>
    <row r="37" spans="2:6">
      <c r="B37" s="51" t="s">
        <v>112</v>
      </c>
    </row>
    <row r="38" spans="2:6">
      <c r="B38" s="66" t="s">
        <v>188</v>
      </c>
    </row>
    <row r="41" spans="2:6">
      <c r="B41" s="150"/>
    </row>
    <row r="42" spans="2:6">
      <c r="B42" s="150"/>
    </row>
    <row r="56" ht="24.75" customHeight="1"/>
  </sheetData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1">
    <pageSetUpPr fitToPage="1"/>
  </sheetPr>
  <dimension ref="B1:R33"/>
  <sheetViews>
    <sheetView showGridLines="0" zoomScaleNormal="100" workbookViewId="0">
      <selection activeCell="B28" sqref="B28"/>
    </sheetView>
  </sheetViews>
  <sheetFormatPr defaultRowHeight="12.75"/>
  <cols>
    <col min="1" max="1" width="1.6640625" style="133" customWidth="1"/>
    <col min="2" max="2" width="11" style="133" customWidth="1"/>
    <col min="3" max="3" width="14.1640625" style="133" customWidth="1"/>
    <col min="4" max="4" width="1.6640625" style="133" customWidth="1"/>
    <col min="5" max="16" width="11" style="133" customWidth="1"/>
    <col min="17" max="17" width="1.33203125" style="133" customWidth="1"/>
    <col min="18" max="18" width="9.33203125" style="133" customWidth="1"/>
    <col min="19" max="16384" width="9.33203125" style="133"/>
  </cols>
  <sheetData>
    <row r="1" spans="2:16" s="66" customFormat="1" ht="15.75">
      <c r="B1" s="95" t="s">
        <v>138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ht="15.75">
      <c r="B2" s="95" t="s">
        <v>136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5.75">
      <c r="B3" s="95" t="s">
        <v>176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spans="2:16">
      <c r="B5" s="97" t="s">
        <v>137</v>
      </c>
    </row>
    <row r="6" spans="2:16">
      <c r="B6" s="98" t="s">
        <v>3</v>
      </c>
      <c r="C6" s="98" t="s">
        <v>95</v>
      </c>
      <c r="D6" s="134"/>
      <c r="E6" s="98" t="s">
        <v>51</v>
      </c>
      <c r="F6" s="98" t="s">
        <v>52</v>
      </c>
      <c r="G6" s="98" t="s">
        <v>53</v>
      </c>
      <c r="H6" s="98" t="s">
        <v>54</v>
      </c>
      <c r="I6" s="98" t="s">
        <v>55</v>
      </c>
      <c r="J6" s="98" t="s">
        <v>56</v>
      </c>
      <c r="K6" s="98" t="s">
        <v>57</v>
      </c>
      <c r="L6" s="98" t="s">
        <v>58</v>
      </c>
      <c r="M6" s="98" t="s">
        <v>59</v>
      </c>
      <c r="N6" s="98" t="s">
        <v>60</v>
      </c>
      <c r="O6" s="98" t="s">
        <v>61</v>
      </c>
      <c r="P6" s="98" t="s">
        <v>62</v>
      </c>
    </row>
    <row r="7" spans="2:16">
      <c r="B7" s="99">
        <f>'Tables 3 to 6'!$B$12</f>
        <v>2013</v>
      </c>
      <c r="C7" s="135">
        <v>-743.06437957266189</v>
      </c>
      <c r="D7" s="136"/>
      <c r="E7" s="137"/>
      <c r="F7" s="138"/>
      <c r="G7" s="138"/>
      <c r="H7" s="138"/>
      <c r="I7" s="138"/>
      <c r="J7" s="138"/>
      <c r="K7" s="138">
        <v>-743.06437957266189</v>
      </c>
      <c r="L7" s="138">
        <v>-649.80879383939691</v>
      </c>
      <c r="M7" s="138">
        <v>-36.544630741315871</v>
      </c>
      <c r="N7" s="138">
        <v>244.35626786550193</v>
      </c>
      <c r="O7" s="138">
        <v>606.49514406898913</v>
      </c>
      <c r="P7" s="139">
        <v>1506.1438501465118</v>
      </c>
    </row>
    <row r="8" spans="2:16">
      <c r="B8" s="100">
        <f t="shared" ref="B8:B18" si="0">B7+1</f>
        <v>2014</v>
      </c>
      <c r="C8" s="140">
        <v>-634.49521515750985</v>
      </c>
      <c r="D8" s="141"/>
      <c r="E8" s="142">
        <v>1484.0515947847402</v>
      </c>
      <c r="F8" s="143">
        <v>1858.1780802015955</v>
      </c>
      <c r="G8" s="143">
        <v>41.782892399394996</v>
      </c>
      <c r="H8" s="143">
        <v>-299.86588662577219</v>
      </c>
      <c r="I8" s="143">
        <v>-1127.9809333457019</v>
      </c>
      <c r="J8" s="143">
        <v>-1269.7792450685274</v>
      </c>
      <c r="K8" s="143">
        <v>-634.49521515750985</v>
      </c>
      <c r="L8" s="143">
        <v>-401.37192410696383</v>
      </c>
      <c r="M8" s="143">
        <v>439.52911879701242</v>
      </c>
      <c r="N8" s="143">
        <v>916.25428262964931</v>
      </c>
      <c r="O8" s="143">
        <v>1108.5976884746292</v>
      </c>
      <c r="P8" s="144">
        <v>1792.1298290368622</v>
      </c>
    </row>
    <row r="9" spans="2:16">
      <c r="B9" s="100">
        <f t="shared" si="0"/>
        <v>2015</v>
      </c>
      <c r="C9" s="140">
        <v>-757.75183839685201</v>
      </c>
      <c r="D9" s="141"/>
      <c r="E9" s="142">
        <v>1449.7792265544467</v>
      </c>
      <c r="F9" s="143">
        <v>946.33502298906774</v>
      </c>
      <c r="G9" s="143">
        <v>-706.80707933316262</v>
      </c>
      <c r="H9" s="143">
        <v>-1329.0711535255009</v>
      </c>
      <c r="I9" s="143">
        <v>-1814.3846892087395</v>
      </c>
      <c r="J9" s="143">
        <v>-1888.0596209652433</v>
      </c>
      <c r="K9" s="143">
        <v>-757.75183839685201</v>
      </c>
      <c r="L9" s="143">
        <v>-706.59237572084544</v>
      </c>
      <c r="M9" s="143">
        <v>129.30337774696045</v>
      </c>
      <c r="N9" s="143">
        <v>284.63864025196364</v>
      </c>
      <c r="O9" s="143">
        <v>580.40027226295888</v>
      </c>
      <c r="P9" s="144">
        <v>1201.5538914960598</v>
      </c>
    </row>
    <row r="10" spans="2:16">
      <c r="B10" s="100">
        <f t="shared" si="0"/>
        <v>2016</v>
      </c>
      <c r="C10" s="140">
        <v>-815.63812360262693</v>
      </c>
      <c r="D10" s="141"/>
      <c r="E10" s="142">
        <v>1336.4981272735283</v>
      </c>
      <c r="F10" s="143">
        <v>1251.1034778617172</v>
      </c>
      <c r="G10" s="143">
        <v>-1009.4875865696889</v>
      </c>
      <c r="H10" s="143">
        <v>-1595.644285238649</v>
      </c>
      <c r="I10" s="143">
        <v>-1868.4918582503178</v>
      </c>
      <c r="J10" s="143">
        <v>-1445.68507927939</v>
      </c>
      <c r="K10" s="143">
        <v>-815.63812360262693</v>
      </c>
      <c r="L10" s="143">
        <v>-592.42395705202046</v>
      </c>
      <c r="M10" s="143">
        <v>-20.09977337504705</v>
      </c>
      <c r="N10" s="143">
        <v>193.67052317963203</v>
      </c>
      <c r="O10" s="143">
        <v>411.81336038157394</v>
      </c>
      <c r="P10" s="144">
        <v>1079.609735554669</v>
      </c>
    </row>
    <row r="11" spans="2:16">
      <c r="B11" s="100">
        <f t="shared" si="0"/>
        <v>2017</v>
      </c>
      <c r="C11" s="140">
        <v>-934.91312751514374</v>
      </c>
      <c r="D11" s="141"/>
      <c r="E11" s="142">
        <v>1194.7574722504633</v>
      </c>
      <c r="F11" s="143">
        <v>1532.7326819483978</v>
      </c>
      <c r="G11" s="143">
        <v>-656.9903618874082</v>
      </c>
      <c r="H11" s="143">
        <v>-1013.650100019108</v>
      </c>
      <c r="I11" s="143">
        <v>-1926.205804719099</v>
      </c>
      <c r="J11" s="143">
        <v>-1201.2035731626961</v>
      </c>
      <c r="K11" s="143">
        <v>-934.91312751514374</v>
      </c>
      <c r="L11" s="143">
        <v>-739.15122924610819</v>
      </c>
      <c r="M11" s="143">
        <v>-179.910733357791</v>
      </c>
      <c r="N11" s="143">
        <v>127.64693871554454</v>
      </c>
      <c r="O11" s="143">
        <v>798.1128904695247</v>
      </c>
      <c r="P11" s="144">
        <v>1035.0974532526106</v>
      </c>
    </row>
    <row r="12" spans="2:16">
      <c r="B12" s="100">
        <f t="shared" si="0"/>
        <v>2018</v>
      </c>
      <c r="C12" s="140">
        <v>-1254.411562023678</v>
      </c>
      <c r="D12" s="141"/>
      <c r="E12" s="142">
        <v>1128.3435643288758</v>
      </c>
      <c r="F12" s="143">
        <v>1519.6642062166402</v>
      </c>
      <c r="G12" s="143">
        <v>-316.36593240491169</v>
      </c>
      <c r="H12" s="143">
        <v>-1279.4267530410846</v>
      </c>
      <c r="I12" s="143">
        <v>-2169.655972710771</v>
      </c>
      <c r="J12" s="143">
        <v>-2090.0797484410759</v>
      </c>
      <c r="K12" s="143">
        <v>-1254.411562023678</v>
      </c>
      <c r="L12" s="143">
        <v>-1013.0487912701493</v>
      </c>
      <c r="M12" s="143">
        <v>-281.57337745587961</v>
      </c>
      <c r="N12" s="143">
        <v>-56.153194696683954</v>
      </c>
      <c r="O12" s="143">
        <v>289.98286711890398</v>
      </c>
      <c r="P12" s="144">
        <v>852.8866788892467</v>
      </c>
    </row>
    <row r="13" spans="2:16">
      <c r="B13" s="100">
        <f t="shared" si="0"/>
        <v>2019</v>
      </c>
      <c r="C13" s="140">
        <v>-1383.6420842618752</v>
      </c>
      <c r="D13" s="141"/>
      <c r="E13" s="142">
        <v>986.61094298873866</v>
      </c>
      <c r="F13" s="143">
        <v>1445.3659212532227</v>
      </c>
      <c r="G13" s="143">
        <v>-456.64666442575185</v>
      </c>
      <c r="H13" s="143">
        <v>-1382.0325938873229</v>
      </c>
      <c r="I13" s="143">
        <v>-2286.310705954797</v>
      </c>
      <c r="J13" s="143">
        <v>-2278.6794693718889</v>
      </c>
      <c r="K13" s="143">
        <v>-1383.6420842618752</v>
      </c>
      <c r="L13" s="143">
        <v>-1178.0918304042011</v>
      </c>
      <c r="M13" s="143">
        <v>-408.9473971746508</v>
      </c>
      <c r="N13" s="143">
        <v>-126.69151418827562</v>
      </c>
      <c r="O13" s="143">
        <v>302.56675592804032</v>
      </c>
      <c r="P13" s="144">
        <v>861.23657683641318</v>
      </c>
    </row>
    <row r="14" spans="2:16">
      <c r="B14" s="100">
        <f t="shared" si="0"/>
        <v>2020</v>
      </c>
      <c r="C14" s="140">
        <v>-1461.4656259712267</v>
      </c>
      <c r="D14" s="141"/>
      <c r="E14" s="142">
        <v>971.26629982760642</v>
      </c>
      <c r="F14" s="143">
        <v>1432.6403074655261</v>
      </c>
      <c r="G14" s="143">
        <v>-1263.2148470098291</v>
      </c>
      <c r="H14" s="143">
        <v>-1401.2879765871694</v>
      </c>
      <c r="I14" s="143">
        <v>-2144.2654831142486</v>
      </c>
      <c r="J14" s="143">
        <v>-2168.3992395576993</v>
      </c>
      <c r="K14" s="143">
        <v>-1461.4656259712267</v>
      </c>
      <c r="L14" s="143">
        <v>-1227.2781166083528</v>
      </c>
      <c r="M14" s="143">
        <v>-374.07925096554811</v>
      </c>
      <c r="N14" s="143">
        <v>-3.6664240563598014</v>
      </c>
      <c r="O14" s="143">
        <v>196.15499456985782</v>
      </c>
      <c r="P14" s="144">
        <v>786.87491032990795</v>
      </c>
    </row>
    <row r="15" spans="2:16">
      <c r="B15" s="100">
        <f t="shared" si="0"/>
        <v>2021</v>
      </c>
      <c r="C15" s="140">
        <v>-1172.6710523995439</v>
      </c>
      <c r="D15" s="141"/>
      <c r="E15" s="142">
        <v>343.01863942076943</v>
      </c>
      <c r="F15" s="143">
        <v>753.21718377818377</v>
      </c>
      <c r="G15" s="143">
        <v>-1465.9159099764579</v>
      </c>
      <c r="H15" s="143">
        <v>-1664.3719237079595</v>
      </c>
      <c r="I15" s="143">
        <v>-1407.8120496182123</v>
      </c>
      <c r="J15" s="143">
        <v>-1943.0648059867876</v>
      </c>
      <c r="K15" s="143">
        <v>-1172.6710523995439</v>
      </c>
      <c r="L15" s="143">
        <v>-992.65016701232332</v>
      </c>
      <c r="M15" s="143">
        <v>-154.98679090617298</v>
      </c>
      <c r="N15" s="143">
        <v>-766.93355724332321</v>
      </c>
      <c r="O15" s="143">
        <v>-515.59111575106613</v>
      </c>
      <c r="P15" s="144">
        <v>140.49973579770858</v>
      </c>
    </row>
    <row r="16" spans="2:16">
      <c r="B16" s="100">
        <f t="shared" si="0"/>
        <v>2022</v>
      </c>
      <c r="C16" s="140">
        <v>-1212.1047594937625</v>
      </c>
      <c r="D16" s="141"/>
      <c r="E16" s="142">
        <v>-227.77179725310793</v>
      </c>
      <c r="F16" s="143">
        <v>226.39480459326745</v>
      </c>
      <c r="G16" s="143">
        <v>-1516.0514877957908</v>
      </c>
      <c r="H16" s="143">
        <v>-2140.116921603329</v>
      </c>
      <c r="I16" s="143">
        <v>-1945.3938674278852</v>
      </c>
      <c r="J16" s="143">
        <v>-1482.0267459241832</v>
      </c>
      <c r="K16" s="143">
        <v>-1212.1047594937625</v>
      </c>
      <c r="L16" s="143">
        <v>-1011.5691621415613</v>
      </c>
      <c r="M16" s="143">
        <v>-283.26623127001818</v>
      </c>
      <c r="N16" s="143">
        <v>-787.93681593787574</v>
      </c>
      <c r="O16" s="143">
        <v>-581.69121956549407</v>
      </c>
      <c r="P16" s="144">
        <v>15.023468871201203</v>
      </c>
    </row>
    <row r="17" spans="2:18">
      <c r="B17" s="100">
        <f t="shared" si="0"/>
        <v>2023</v>
      </c>
      <c r="C17" s="140">
        <v>-1256.7880295671168</v>
      </c>
      <c r="D17" s="141"/>
      <c r="E17" s="142">
        <v>692.46715016260237</v>
      </c>
      <c r="F17" s="143">
        <v>1121.5912453167502</v>
      </c>
      <c r="G17" s="143">
        <v>-291.50787538398623</v>
      </c>
      <c r="H17" s="143">
        <v>-898.80697487077259</v>
      </c>
      <c r="I17" s="143">
        <v>-1434.16399187702</v>
      </c>
      <c r="J17" s="143">
        <v>-2075.8131644491859</v>
      </c>
      <c r="K17" s="143">
        <v>-1256.7880295671168</v>
      </c>
      <c r="L17" s="143">
        <v>-1050.5804165610307</v>
      </c>
      <c r="M17" s="143">
        <v>-195.78442425046421</v>
      </c>
      <c r="N17" s="143">
        <v>-530.91167691221608</v>
      </c>
      <c r="O17" s="143">
        <v>-186.03020252337114</v>
      </c>
      <c r="P17" s="144">
        <v>423.34354275618671</v>
      </c>
    </row>
    <row r="18" spans="2:18">
      <c r="B18" s="100">
        <f t="shared" si="0"/>
        <v>2024</v>
      </c>
      <c r="C18" s="140"/>
      <c r="D18" s="141"/>
      <c r="E18" s="242" t="s">
        <v>181</v>
      </c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1"/>
    </row>
    <row r="19" spans="2:18" s="141" customFormat="1">
      <c r="B19" s="243"/>
      <c r="C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R19" s="133"/>
    </row>
    <row r="20" spans="2:18" s="141" customFormat="1">
      <c r="B20" s="96"/>
      <c r="C20" s="87" t="s">
        <v>139</v>
      </c>
      <c r="E20" s="87" t="s">
        <v>135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R20" s="133"/>
    </row>
    <row r="21" spans="2:18" s="141" customFormat="1">
      <c r="B21" s="87" t="s">
        <v>3</v>
      </c>
      <c r="C21" s="87" t="s">
        <v>140</v>
      </c>
      <c r="E21" s="87" t="s">
        <v>183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R21" s="133"/>
    </row>
    <row r="22" spans="2:18" s="141" customFormat="1">
      <c r="B22" s="101">
        <f>B7</f>
        <v>2013</v>
      </c>
      <c r="C22" s="250">
        <f>COUNTIF(E7:P7,"&lt;0")</f>
        <v>3</v>
      </c>
      <c r="E22" s="250">
        <f>COUNT(E7:P7)</f>
        <v>6</v>
      </c>
      <c r="G22" s="143"/>
      <c r="H22" s="143" t="s">
        <v>177</v>
      </c>
      <c r="I22" s="143"/>
      <c r="J22" s="143"/>
      <c r="K22" s="143"/>
      <c r="L22" s="143"/>
      <c r="M22" s="143"/>
      <c r="N22" s="143"/>
      <c r="O22" s="143"/>
      <c r="P22" s="143"/>
      <c r="R22" s="133"/>
    </row>
    <row r="23" spans="2:18" s="141" customFormat="1">
      <c r="B23" s="102">
        <f>B8</f>
        <v>2014</v>
      </c>
      <c r="C23" s="251">
        <f>COUNTIF(E8:P8,"&lt;0")</f>
        <v>5</v>
      </c>
      <c r="E23" s="251">
        <v>12</v>
      </c>
      <c r="G23" s="143"/>
      <c r="H23" s="143" t="s">
        <v>178</v>
      </c>
      <c r="I23" s="143"/>
      <c r="J23" s="143"/>
      <c r="K23" s="143"/>
      <c r="L23" s="143"/>
      <c r="M23" s="143"/>
      <c r="N23" s="143"/>
      <c r="O23" s="143"/>
      <c r="P23" s="143"/>
      <c r="R23" s="133"/>
    </row>
    <row r="24" spans="2:18" s="141" customFormat="1">
      <c r="B24" s="102">
        <f t="shared" ref="B24:B32" si="1">B9</f>
        <v>2015</v>
      </c>
      <c r="C24" s="251">
        <f t="shared" ref="C24:C32" si="2">COUNTIF(E9:P9,"&lt;0")</f>
        <v>6</v>
      </c>
      <c r="E24" s="251">
        <v>12</v>
      </c>
      <c r="G24" s="143"/>
      <c r="H24" s="143" t="s">
        <v>179</v>
      </c>
      <c r="I24" s="143"/>
      <c r="J24" s="143"/>
      <c r="K24" s="143"/>
      <c r="L24" s="143"/>
      <c r="M24" s="143"/>
      <c r="N24" s="143"/>
      <c r="O24" s="143"/>
      <c r="P24" s="143"/>
      <c r="R24" s="133"/>
    </row>
    <row r="25" spans="2:18" s="141" customFormat="1">
      <c r="B25" s="102">
        <f t="shared" si="1"/>
        <v>2016</v>
      </c>
      <c r="C25" s="251">
        <f t="shared" si="2"/>
        <v>7</v>
      </c>
      <c r="E25" s="251">
        <v>12</v>
      </c>
      <c r="G25" s="143"/>
      <c r="H25" s="143" t="s">
        <v>180</v>
      </c>
      <c r="I25" s="143"/>
      <c r="J25" s="143"/>
      <c r="K25" s="143"/>
      <c r="L25" s="143"/>
      <c r="M25" s="143"/>
      <c r="N25" s="143"/>
      <c r="O25" s="143"/>
      <c r="P25" s="143"/>
      <c r="R25" s="133"/>
    </row>
    <row r="26" spans="2:18">
      <c r="B26" s="102">
        <f t="shared" si="1"/>
        <v>2017</v>
      </c>
      <c r="C26" s="251">
        <f t="shared" si="2"/>
        <v>7</v>
      </c>
      <c r="D26" s="141"/>
      <c r="E26" s="251">
        <v>12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2:18">
      <c r="B27" s="102">
        <f t="shared" si="1"/>
        <v>2018</v>
      </c>
      <c r="C27" s="251">
        <f t="shared" si="2"/>
        <v>8</v>
      </c>
      <c r="D27" s="141"/>
      <c r="E27" s="251">
        <v>12</v>
      </c>
    </row>
    <row r="28" spans="2:18" s="141" customFormat="1">
      <c r="B28" s="102">
        <f t="shared" si="1"/>
        <v>2019</v>
      </c>
      <c r="C28" s="251">
        <f t="shared" si="2"/>
        <v>8</v>
      </c>
      <c r="E28" s="251">
        <v>12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R28" s="133"/>
    </row>
    <row r="29" spans="2:18">
      <c r="B29" s="102">
        <f t="shared" si="1"/>
        <v>2020</v>
      </c>
      <c r="C29" s="251">
        <f t="shared" si="2"/>
        <v>8</v>
      </c>
      <c r="D29" s="141"/>
      <c r="E29" s="251">
        <v>12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2:18">
      <c r="B30" s="102">
        <f t="shared" si="1"/>
        <v>2021</v>
      </c>
      <c r="C30" s="251">
        <f t="shared" si="2"/>
        <v>9</v>
      </c>
      <c r="D30" s="141"/>
      <c r="E30" s="251">
        <v>12</v>
      </c>
    </row>
    <row r="31" spans="2:18">
      <c r="B31" s="102">
        <f t="shared" si="1"/>
        <v>2022</v>
      </c>
      <c r="C31" s="251">
        <f t="shared" si="2"/>
        <v>10</v>
      </c>
      <c r="D31" s="141"/>
      <c r="E31" s="251">
        <v>12</v>
      </c>
    </row>
    <row r="32" spans="2:18">
      <c r="B32" s="102">
        <f t="shared" si="1"/>
        <v>2023</v>
      </c>
      <c r="C32" s="251">
        <f t="shared" si="2"/>
        <v>9</v>
      </c>
      <c r="D32" s="141"/>
      <c r="E32" s="253">
        <v>12</v>
      </c>
    </row>
    <row r="33" spans="2:3">
      <c r="B33" s="243"/>
      <c r="C33" s="136"/>
    </row>
  </sheetData>
  <printOptions horizontalCentered="1"/>
  <pageMargins left="0.3" right="0.3" top="0.8" bottom="0.4" header="0.5" footer="0.2"/>
  <pageSetup scale="91" orientation="landscape" r:id="rId1"/>
  <headerFooter alignWithMargins="0">
    <oddFooter>&amp;L&amp;8Net Power Cost   &amp;D &amp;T &amp;C Page &amp;P of &amp;N  &amp;R &amp;8 &amp;F   ( &amp;A 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Table 1</vt:lpstr>
      <vt:lpstr>Table 2</vt:lpstr>
      <vt:lpstr>Tables 3 to 6</vt:lpstr>
      <vt:lpstr>Table 7</vt:lpstr>
      <vt:lpstr>Table 8</vt:lpstr>
      <vt:lpstr>Table 9</vt:lpstr>
      <vt:lpstr>Table 10</vt:lpstr>
      <vt:lpstr>Table 11</vt:lpstr>
      <vt:lpstr>Not Printed ----&gt;</vt:lpstr>
      <vt:lpstr>Tariff Page</vt:lpstr>
      <vt:lpstr>'Table 1'!Print_Area</vt:lpstr>
      <vt:lpstr>'Table 10'!Print_Area</vt:lpstr>
      <vt:lpstr>'Table 11'!Print_Area</vt:lpstr>
      <vt:lpstr>'Table 2'!Print_Area</vt:lpstr>
      <vt:lpstr>'Table 7'!Print_Area</vt:lpstr>
      <vt:lpstr>'Table 8'!Print_Area</vt:lpstr>
      <vt:lpstr>'Table 9'!Print_Area</vt:lpstr>
      <vt:lpstr>'Tables 3 to 6'!Print_Area</vt:lpstr>
      <vt:lpstr>'Tariff Page'!Print_Area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 </cp:lastModifiedBy>
  <cp:lastPrinted>2013-05-09T18:12:23Z</cp:lastPrinted>
  <dcterms:created xsi:type="dcterms:W3CDTF">2001-03-19T15:45:46Z</dcterms:created>
  <dcterms:modified xsi:type="dcterms:W3CDTF">2013-06-07T21:28:19Z</dcterms:modified>
</cp:coreProperties>
</file>