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70" yWindow="-105" windowWidth="15285" windowHeight="8820" tabRatio="685"/>
  </bookViews>
  <sheets>
    <sheet name="Financial Statements" sheetId="5" r:id="rId1"/>
    <sheet name="Cash Flow" sheetId="9" r:id="rId2"/>
  </sheets>
  <externalReferences>
    <externalReference r:id="rId3"/>
  </externalReferences>
  <definedNames>
    <definedName name="_xlnm.Print_Area" localSheetId="1">'Cash Flow'!$A$1:$G$60</definedName>
    <definedName name="_xlnm.Print_Area" localSheetId="0">'Financial Statements'!$A$1:$N$154</definedName>
  </definedNames>
  <calcPr calcId="124519"/>
</workbook>
</file>

<file path=xl/calcChain.xml><?xml version="1.0" encoding="utf-8"?>
<calcChain xmlns="http://schemas.openxmlformats.org/spreadsheetml/2006/main">
  <c r="A3" i="9"/>
  <c r="E8"/>
  <c r="D8"/>
  <c r="C8"/>
  <c r="B8"/>
  <c r="F8"/>
  <c r="A10"/>
  <c r="G48"/>
  <c r="G47"/>
  <c r="G46"/>
  <c r="G45"/>
  <c r="G44"/>
  <c r="G35"/>
  <c r="G34"/>
  <c r="G28"/>
  <c r="G27"/>
  <c r="G24"/>
  <c r="G23"/>
  <c r="G21"/>
  <c r="G20"/>
  <c r="G16"/>
  <c r="G15"/>
  <c r="G14"/>
  <c r="H69" i="5"/>
  <c r="N73"/>
  <c r="N74"/>
  <c r="M74"/>
  <c r="L74"/>
  <c r="K74"/>
  <c r="J74"/>
  <c r="I74"/>
  <c r="N66"/>
  <c r="H103"/>
  <c r="H101"/>
  <c r="H100"/>
  <c r="H99"/>
  <c r="H98"/>
  <c r="H96"/>
  <c r="H95"/>
  <c r="H94"/>
  <c r="H93"/>
  <c r="H92"/>
  <c r="H90"/>
  <c r="H89"/>
  <c r="H88"/>
  <c r="H87"/>
  <c r="H86"/>
  <c r="H85"/>
  <c r="H84"/>
  <c r="H83"/>
  <c r="H82"/>
  <c r="H81"/>
  <c r="H80"/>
  <c r="H78"/>
  <c r="H76"/>
  <c r="C103"/>
  <c r="B103"/>
  <c r="F103"/>
  <c r="E103"/>
  <c r="D103"/>
  <c r="G95"/>
  <c r="G93"/>
  <c r="G92"/>
  <c r="G86"/>
  <c r="G85"/>
  <c r="G84"/>
  <c r="G82"/>
  <c r="G76"/>
  <c r="F74"/>
  <c r="F113" s="1"/>
  <c r="E74"/>
  <c r="E113" s="1"/>
  <c r="D74"/>
  <c r="D113" s="1"/>
  <c r="C74"/>
  <c r="C113" s="1"/>
  <c r="B74"/>
  <c r="B113" s="1"/>
  <c r="G66"/>
  <c r="G105" s="1"/>
  <c r="H64"/>
  <c r="H63"/>
  <c r="H62"/>
  <c r="H61"/>
  <c r="H60"/>
  <c r="H59"/>
  <c r="H57"/>
  <c r="H55"/>
  <c r="H53"/>
  <c r="H52"/>
  <c r="H51"/>
  <c r="H50"/>
  <c r="H49"/>
  <c r="H48"/>
  <c r="H46"/>
  <c r="H45"/>
  <c r="H44"/>
  <c r="H43"/>
  <c r="H42"/>
  <c r="H41"/>
  <c r="H40"/>
  <c r="H39"/>
  <c r="H37"/>
  <c r="H36"/>
  <c r="H35"/>
  <c r="H34"/>
  <c r="H33"/>
  <c r="H32"/>
  <c r="H31"/>
  <c r="H30"/>
  <c r="H29"/>
  <c r="H27"/>
  <c r="H25"/>
  <c r="H23"/>
  <c r="H22"/>
  <c r="H21"/>
  <c r="H20"/>
  <c r="H19"/>
  <c r="H17"/>
  <c r="H16"/>
  <c r="H15"/>
  <c r="H14"/>
  <c r="H13"/>
  <c r="H12"/>
  <c r="H11"/>
  <c r="C13"/>
  <c r="B13"/>
  <c r="G14"/>
  <c r="E13"/>
  <c r="F13"/>
  <c r="G6" i="9"/>
  <c r="F51"/>
  <c r="E51"/>
  <c r="D51"/>
  <c r="C51"/>
  <c r="B51"/>
  <c r="G51" s="1"/>
  <c r="E40"/>
  <c r="D40"/>
  <c r="B40"/>
  <c r="C40"/>
  <c r="A5"/>
  <c r="G62" i="5"/>
  <c r="G60"/>
  <c r="G51"/>
  <c r="G50"/>
  <c r="G52"/>
  <c r="G40"/>
  <c r="G33"/>
  <c r="G32"/>
  <c r="G21"/>
  <c r="F99"/>
  <c r="F87"/>
  <c r="F83"/>
  <c r="G83" s="1"/>
  <c r="F45"/>
  <c r="F16"/>
  <c r="B99"/>
  <c r="G99" s="1"/>
  <c r="B87"/>
  <c r="B45"/>
  <c r="G45" s="1"/>
  <c r="C45"/>
  <c r="B16"/>
  <c r="C99"/>
  <c r="C87"/>
  <c r="C83"/>
  <c r="C16"/>
  <c r="E99"/>
  <c r="D99"/>
  <c r="E87"/>
  <c r="D87"/>
  <c r="E83"/>
  <c r="D83"/>
  <c r="E45"/>
  <c r="D45"/>
  <c r="B63"/>
  <c r="E16"/>
  <c r="D16"/>
  <c r="F23"/>
  <c r="G42"/>
  <c r="G87" l="1"/>
  <c r="F40" i="9"/>
  <c r="G40" s="1"/>
  <c r="D17" i="5"/>
  <c r="F35"/>
  <c r="G72"/>
  <c r="G88"/>
  <c r="G81"/>
  <c r="G61"/>
  <c r="G48"/>
  <c r="G43"/>
  <c r="G41"/>
  <c r="G34"/>
  <c r="G25"/>
  <c r="G20"/>
  <c r="G16"/>
  <c r="G15"/>
  <c r="G13"/>
  <c r="D78"/>
  <c r="D127" s="1"/>
  <c r="D89"/>
  <c r="D96"/>
  <c r="K96" s="1"/>
  <c r="E78"/>
  <c r="E96"/>
  <c r="C78"/>
  <c r="C127" s="1"/>
  <c r="C89"/>
  <c r="C96"/>
  <c r="J96" s="1"/>
  <c r="C46"/>
  <c r="C17"/>
  <c r="D23"/>
  <c r="D35"/>
  <c r="F78"/>
  <c r="F96"/>
  <c r="B78"/>
  <c r="H3"/>
  <c r="H68" s="1"/>
  <c r="B17"/>
  <c r="E17"/>
  <c r="C23"/>
  <c r="E23"/>
  <c r="C35"/>
  <c r="E35"/>
  <c r="F46"/>
  <c r="E46"/>
  <c r="D53"/>
  <c r="F53"/>
  <c r="E53"/>
  <c r="E63"/>
  <c r="E147" s="1"/>
  <c r="C63"/>
  <c r="C146" s="1"/>
  <c r="F63"/>
  <c r="F151" s="1"/>
  <c r="A70"/>
  <c r="B96"/>
  <c r="A109"/>
  <c r="G112"/>
  <c r="D118"/>
  <c r="F118"/>
  <c r="E134"/>
  <c r="D135"/>
  <c r="E135"/>
  <c r="F135"/>
  <c r="E146"/>
  <c r="C151"/>
  <c r="C152"/>
  <c r="D63"/>
  <c r="B146"/>
  <c r="B35"/>
  <c r="B23"/>
  <c r="B89"/>
  <c r="B53"/>
  <c r="F27"/>
  <c r="C53"/>
  <c r="B46"/>
  <c r="D46"/>
  <c r="B147"/>
  <c r="A68"/>
  <c r="C134"/>
  <c r="C135"/>
  <c r="B152"/>
  <c r="B27"/>
  <c r="D147"/>
  <c r="D150"/>
  <c r="D122"/>
  <c r="B150"/>
  <c r="D152"/>
  <c r="E89"/>
  <c r="C116"/>
  <c r="F89"/>
  <c r="M89" s="1"/>
  <c r="D90"/>
  <c r="K90" s="1"/>
  <c r="C55"/>
  <c r="B116"/>
  <c r="D146"/>
  <c r="D98"/>
  <c r="G23"/>
  <c r="G78"/>
  <c r="C64"/>
  <c r="I99" l="1"/>
  <c r="B127"/>
  <c r="M99"/>
  <c r="F127"/>
  <c r="L83"/>
  <c r="E127"/>
  <c r="E152"/>
  <c r="M96"/>
  <c r="J89"/>
  <c r="L96"/>
  <c r="E90"/>
  <c r="L90" s="1"/>
  <c r="L89"/>
  <c r="B90"/>
  <c r="N89"/>
  <c r="I89"/>
  <c r="D10" i="9"/>
  <c r="K95" i="5"/>
  <c r="K94"/>
  <c r="K93"/>
  <c r="K92"/>
  <c r="K88"/>
  <c r="K86"/>
  <c r="K85"/>
  <c r="K84"/>
  <c r="K82"/>
  <c r="K81"/>
  <c r="K78"/>
  <c r="K76"/>
  <c r="N87"/>
  <c r="M87"/>
  <c r="K99"/>
  <c r="K83"/>
  <c r="L99"/>
  <c r="K98"/>
  <c r="N96"/>
  <c r="I96"/>
  <c r="N95"/>
  <c r="N93"/>
  <c r="N88"/>
  <c r="N86"/>
  <c r="N84"/>
  <c r="N82"/>
  <c r="I95"/>
  <c r="I93"/>
  <c r="I88"/>
  <c r="I86"/>
  <c r="I84"/>
  <c r="I82"/>
  <c r="I78"/>
  <c r="N94"/>
  <c r="N92"/>
  <c r="N85"/>
  <c r="N81"/>
  <c r="I94"/>
  <c r="I92"/>
  <c r="I85"/>
  <c r="I83"/>
  <c r="I81"/>
  <c r="I76"/>
  <c r="F10" i="9"/>
  <c r="M95" i="5"/>
  <c r="M94"/>
  <c r="M93"/>
  <c r="M92"/>
  <c r="M88"/>
  <c r="M86"/>
  <c r="M85"/>
  <c r="M84"/>
  <c r="M82"/>
  <c r="M81"/>
  <c r="M78"/>
  <c r="N78" s="1"/>
  <c r="M76"/>
  <c r="N76" s="1"/>
  <c r="C10" i="9"/>
  <c r="J95" i="5"/>
  <c r="J94"/>
  <c r="J93"/>
  <c r="J92"/>
  <c r="J88"/>
  <c r="J86"/>
  <c r="J85"/>
  <c r="J84"/>
  <c r="J82"/>
  <c r="J81"/>
  <c r="J78"/>
  <c r="J76"/>
  <c r="L95"/>
  <c r="L94"/>
  <c r="L93"/>
  <c r="L92"/>
  <c r="L88"/>
  <c r="L86"/>
  <c r="L85"/>
  <c r="L84"/>
  <c r="L82"/>
  <c r="L81"/>
  <c r="L78"/>
  <c r="L76"/>
  <c r="C150"/>
  <c r="C147"/>
  <c r="K89"/>
  <c r="M83"/>
  <c r="N99"/>
  <c r="J83"/>
  <c r="I87"/>
  <c r="N83"/>
  <c r="J87"/>
  <c r="K87"/>
  <c r="J99"/>
  <c r="L87"/>
  <c r="G96"/>
  <c r="B117"/>
  <c r="C122"/>
  <c r="G35"/>
  <c r="D151"/>
  <c r="F117"/>
  <c r="E116"/>
  <c r="C121"/>
  <c r="D117"/>
  <c r="F123"/>
  <c r="B122"/>
  <c r="F147"/>
  <c r="G147" s="1"/>
  <c r="E150"/>
  <c r="E117"/>
  <c r="C117"/>
  <c r="G53"/>
  <c r="G135"/>
  <c r="E55"/>
  <c r="E151"/>
  <c r="E118"/>
  <c r="F122"/>
  <c r="D55"/>
  <c r="B10" i="9"/>
  <c r="G10" s="1"/>
  <c r="E10"/>
  <c r="F55" i="5"/>
  <c r="G89"/>
  <c r="C118"/>
  <c r="G118" s="1"/>
  <c r="G46"/>
  <c r="B55"/>
  <c r="B37"/>
  <c r="I46" s="1"/>
  <c r="C136"/>
  <c r="D101"/>
  <c r="G27"/>
  <c r="F152"/>
  <c r="G152" s="1"/>
  <c r="F150"/>
  <c r="G150" s="1"/>
  <c r="F146"/>
  <c r="G146" s="1"/>
  <c r="C90"/>
  <c r="B151"/>
  <c r="G151" s="1"/>
  <c r="A107"/>
  <c r="E136"/>
  <c r="D136"/>
  <c r="D134"/>
  <c r="F90"/>
  <c r="F17"/>
  <c r="F134"/>
  <c r="G12"/>
  <c r="E64"/>
  <c r="E122"/>
  <c r="G122" s="1"/>
  <c r="F121"/>
  <c r="E98"/>
  <c r="B98"/>
  <c r="D124"/>
  <c r="D64"/>
  <c r="E27"/>
  <c r="C27"/>
  <c r="B123"/>
  <c r="D116"/>
  <c r="B36"/>
  <c r="F36"/>
  <c r="G63"/>
  <c r="D27"/>
  <c r="G127" l="1"/>
  <c r="D131"/>
  <c r="D128"/>
  <c r="I98"/>
  <c r="G90"/>
  <c r="M90"/>
  <c r="K101"/>
  <c r="K103"/>
  <c r="N90"/>
  <c r="I90"/>
  <c r="E101"/>
  <c r="L98"/>
  <c r="C98"/>
  <c r="J90"/>
  <c r="I36"/>
  <c r="I55"/>
  <c r="D121"/>
  <c r="G117"/>
  <c r="I53"/>
  <c r="F37"/>
  <c r="M17" s="1"/>
  <c r="I61"/>
  <c r="I52"/>
  <c r="I50"/>
  <c r="I44"/>
  <c r="I42"/>
  <c r="I40"/>
  <c r="I34"/>
  <c r="I32"/>
  <c r="I20"/>
  <c r="I14"/>
  <c r="I12"/>
  <c r="I62"/>
  <c r="I60"/>
  <c r="I51"/>
  <c r="I48"/>
  <c r="I43"/>
  <c r="I41"/>
  <c r="I37"/>
  <c r="I33"/>
  <c r="I31"/>
  <c r="I25"/>
  <c r="I21"/>
  <c r="I15"/>
  <c r="I13"/>
  <c r="I63"/>
  <c r="I45"/>
  <c r="I16"/>
  <c r="I17"/>
  <c r="I23"/>
  <c r="I27"/>
  <c r="I35"/>
  <c r="F64"/>
  <c r="E121"/>
  <c r="D12" i="9"/>
  <c r="D31" s="1"/>
  <c r="F65" i="5"/>
  <c r="B64"/>
  <c r="B121"/>
  <c r="G55"/>
  <c r="D130"/>
  <c r="B101"/>
  <c r="B124"/>
  <c r="G134"/>
  <c r="F98"/>
  <c r="M98" s="1"/>
  <c r="F136"/>
  <c r="G136" s="1"/>
  <c r="F116"/>
  <c r="G116" s="1"/>
  <c r="G17"/>
  <c r="G37"/>
  <c r="C101"/>
  <c r="C128" s="1"/>
  <c r="E124"/>
  <c r="C36"/>
  <c r="E137"/>
  <c r="C123"/>
  <c r="C137"/>
  <c r="C37"/>
  <c r="E36"/>
  <c r="E123"/>
  <c r="E37"/>
  <c r="D37"/>
  <c r="D36"/>
  <c r="F137"/>
  <c r="D123"/>
  <c r="G123" s="1"/>
  <c r="E130"/>
  <c r="G36"/>
  <c r="D137"/>
  <c r="B128" l="1"/>
  <c r="E131"/>
  <c r="E128"/>
  <c r="M64"/>
  <c r="C131"/>
  <c r="C130"/>
  <c r="C129"/>
  <c r="C12" i="9"/>
  <c r="C31" s="1"/>
  <c r="C53" s="1"/>
  <c r="J101" i="5"/>
  <c r="J103"/>
  <c r="I101"/>
  <c r="I103"/>
  <c r="C124"/>
  <c r="J98"/>
  <c r="E12" i="9"/>
  <c r="E31" s="1"/>
  <c r="L101" i="5"/>
  <c r="L103"/>
  <c r="M55"/>
  <c r="N98"/>
  <c r="B12" i="9"/>
  <c r="G98" i="5"/>
  <c r="K62"/>
  <c r="K61"/>
  <c r="K60"/>
  <c r="K52"/>
  <c r="K51"/>
  <c r="K50"/>
  <c r="K48"/>
  <c r="K43"/>
  <c r="K42"/>
  <c r="K41"/>
  <c r="K40"/>
  <c r="K37"/>
  <c r="K34"/>
  <c r="K33"/>
  <c r="K32"/>
  <c r="K31"/>
  <c r="K25"/>
  <c r="K21"/>
  <c r="K20"/>
  <c r="K15"/>
  <c r="K14"/>
  <c r="K13"/>
  <c r="K12"/>
  <c r="K16"/>
  <c r="K45"/>
  <c r="K63"/>
  <c r="K35"/>
  <c r="K46"/>
  <c r="K23"/>
  <c r="K53"/>
  <c r="K17"/>
  <c r="J62"/>
  <c r="J61"/>
  <c r="J60"/>
  <c r="J52"/>
  <c r="J51"/>
  <c r="J50"/>
  <c r="J48"/>
  <c r="J43"/>
  <c r="J42"/>
  <c r="J41"/>
  <c r="J40"/>
  <c r="J37"/>
  <c r="J34"/>
  <c r="J33"/>
  <c r="J32"/>
  <c r="J31"/>
  <c r="J25"/>
  <c r="J21"/>
  <c r="J20"/>
  <c r="J15"/>
  <c r="J14"/>
  <c r="J12"/>
  <c r="J16"/>
  <c r="J13"/>
  <c r="J45"/>
  <c r="J35"/>
  <c r="J55"/>
  <c r="J23"/>
  <c r="J46"/>
  <c r="J53"/>
  <c r="J63"/>
  <c r="J17"/>
  <c r="J64"/>
  <c r="N64"/>
  <c r="I64"/>
  <c r="G137"/>
  <c r="K36"/>
  <c r="J36"/>
  <c r="G121"/>
  <c r="N46"/>
  <c r="N63"/>
  <c r="N53"/>
  <c r="K64"/>
  <c r="M36"/>
  <c r="N15"/>
  <c r="N25"/>
  <c r="N33"/>
  <c r="N41"/>
  <c r="N48"/>
  <c r="N60"/>
  <c r="N14"/>
  <c r="N32"/>
  <c r="N40"/>
  <c r="N44"/>
  <c r="N52"/>
  <c r="N35"/>
  <c r="J27"/>
  <c r="K55"/>
  <c r="N17"/>
  <c r="L62"/>
  <c r="L61"/>
  <c r="L60"/>
  <c r="L52"/>
  <c r="L51"/>
  <c r="L50"/>
  <c r="L48"/>
  <c r="L43"/>
  <c r="L42"/>
  <c r="L41"/>
  <c r="L40"/>
  <c r="L37"/>
  <c r="L34"/>
  <c r="L33"/>
  <c r="L32"/>
  <c r="L31"/>
  <c r="L25"/>
  <c r="L21"/>
  <c r="L20"/>
  <c r="L15"/>
  <c r="L14"/>
  <c r="L12"/>
  <c r="L45"/>
  <c r="L16"/>
  <c r="L13"/>
  <c r="L23"/>
  <c r="L17"/>
  <c r="L53"/>
  <c r="L63"/>
  <c r="L46"/>
  <c r="L35"/>
  <c r="M62"/>
  <c r="M61"/>
  <c r="M60"/>
  <c r="M52"/>
  <c r="M51"/>
  <c r="M50"/>
  <c r="M48"/>
  <c r="M43"/>
  <c r="M42"/>
  <c r="M41"/>
  <c r="M40"/>
  <c r="M37"/>
  <c r="M34"/>
  <c r="M33"/>
  <c r="M32"/>
  <c r="M25"/>
  <c r="M21"/>
  <c r="M20"/>
  <c r="M15"/>
  <c r="M14"/>
  <c r="M12"/>
  <c r="M45"/>
  <c r="M16"/>
  <c r="M23"/>
  <c r="M13"/>
  <c r="M46"/>
  <c r="M27"/>
  <c r="M63"/>
  <c r="M53"/>
  <c r="M35"/>
  <c r="L36"/>
  <c r="L55"/>
  <c r="L27"/>
  <c r="N16"/>
  <c r="N45"/>
  <c r="N13"/>
  <c r="N21"/>
  <c r="N31"/>
  <c r="N37"/>
  <c r="N43"/>
  <c r="N51"/>
  <c r="N62"/>
  <c r="N12"/>
  <c r="N20"/>
  <c r="N34"/>
  <c r="N42"/>
  <c r="N50"/>
  <c r="N61"/>
  <c r="N27"/>
  <c r="N23"/>
  <c r="L64"/>
  <c r="K27"/>
  <c r="N55"/>
  <c r="N36"/>
  <c r="D53" i="9"/>
  <c r="D65" i="5"/>
  <c r="E65"/>
  <c r="G64"/>
  <c r="B65"/>
  <c r="C65"/>
  <c r="E129"/>
  <c r="F101"/>
  <c r="F124"/>
  <c r="G124" s="1"/>
  <c r="C138"/>
  <c r="F138"/>
  <c r="E138"/>
  <c r="D138"/>
  <c r="D129"/>
  <c r="F131" l="1"/>
  <c r="F128"/>
  <c r="G128" s="1"/>
  <c r="B31" i="9"/>
  <c r="G101" i="5"/>
  <c r="M101"/>
  <c r="M103"/>
  <c r="N103"/>
  <c r="E53" i="9"/>
  <c r="N101" i="5"/>
  <c r="F12" i="9"/>
  <c r="F31" s="1"/>
  <c r="F129" i="5"/>
  <c r="G129" s="1"/>
  <c r="F130"/>
  <c r="G130" s="1"/>
  <c r="G131"/>
  <c r="G138"/>
  <c r="G31" i="9" l="1"/>
  <c r="B53"/>
  <c r="G12"/>
  <c r="F53"/>
  <c r="G53" l="1"/>
  <c r="B57" l="1"/>
  <c r="B58" l="1"/>
  <c r="C55"/>
  <c r="C57" l="1"/>
  <c r="C58" s="1"/>
  <c r="D55" l="1"/>
  <c r="D57" s="1"/>
  <c r="D58" s="1"/>
  <c r="E55" l="1"/>
  <c r="E57" l="1"/>
  <c r="E58" s="1"/>
  <c r="F55" l="1"/>
  <c r="G55" s="1"/>
  <c r="F57" l="1"/>
  <c r="F58" l="1"/>
  <c r="G57"/>
</calcChain>
</file>

<file path=xl/sharedStrings.xml><?xml version="1.0" encoding="utf-8"?>
<sst xmlns="http://schemas.openxmlformats.org/spreadsheetml/2006/main" count="170" uniqueCount="156">
  <si>
    <t>Account Name</t>
  </si>
  <si>
    <t>Asset-utilization Ratios:</t>
  </si>
  <si>
    <t>Average</t>
  </si>
  <si>
    <t>Avg. Annual</t>
  </si>
  <si>
    <t>Cash &amp; Equivalents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</si>
  <si>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</si>
  <si>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</si>
  <si>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</si>
  <si>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</si>
  <si>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</si>
  <si>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</si>
  <si>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</si>
  <si>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</si>
  <si>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</si>
  <si>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</si>
  <si>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</si>
  <si>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</si>
  <si>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</si>
  <si>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</si>
  <si>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</si>
  <si>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</si>
  <si>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</si>
  <si>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</si>
  <si>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</si>
  <si>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</si>
  <si>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</si>
  <si>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</si>
  <si>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</si>
  <si>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</si>
  <si>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</si>
  <si>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</si>
  <si>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</si>
  <si>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</si>
  <si>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</si>
  <si>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</si>
  <si>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</si>
  <si>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</si>
  <si>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</si>
  <si>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</si>
  <si>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</si>
  <si>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Common Size</t>
  </si>
  <si>
    <t>Historical Balance Sheets</t>
  </si>
  <si>
    <t xml:space="preserve">   Depreciation and amortization</t>
  </si>
  <si>
    <t xml:space="preserve">   Taxes, other than income taxes</t>
  </si>
  <si>
    <t xml:space="preserve">   Interest expense (net)</t>
  </si>
  <si>
    <t>Total Other Income/Expense</t>
  </si>
  <si>
    <t>Total Revenues</t>
  </si>
  <si>
    <t xml:space="preserve">   Loss (Gain) on Sale of Assets</t>
  </si>
  <si>
    <t>Other PP&amp;E</t>
  </si>
  <si>
    <t>Accumulated Depreciation &amp; Amort.</t>
  </si>
  <si>
    <t>Net Plant &amp; Equipment</t>
  </si>
  <si>
    <t>Regulatory Assets</t>
  </si>
  <si>
    <t>Long-Term Debt</t>
  </si>
  <si>
    <t>Other Deferred Credits</t>
  </si>
  <si>
    <t>Total LTD &amp; Deferrals</t>
  </si>
  <si>
    <t>Total Plant &amp; Equipment:</t>
  </si>
  <si>
    <t>Common Equity:</t>
  </si>
  <si>
    <t>Return On Total Capital</t>
  </si>
  <si>
    <t>Profitability Ratios:</t>
  </si>
  <si>
    <t>Other Assets:</t>
  </si>
  <si>
    <t>Total Other Assets</t>
  </si>
  <si>
    <t>Acounts Payable</t>
  </si>
  <si>
    <t xml:space="preserve">   Operating and Maintenance</t>
  </si>
  <si>
    <t>Years Ended December 31</t>
  </si>
  <si>
    <t>Exhibit 1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</si>
  <si>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</si>
  <si>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</si>
  <si>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</si>
  <si>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</si>
  <si>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</si>
  <si>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</si>
  <si>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Patrons Capital</t>
  </si>
  <si>
    <t>Operating Revenues</t>
  </si>
  <si>
    <t xml:space="preserve">   Other</t>
  </si>
  <si>
    <t>Current Portion of LTD</t>
  </si>
  <si>
    <t>Customer Deposits</t>
  </si>
  <si>
    <t>Cost of Purchased Power</t>
  </si>
  <si>
    <t xml:space="preserve">   Other (Income) Expense</t>
  </si>
  <si>
    <t>Total Patronage Equity</t>
  </si>
  <si>
    <t>Administrative and General Expenses</t>
  </si>
  <si>
    <t>Return of Patrons Capital</t>
  </si>
  <si>
    <t>Net Margin</t>
  </si>
  <si>
    <t>Loan Covenants:</t>
  </si>
  <si>
    <t>Return On Patrons Capital</t>
  </si>
  <si>
    <t>Other Current and Accrued Liabilities</t>
  </si>
  <si>
    <t>Other Deferred Credit</t>
  </si>
  <si>
    <t>Investment in CFC and Others</t>
  </si>
  <si>
    <t>Perpetual Line of Credit</t>
  </si>
  <si>
    <t>Accrued Expenses</t>
  </si>
  <si>
    <t>page 3 of 6</t>
  </si>
  <si>
    <t>page 5 of 6</t>
  </si>
  <si>
    <t>page 1 of 6</t>
  </si>
  <si>
    <t>page 2 of 6</t>
  </si>
  <si>
    <t>Dixie Escalante Rural Electric Association, Inc</t>
  </si>
  <si>
    <t>Material and Supplies</t>
  </si>
  <si>
    <t>Notes Receivable Related Party</t>
  </si>
  <si>
    <t>Memberships</t>
  </si>
  <si>
    <t>Customer Advances for Construction</t>
  </si>
  <si>
    <t>Deferred Revenue - Impact Fees</t>
  </si>
  <si>
    <t xml:space="preserve">   Customer Service</t>
  </si>
  <si>
    <t xml:space="preserve">   Consumer Accounts</t>
  </si>
  <si>
    <t>Patronage Capital Credits</t>
  </si>
  <si>
    <t>2008 to 2012</t>
  </si>
  <si>
    <t>Non-utility Property</t>
  </si>
  <si>
    <t>Construction Work in Progress</t>
  </si>
  <si>
    <t>Historical Cash Flow Statements</t>
  </si>
  <si>
    <t>(Thousands of dollars)</t>
  </si>
  <si>
    <t>Cash flows from operating activities:</t>
  </si>
  <si>
    <t xml:space="preserve">       Depreciation and amortization</t>
  </si>
  <si>
    <t xml:space="preserve">       Cumulative Affect of Accounting Chng and Other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</si>
  <si>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</si>
  <si>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</si>
  <si>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</si>
  <si>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</si>
  <si>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</si>
  <si>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</si>
  <si>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</si>
  <si>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Proceeds from long-term debt</t>
  </si>
  <si>
    <t xml:space="preserve">     Long-term debt repaid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</si>
  <si>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</si>
  <si>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</si>
  <si>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</si>
  <si>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</si>
  <si>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 xml:space="preserve">   Net Margin</t>
  </si>
  <si>
    <t xml:space="preserve">   Adjustments to reconcile net income to net cash</t>
  </si>
  <si>
    <t xml:space="preserve">       Accretion of deferred revenue</t>
  </si>
  <si>
    <t xml:space="preserve">       Accretion of deferred gain on debt restructuring</t>
  </si>
  <si>
    <t xml:space="preserve">      (increase)/decrease in CFC Investment</t>
  </si>
  <si>
    <t xml:space="preserve">      (increase)/decrease in Accounts Receivable</t>
  </si>
  <si>
    <t xml:space="preserve">      (increase)/decrease in Materials and Supplies</t>
  </si>
  <si>
    <t xml:space="preserve">      (increase)/decrease in Other Assets</t>
  </si>
  <si>
    <t xml:space="preserve">      (increase)/decrease in Notes Receivable</t>
  </si>
  <si>
    <t xml:space="preserve">      increase/(decrease) in Accounts Payable</t>
  </si>
  <si>
    <t xml:space="preserve">      increase/(decrease) in Customer Deposits</t>
  </si>
  <si>
    <t xml:space="preserve">      increase/(decrease) in Accrued Expenses</t>
  </si>
  <si>
    <t xml:space="preserve">      increase/(decrease) in Accrued Personal Leave</t>
  </si>
  <si>
    <t xml:space="preserve">      increase/(decrease) in Unclaimed Capital Credits</t>
  </si>
  <si>
    <t xml:space="preserve">   Changes in assets and liabilities: </t>
  </si>
  <si>
    <t xml:space="preserve">     Purchase of non utility property</t>
  </si>
  <si>
    <t xml:space="preserve">     Sale of non utility property</t>
  </si>
  <si>
    <t xml:space="preserve">     Customer advance for impact fees</t>
  </si>
  <si>
    <t xml:space="preserve">     Customer advance for construction</t>
  </si>
  <si>
    <t xml:space="preserve">     Refund of Capital Credits</t>
  </si>
  <si>
    <t xml:space="preserve">     Refund of customer advance</t>
  </si>
  <si>
    <t>Accounts Receivable - Customers</t>
  </si>
  <si>
    <t>Accounts Receivable - Other</t>
  </si>
  <si>
    <t xml:space="preserve">       Gain or Loss on sale of assets</t>
  </si>
  <si>
    <t xml:space="preserve">     Investments in joint projects</t>
  </si>
  <si>
    <t>Historical Balance Sheet</t>
  </si>
  <si>
    <t>Wt Average</t>
  </si>
  <si>
    <t>Financial Ratios</t>
  </si>
  <si>
    <t>Gross Margin</t>
  </si>
  <si>
    <t>Notes Receivable - Ft Pierce Indust</t>
  </si>
  <si>
    <t>page 4 of 6</t>
  </si>
  <si>
    <t>Historical Income Statement</t>
  </si>
  <si>
    <t>page 6 of 6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</si>
</sst>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5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3" fontId="6" fillId="2" borderId="0"/>
    <xf numFmtId="5" fontId="6" fillId="2" borderId="0"/>
    <xf numFmtId="0" fontId="6" fillId="2" borderId="0"/>
    <xf numFmtId="2" fontId="6" fillId="2" borderId="0"/>
    <xf numFmtId="0" fontId="1" fillId="2" borderId="0"/>
    <xf numFmtId="0" fontId="2" fillId="2" borderId="0"/>
    <xf numFmtId="0" fontId="6" fillId="0" borderId="0" applyFill="0" applyBorder="0"/>
    <xf numFmtId="10" fontId="5" fillId="2" borderId="0"/>
    <xf numFmtId="0" fontId="6" fillId="2" borderId="1"/>
  </cellStyleXfs>
  <cellXfs count="135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Border="1"/>
    <xf numFmtId="5" fontId="6" fillId="2" borderId="0" xfId="0" applyNumberFormat="1" applyFont="1" applyFill="1"/>
    <xf numFmtId="5" fontId="8" fillId="2" borderId="0" xfId="0" applyNumberFormat="1" applyFont="1" applyFill="1"/>
    <xf numFmtId="5" fontId="6" fillId="2" borderId="0" xfId="0" applyNumberFormat="1" applyFont="1" applyFill="1" applyAlignment="1">
      <alignment horizontal="centerContinuous"/>
    </xf>
    <xf numFmtId="10" fontId="6" fillId="2" borderId="0" xfId="0" applyNumberFormat="1" applyFont="1" applyFill="1" applyAlignment="1">
      <alignment horizontal="centerContinuous"/>
    </xf>
    <xf numFmtId="10" fontId="7" fillId="2" borderId="0" xfId="0" quotePrefix="1" applyNumberFormat="1" applyFont="1" applyFill="1" applyAlignment="1">
      <alignment horizontal="right"/>
    </xf>
    <xf numFmtId="5" fontId="6" fillId="2" borderId="0" xfId="0" applyNumberFormat="1" applyFont="1" applyFill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0" fontId="7" fillId="2" borderId="6" xfId="0" applyNumberFormat="1" applyFont="1" applyFill="1" applyBorder="1" applyAlignment="1">
      <alignment horizontal="right"/>
    </xf>
    <xf numFmtId="164" fontId="7" fillId="2" borderId="0" xfId="0" quotePrefix="1" applyNumberFormat="1" applyFont="1" applyFill="1" applyAlignment="1">
      <alignment horizontal="centerContinuous"/>
    </xf>
    <xf numFmtId="5" fontId="9" fillId="2" borderId="0" xfId="0" applyNumberFormat="1" applyFont="1" applyFill="1"/>
    <xf numFmtId="10" fontId="6" fillId="2" borderId="0" xfId="0" applyNumberFormat="1" applyFont="1" applyFill="1"/>
    <xf numFmtId="37" fontId="6" fillId="0" borderId="0" xfId="0" applyNumberFormat="1" applyFont="1"/>
    <xf numFmtId="5" fontId="6" fillId="2" borderId="0" xfId="0" quotePrefix="1" applyNumberFormat="1" applyFont="1" applyFill="1" applyAlignment="1">
      <alignment horizontal="left"/>
    </xf>
    <xf numFmtId="5" fontId="6" fillId="2" borderId="0" xfId="0" applyNumberFormat="1" applyFont="1" applyFill="1" applyAlignment="1">
      <alignment horizontal="left"/>
    </xf>
    <xf numFmtId="10" fontId="6" fillId="2" borderId="6" xfId="0" applyNumberFormat="1" applyFont="1" applyFill="1" applyBorder="1"/>
    <xf numFmtId="5" fontId="6" fillId="2" borderId="3" xfId="0" applyNumberFormat="1" applyFont="1" applyFill="1" applyBorder="1"/>
    <xf numFmtId="5" fontId="6" fillId="2" borderId="0" xfId="0" applyNumberFormat="1" applyFont="1" applyFill="1" applyBorder="1"/>
    <xf numFmtId="10" fontId="6" fillId="2" borderId="7" xfId="0" applyNumberFormat="1" applyFont="1" applyFill="1" applyBorder="1"/>
    <xf numFmtId="10" fontId="6" fillId="2" borderId="4" xfId="0" applyNumberFormat="1" applyFont="1" applyFill="1" applyBorder="1"/>
    <xf numFmtId="5" fontId="6" fillId="2" borderId="5" xfId="0" applyNumberFormat="1" applyFont="1" applyFill="1" applyBorder="1"/>
    <xf numFmtId="5" fontId="6" fillId="0" borderId="0" xfId="0" applyNumberFormat="1" applyFont="1" applyFill="1" applyAlignment="1">
      <alignment horizontal="left"/>
    </xf>
    <xf numFmtId="10" fontId="6" fillId="2" borderId="8" xfId="0" applyNumberFormat="1" applyFont="1" applyFill="1" applyBorder="1"/>
    <xf numFmtId="5" fontId="10" fillId="2" borderId="0" xfId="0" applyNumberFormat="1" applyFont="1" applyFill="1" applyAlignment="1">
      <alignment horizontal="centerContinuous"/>
    </xf>
    <xf numFmtId="5" fontId="2" fillId="2" borderId="0" xfId="0" applyNumberFormat="1" applyFont="1" applyFill="1" applyAlignment="1">
      <alignment horizontal="centerContinuous"/>
    </xf>
    <xf numFmtId="164" fontId="2" fillId="2" borderId="0" xfId="0" applyNumberFormat="1" applyFont="1" applyFill="1" applyAlignment="1">
      <alignment horizontal="centerContinuous"/>
    </xf>
    <xf numFmtId="10" fontId="6" fillId="2" borderId="0" xfId="0" applyNumberFormat="1" applyFont="1" applyFill="1" applyAlignment="1">
      <alignment horizontal="right"/>
    </xf>
    <xf numFmtId="0" fontId="6" fillId="2" borderId="0" xfId="0" applyFont="1" applyFill="1" applyBorder="1"/>
    <xf numFmtId="10" fontId="6" fillId="2" borderId="0" xfId="0" applyNumberFormat="1" applyFont="1" applyFill="1" applyBorder="1" applyAlignment="1">
      <alignment horizontal="right"/>
    </xf>
    <xf numFmtId="10" fontId="6" fillId="2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5" fontId="11" fillId="2" borderId="0" xfId="0" quotePrefix="1" applyNumberFormat="1" applyFont="1" applyFill="1" applyAlignment="1">
      <alignment horizontal="left"/>
    </xf>
    <xf numFmtId="37" fontId="6" fillId="2" borderId="0" xfId="8" applyNumberFormat="1" applyFont="1" applyFill="1" applyBorder="1" applyAlignment="1">
      <alignment horizontal="right"/>
    </xf>
    <xf numFmtId="0" fontId="6" fillId="2" borderId="3" xfId="0" applyFont="1" applyFill="1" applyBorder="1"/>
    <xf numFmtId="2" fontId="6" fillId="2" borderId="0" xfId="0" applyNumberFormat="1" applyFont="1" applyFill="1" applyBorder="1"/>
    <xf numFmtId="2" fontId="6" fillId="2" borderId="0" xfId="0" applyNumberFormat="1" applyFont="1" applyFill="1"/>
    <xf numFmtId="10" fontId="6" fillId="2" borderId="0" xfId="9" applyFont="1"/>
    <xf numFmtId="2" fontId="6" fillId="2" borderId="0" xfId="0" applyNumberFormat="1" applyFont="1" applyFill="1" applyAlignment="1">
      <alignment horizontal="right"/>
    </xf>
    <xf numFmtId="165" fontId="6" fillId="2" borderId="0" xfId="1" applyNumberFormat="1" applyFont="1" applyFill="1"/>
    <xf numFmtId="165" fontId="6" fillId="2" borderId="6" xfId="1" applyNumberFormat="1" applyFont="1" applyFill="1" applyBorder="1"/>
    <xf numFmtId="10" fontId="12" fillId="2" borderId="0" xfId="0" applyNumberFormat="1" applyFont="1" applyFill="1" applyBorder="1" applyAlignment="1">
      <alignment horizontal="right"/>
    </xf>
    <xf numFmtId="10" fontId="12" fillId="2" borderId="6" xfId="0" applyNumberFormat="1" applyFont="1" applyFill="1" applyBorder="1" applyAlignment="1">
      <alignment horizontal="right"/>
    </xf>
    <xf numFmtId="165" fontId="6" fillId="2" borderId="0" xfId="1" applyNumberFormat="1" applyFont="1" applyFill="1" applyBorder="1"/>
    <xf numFmtId="5" fontId="7" fillId="2" borderId="0" xfId="0" applyNumberFormat="1" applyFont="1" applyFill="1"/>
    <xf numFmtId="0" fontId="7" fillId="2" borderId="6" xfId="0" applyNumberFormat="1" applyFont="1" applyFill="1" applyBorder="1"/>
    <xf numFmtId="5" fontId="7" fillId="2" borderId="0" xfId="0" applyNumberFormat="1" applyFont="1" applyFill="1" applyAlignment="1">
      <alignment horizontal="right"/>
    </xf>
    <xf numFmtId="10" fontId="7" fillId="2" borderId="0" xfId="0" applyNumberFormat="1" applyFont="1" applyFill="1" applyAlignment="1">
      <alignment horizontal="right"/>
    </xf>
    <xf numFmtId="5" fontId="7" fillId="2" borderId="2" xfId="0" applyNumberFormat="1" applyFont="1" applyFill="1" applyBorder="1"/>
    <xf numFmtId="10" fontId="7" fillId="2" borderId="2" xfId="0" applyNumberFormat="1" applyFont="1" applyFill="1" applyBorder="1" applyAlignment="1">
      <alignment horizontal="right"/>
    </xf>
    <xf numFmtId="15" fontId="7" fillId="2" borderId="0" xfId="0" applyNumberFormat="1" applyFont="1" applyFill="1" applyAlignment="1">
      <alignment horizontal="right"/>
    </xf>
    <xf numFmtId="165" fontId="6" fillId="2" borderId="0" xfId="1" applyNumberFormat="1" applyFont="1" applyFill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5" fontId="6" fillId="2" borderId="3" xfId="1" applyNumberFormat="1" applyFont="1" applyFill="1" applyBorder="1"/>
    <xf numFmtId="165" fontId="6" fillId="2" borderId="7" xfId="1" applyNumberFormat="1" applyFont="1" applyFill="1" applyBorder="1"/>
    <xf numFmtId="165" fontId="6" fillId="2" borderId="4" xfId="1" applyNumberFormat="1" applyFont="1" applyFill="1" applyBorder="1"/>
    <xf numFmtId="165" fontId="6" fillId="0" borderId="0" xfId="1" applyNumberFormat="1" applyFont="1"/>
    <xf numFmtId="165" fontId="3" fillId="2" borderId="0" xfId="1" applyNumberFormat="1" applyFont="1" applyFill="1"/>
    <xf numFmtId="165" fontId="11" fillId="0" borderId="0" xfId="1" applyNumberFormat="1" applyFont="1" applyFill="1" applyBorder="1"/>
    <xf numFmtId="165" fontId="11" fillId="3" borderId="0" xfId="1" applyNumberFormat="1" applyFont="1" applyFill="1" applyBorder="1"/>
    <xf numFmtId="165" fontId="11" fillId="3" borderId="3" xfId="1" applyNumberFormat="1" applyFont="1" applyFill="1" applyBorder="1"/>
    <xf numFmtId="165" fontId="11" fillId="0" borderId="3" xfId="1" applyNumberFormat="1" applyFont="1" applyFill="1" applyBorder="1"/>
    <xf numFmtId="165" fontId="11" fillId="3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6" xfId="1" applyNumberFormat="1" applyFont="1" applyFill="1" applyBorder="1"/>
    <xf numFmtId="165" fontId="11" fillId="0" borderId="4" xfId="1" applyNumberFormat="1" applyFont="1" applyFill="1" applyBorder="1"/>
    <xf numFmtId="165" fontId="11" fillId="3" borderId="5" xfId="1" applyNumberFormat="1" applyFont="1" applyFill="1" applyBorder="1"/>
    <xf numFmtId="10" fontId="12" fillId="2" borderId="0" xfId="0" applyNumberFormat="1" applyFont="1" applyFill="1" applyAlignment="1">
      <alignment horizontal="right"/>
    </xf>
    <xf numFmtId="0" fontId="6" fillId="2" borderId="0" xfId="8" applyFont="1" applyFill="1"/>
    <xf numFmtId="0" fontId="6" fillId="2" borderId="0" xfId="8" applyFill="1"/>
    <xf numFmtId="0" fontId="3" fillId="2" borderId="0" xfId="8" applyFont="1" applyFill="1"/>
    <xf numFmtId="0" fontId="3" fillId="2" borderId="0" xfId="8" applyFont="1" applyFill="1" applyAlignment="1">
      <alignment horizontal="centerContinuous"/>
    </xf>
    <xf numFmtId="5" fontId="10" fillId="2" borderId="0" xfId="8" applyNumberFormat="1" applyFont="1" applyFill="1" applyAlignment="1">
      <alignment horizontal="centerContinuous"/>
    </xf>
    <xf numFmtId="0" fontId="13" fillId="2" borderId="0" xfId="8" applyFont="1" applyFill="1" applyAlignment="1">
      <alignment horizontal="centerContinuous"/>
    </xf>
    <xf numFmtId="0" fontId="14" fillId="2" borderId="0" xfId="8" applyFont="1" applyFill="1" applyAlignment="1">
      <alignment horizontal="centerContinuous"/>
    </xf>
    <xf numFmtId="37" fontId="7" fillId="2" borderId="0" xfId="8" applyNumberFormat="1" applyFont="1" applyFill="1" applyAlignment="1">
      <alignment horizontal="centerContinuous"/>
    </xf>
    <xf numFmtId="37" fontId="7" fillId="0" borderId="0" xfId="8" applyNumberFormat="1" applyFont="1" applyBorder="1" applyAlignment="1"/>
    <xf numFmtId="37" fontId="7" fillId="2" borderId="0" xfId="0" quotePrefix="1" applyNumberFormat="1" applyFont="1" applyFill="1" applyAlignment="1">
      <alignment horizontal="right"/>
    </xf>
    <xf numFmtId="0" fontId="7" fillId="0" borderId="0" xfId="8" applyNumberFormat="1" applyFont="1" applyFill="1" applyBorder="1" applyAlignment="1">
      <alignment horizontal="right"/>
    </xf>
    <xf numFmtId="0" fontId="7" fillId="0" borderId="6" xfId="8" applyNumberFormat="1" applyFont="1" applyFill="1" applyBorder="1" applyAlignment="1">
      <alignment horizontal="right"/>
    </xf>
    <xf numFmtId="37" fontId="6" fillId="0" borderId="0" xfId="8" applyNumberFormat="1" applyFont="1" applyBorder="1" applyAlignment="1"/>
    <xf numFmtId="37" fontId="6" fillId="0" borderId="0" xfId="8" applyNumberFormat="1" applyFont="1" applyFill="1" applyBorder="1" applyAlignment="1">
      <alignment horizontal="right"/>
    </xf>
    <xf numFmtId="37" fontId="6" fillId="2" borderId="0" xfId="0" applyNumberFormat="1" applyFont="1" applyFill="1" applyBorder="1" applyAlignment="1">
      <alignment horizontal="right"/>
    </xf>
    <xf numFmtId="37" fontId="6" fillId="0" borderId="0" xfId="8" applyNumberFormat="1" applyFont="1" applyFill="1" applyBorder="1" applyAlignment="1">
      <alignment vertical="center"/>
    </xf>
    <xf numFmtId="10" fontId="6" fillId="2" borderId="0" xfId="8" applyNumberFormat="1" applyFont="1" applyFill="1" applyBorder="1"/>
    <xf numFmtId="37" fontId="6" fillId="0" borderId="0" xfId="8" applyNumberFormat="1" applyFont="1" applyBorder="1" applyAlignment="1">
      <alignment vertical="center"/>
    </xf>
    <xf numFmtId="37" fontId="6" fillId="3" borderId="0" xfId="8" quotePrefix="1" applyNumberFormat="1" applyFont="1" applyFill="1" applyBorder="1" applyAlignment="1">
      <alignment horizontal="left"/>
    </xf>
    <xf numFmtId="37" fontId="6" fillId="0" borderId="0" xfId="8" quotePrefix="1" applyNumberFormat="1" applyFont="1" applyBorder="1" applyAlignment="1">
      <alignment horizontal="left" vertical="center"/>
    </xf>
    <xf numFmtId="37" fontId="6" fillId="0" borderId="0" xfId="8" applyNumberFormat="1" applyFont="1" applyBorder="1" applyAlignment="1">
      <alignment horizontal="left" vertical="center"/>
    </xf>
    <xf numFmtId="2" fontId="6" fillId="2" borderId="0" xfId="8" applyNumberFormat="1" applyFont="1" applyFill="1" applyBorder="1"/>
    <xf numFmtId="2" fontId="6" fillId="2" borderId="5" xfId="8" applyNumberFormat="1" applyFont="1" applyFill="1" applyBorder="1"/>
    <xf numFmtId="10" fontId="6" fillId="2" borderId="0" xfId="0" quotePrefix="1" applyNumberFormat="1" applyFont="1" applyFill="1" applyAlignment="1">
      <alignment horizontal="right"/>
    </xf>
    <xf numFmtId="37" fontId="12" fillId="2" borderId="0" xfId="8" applyNumberFormat="1" applyFont="1" applyFill="1" applyAlignment="1">
      <alignment horizontal="right"/>
    </xf>
    <xf numFmtId="37" fontId="12" fillId="2" borderId="0" xfId="0" applyNumberFormat="1" applyFont="1" applyFill="1" applyAlignment="1">
      <alignment horizontal="right"/>
    </xf>
    <xf numFmtId="37" fontId="12" fillId="2" borderId="2" xfId="0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5" fontId="6" fillId="2" borderId="0" xfId="1" applyNumberFormat="1" applyFont="1" applyFill="1" applyBorder="1" applyAlignment="1"/>
    <xf numFmtId="165" fontId="6" fillId="2" borderId="0" xfId="1" applyNumberFormat="1" applyFont="1" applyFill="1" applyBorder="1" applyAlignment="1">
      <alignment horizontal="right"/>
    </xf>
    <xf numFmtId="165" fontId="6" fillId="0" borderId="3" xfId="1" applyNumberFormat="1" applyFont="1" applyBorder="1" applyAlignment="1">
      <alignment horizontal="right"/>
    </xf>
    <xf numFmtId="165" fontId="6" fillId="0" borderId="6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5" fontId="6" fillId="2" borderId="5" xfId="1" applyNumberFormat="1" applyFont="1" applyFill="1" applyBorder="1"/>
    <xf numFmtId="37" fontId="7" fillId="0" borderId="0" xfId="8" applyNumberFormat="1" applyFont="1" applyBorder="1" applyAlignment="1">
      <alignment vertical="center"/>
    </xf>
    <xf numFmtId="37" fontId="7" fillId="0" borderId="0" xfId="8" applyNumberFormat="1" applyFont="1" applyFill="1" applyBorder="1" applyAlignment="1">
      <alignment vertical="center"/>
    </xf>
    <xf numFmtId="165" fontId="6" fillId="0" borderId="0" xfId="1" applyNumberFormat="1" applyFont="1" applyFill="1"/>
    <xf numFmtId="165" fontId="6" fillId="0" borderId="0" xfId="1" applyNumberFormat="1" applyFont="1" applyFill="1" applyAlignment="1">
      <alignment horizontal="right"/>
    </xf>
    <xf numFmtId="165" fontId="6" fillId="0" borderId="6" xfId="1" applyNumberFormat="1" applyFont="1" applyFill="1" applyBorder="1"/>
    <xf numFmtId="10" fontId="6" fillId="2" borderId="8" xfId="9" applyFont="1" applyBorder="1"/>
    <xf numFmtId="10" fontId="6" fillId="2" borderId="6" xfId="9" applyFont="1" applyBorder="1"/>
    <xf numFmtId="5" fontId="0" fillId="2" borderId="6" xfId="0" applyNumberFormat="1" applyFill="1" applyBorder="1"/>
    <xf numFmtId="10" fontId="0" fillId="2" borderId="0" xfId="0" applyNumberFormat="1" applyFill="1" applyAlignment="1">
      <alignment horizontal="right"/>
    </xf>
    <xf numFmtId="0" fontId="7" fillId="2" borderId="2" xfId="0" applyFont="1" applyFill="1" applyBorder="1" applyAlignment="1">
      <alignment horizontal="right"/>
    </xf>
    <xf numFmtId="10" fontId="12" fillId="2" borderId="2" xfId="0" applyNumberFormat="1" applyFont="1" applyFill="1" applyBorder="1" applyAlignment="1">
      <alignment horizontal="right"/>
    </xf>
    <xf numFmtId="10" fontId="12" fillId="2" borderId="0" xfId="0" quotePrefix="1" applyNumberFormat="1" applyFont="1" applyFill="1" applyAlignment="1">
      <alignment horizontal="right"/>
    </xf>
    <xf numFmtId="10" fontId="6" fillId="2" borderId="7" xfId="9" applyFont="1" applyBorder="1"/>
    <xf numFmtId="10" fontId="6" fillId="2" borderId="0" xfId="0" applyNumberFormat="1" applyFont="1" applyFill="1" applyBorder="1" applyAlignment="1">
      <alignment horizontal="centerContinuous"/>
    </xf>
    <xf numFmtId="5" fontId="9" fillId="2" borderId="0" xfId="0" applyNumberFormat="1" applyFont="1" applyFill="1" applyBorder="1"/>
    <xf numFmtId="5" fontId="6" fillId="0" borderId="0" xfId="0" applyNumberFormat="1" applyFont="1" applyFill="1"/>
    <xf numFmtId="165" fontId="6" fillId="0" borderId="3" xfId="1" applyNumberFormat="1" applyFont="1" applyFill="1" applyBorder="1" applyAlignment="1">
      <alignment horizontal="right"/>
    </xf>
    <xf numFmtId="165" fontId="6" fillId="2" borderId="0" xfId="0" applyNumberFormat="1" applyFont="1" applyFill="1" applyAlignment="1">
      <alignment horizontal="centerContinuous"/>
    </xf>
    <xf numFmtId="10" fontId="6" fillId="0" borderId="0" xfId="0" applyNumberFormat="1" applyFont="1" applyFill="1"/>
    <xf numFmtId="2" fontId="6" fillId="0" borderId="0" xfId="0" applyNumberFormat="1" applyFont="1" applyFill="1"/>
    <xf numFmtId="10" fontId="6" fillId="0" borderId="0" xfId="9" applyFont="1" applyFill="1"/>
    <xf numFmtId="10" fontId="3" fillId="2" borderId="0" xfId="9" applyFont="1"/>
  </cellXfs>
  <cellStyles count="11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Questar\QUESTAR%20GAS%20Financial%20Forecasting%20Exhibi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 - Exhibit 1"/>
      <sheetName val="Historical CF - Exhibit 1B"/>
    </sheetNames>
    <sheetDataSet>
      <sheetData sheetId="0">
        <row r="5">
          <cell r="A5" t="str">
            <v>Years Ended December 31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showGridLines="0" tabSelected="1" workbookViewId="0"/>
  </sheetViews>
  <sheetFormatPr defaultColWidth="13.7109375" defaultRowHeight="12.75"/>
  <cols>
    <col min="1" max="1" width="31.140625" customWidth="1"/>
    <col min="2" max="6" width="13.7109375" customWidth="1"/>
    <col min="7" max="7" width="11.140625" style="1" customWidth="1"/>
    <col min="8" max="8" width="31.140625" customWidth="1"/>
    <col min="9" max="14" width="11.7109375" customWidth="1"/>
  </cols>
  <sheetData>
    <row r="1" spans="1:14">
      <c r="G1" s="121" t="s">
        <v>64</v>
      </c>
      <c r="N1" s="121" t="s">
        <v>64</v>
      </c>
    </row>
    <row r="2" spans="1:14">
      <c r="G2" s="100" t="s">
        <v>92</v>
      </c>
      <c r="N2" s="100" t="s">
        <v>155</v>
      </c>
    </row>
    <row r="3" spans="1:14" ht="18">
      <c r="A3" s="31" t="s">
        <v>93</v>
      </c>
      <c r="B3" s="4"/>
      <c r="C3" s="4"/>
      <c r="D3" s="4"/>
      <c r="E3" s="4"/>
      <c r="F3" s="4"/>
      <c r="G3" s="5"/>
      <c r="H3" s="31" t="str">
        <f>+A3</f>
        <v>Dixie Escalante Rural Electric Association, Inc</v>
      </c>
      <c r="I3" s="4"/>
      <c r="J3" s="4"/>
      <c r="K3" s="4"/>
      <c r="L3" s="4"/>
      <c r="M3" s="4"/>
      <c r="N3" s="5"/>
    </row>
    <row r="4" spans="1:14" ht="15.75">
      <c r="A4" s="32" t="s">
        <v>41</v>
      </c>
      <c r="B4" s="4"/>
      <c r="C4" s="4"/>
      <c r="D4" s="4"/>
      <c r="E4" s="4"/>
      <c r="F4" s="4"/>
      <c r="G4" s="5"/>
      <c r="H4" s="32" t="s">
        <v>40</v>
      </c>
      <c r="I4" s="4"/>
      <c r="J4" s="4"/>
      <c r="K4" s="4"/>
      <c r="L4" s="4"/>
      <c r="M4" s="4"/>
      <c r="N4" s="5"/>
    </row>
    <row r="5" spans="1:14" ht="15.75">
      <c r="A5" s="33" t="s">
        <v>63</v>
      </c>
      <c r="B5" s="4"/>
      <c r="C5" s="4"/>
      <c r="D5" s="4"/>
      <c r="E5" s="4"/>
      <c r="F5" s="4"/>
      <c r="G5" s="5"/>
      <c r="H5" s="33" t="s">
        <v>148</v>
      </c>
      <c r="I5" s="4"/>
      <c r="J5" s="4"/>
      <c r="K5" s="4"/>
      <c r="L5" s="4"/>
      <c r="M5" s="4"/>
      <c r="N5" s="5"/>
    </row>
    <row r="6" spans="1:14">
      <c r="A6" s="17"/>
      <c r="B6" s="9"/>
      <c r="C6" s="9"/>
      <c r="D6" s="9"/>
      <c r="E6" s="9"/>
      <c r="G6" s="10"/>
      <c r="H6" s="17"/>
      <c r="I6" s="9"/>
      <c r="J6" s="9"/>
      <c r="K6" s="9"/>
      <c r="L6" s="9"/>
      <c r="M6" s="9"/>
      <c r="N6" s="10"/>
    </row>
    <row r="7" spans="1:14">
      <c r="A7" s="9"/>
      <c r="B7" s="9"/>
      <c r="C7" s="9"/>
      <c r="D7" s="9"/>
      <c r="E7" s="9"/>
      <c r="F7" s="9"/>
      <c r="G7" s="124" t="s">
        <v>102</v>
      </c>
      <c r="H7" s="9"/>
      <c r="I7" s="9"/>
      <c r="J7" s="9"/>
      <c r="K7" s="9"/>
      <c r="L7" s="9"/>
      <c r="M7" s="9"/>
    </row>
    <row r="8" spans="1:14">
      <c r="A8" s="7"/>
      <c r="B8" s="7"/>
      <c r="C8" s="12"/>
      <c r="D8" s="13"/>
      <c r="E8" s="13"/>
      <c r="F8" s="130"/>
      <c r="G8" s="50" t="s">
        <v>3</v>
      </c>
      <c r="H8" s="7"/>
      <c r="I8" s="7"/>
      <c r="J8" s="12"/>
      <c r="K8" s="13"/>
      <c r="L8" s="13"/>
      <c r="M8" s="14"/>
      <c r="N8" s="11" t="s">
        <v>102</v>
      </c>
    </row>
    <row r="9" spans="1:14">
      <c r="A9" s="15" t="s">
        <v>0</v>
      </c>
      <c r="B9" s="122">
        <v>2008</v>
      </c>
      <c r="C9" s="122">
        <v>2009</v>
      </c>
      <c r="D9" s="16">
        <v>2010</v>
      </c>
      <c r="E9" s="16">
        <v>2011</v>
      </c>
      <c r="F9" s="16">
        <v>2012</v>
      </c>
      <c r="G9" s="51" t="s">
        <v>20</v>
      </c>
      <c r="H9" s="15" t="s">
        <v>0</v>
      </c>
      <c r="I9" s="15">
        <v>2008</v>
      </c>
      <c r="J9" s="15">
        <v>2009</v>
      </c>
      <c r="K9" s="16">
        <v>2010</v>
      </c>
      <c r="L9" s="16">
        <v>2011</v>
      </c>
      <c r="M9" s="16">
        <v>2012</v>
      </c>
      <c r="N9" s="51" t="s">
        <v>149</v>
      </c>
    </row>
    <row r="10" spans="1:14" ht="7.5" customHeight="1">
      <c r="A10" s="9"/>
      <c r="B10" s="9"/>
      <c r="C10" s="9"/>
      <c r="D10" s="9"/>
      <c r="E10" s="9"/>
      <c r="F10" s="9"/>
      <c r="G10" s="10"/>
    </row>
    <row r="11" spans="1:14">
      <c r="A11" s="8" t="s">
        <v>6</v>
      </c>
      <c r="B11" s="7"/>
      <c r="C11" s="7"/>
      <c r="D11" s="7"/>
      <c r="E11" s="7"/>
      <c r="F11" s="7"/>
      <c r="G11" s="19"/>
      <c r="H11" s="8" t="str">
        <f>+A11</f>
        <v>Current Assets:</v>
      </c>
    </row>
    <row r="12" spans="1:14">
      <c r="A12" s="7" t="s">
        <v>4</v>
      </c>
      <c r="B12" s="48">
        <v>891545</v>
      </c>
      <c r="C12" s="65">
        <v>2296391</v>
      </c>
      <c r="D12" s="65">
        <v>1148903</v>
      </c>
      <c r="E12" s="65">
        <v>1441772</v>
      </c>
      <c r="F12" s="65">
        <v>2712896</v>
      </c>
      <c r="G12" s="19">
        <f t="shared" ref="G12:G17" si="0">RATE(4,,-B12,F12)</f>
        <v>0.32075562540764946</v>
      </c>
      <c r="H12" t="str">
        <f t="shared" ref="H12:H64" si="1">+A12</f>
        <v>Cash &amp; Equivalents</v>
      </c>
      <c r="I12" s="46">
        <f>+B12/B$37</f>
        <v>1.5834325792631845E-2</v>
      </c>
      <c r="J12" s="46">
        <f t="shared" ref="J12:M17" si="2">+C12/C$37</f>
        <v>3.8651385204994948E-2</v>
      </c>
      <c r="K12" s="46">
        <f t="shared" si="2"/>
        <v>1.850056746304727E-2</v>
      </c>
      <c r="L12" s="46">
        <f t="shared" si="2"/>
        <v>2.6163765779771943E-2</v>
      </c>
      <c r="M12" s="46">
        <f t="shared" si="2"/>
        <v>4.6031720957193115E-2</v>
      </c>
      <c r="N12" s="19">
        <f>SUM(B12:F12)/SUM(B$37:F$37)</f>
        <v>2.9094505254950196E-2</v>
      </c>
    </row>
    <row r="13" spans="1:14">
      <c r="A13" s="21" t="s">
        <v>144</v>
      </c>
      <c r="B13" s="48">
        <f>1139356</f>
        <v>1139356</v>
      </c>
      <c r="C13" s="48">
        <f>1050797</f>
        <v>1050797</v>
      </c>
      <c r="D13" s="48">
        <v>1161294</v>
      </c>
      <c r="E13" s="48">
        <f>1231385</f>
        <v>1231385</v>
      </c>
      <c r="F13" s="48">
        <f>1233450</f>
        <v>1233450</v>
      </c>
      <c r="G13" s="19">
        <f t="shared" si="0"/>
        <v>2.003606309846484E-2</v>
      </c>
      <c r="H13" t="str">
        <f t="shared" si="1"/>
        <v>Accounts Receivable - Customers</v>
      </c>
      <c r="I13" s="46">
        <f t="shared" ref="I13:I17" si="3">+B13/B$37</f>
        <v>2.0235584404365285E-2</v>
      </c>
      <c r="J13" s="46">
        <f t="shared" si="2"/>
        <v>1.7686343318386581E-2</v>
      </c>
      <c r="K13" s="46">
        <f t="shared" si="2"/>
        <v>1.8700097389798807E-2</v>
      </c>
      <c r="L13" s="46">
        <f t="shared" si="2"/>
        <v>2.2345883208110904E-2</v>
      </c>
      <c r="M13" s="46">
        <f t="shared" si="2"/>
        <v>2.0928862077517846E-2</v>
      </c>
      <c r="N13" s="19">
        <f t="shared" ref="N13:N17" si="4">SUM(B13:F13)/SUM(B$37:F$37)</f>
        <v>1.9928364566298096E-2</v>
      </c>
    </row>
    <row r="14" spans="1:14">
      <c r="A14" s="21" t="s">
        <v>145</v>
      </c>
      <c r="B14" s="115">
        <v>3505284</v>
      </c>
      <c r="C14" s="115">
        <v>1212103</v>
      </c>
      <c r="D14" s="115">
        <v>462755</v>
      </c>
      <c r="E14" s="115">
        <v>443033</v>
      </c>
      <c r="F14" s="115">
        <v>1187264</v>
      </c>
      <c r="G14" s="19">
        <f t="shared" si="0"/>
        <v>-0.23712036390003474</v>
      </c>
      <c r="H14" t="str">
        <f t="shared" si="1"/>
        <v>Accounts Receivable - Other</v>
      </c>
      <c r="I14" s="133">
        <f t="shared" si="3"/>
        <v>6.2255756974353205E-2</v>
      </c>
      <c r="J14" s="133">
        <f t="shared" si="2"/>
        <v>2.040134278575817E-2</v>
      </c>
      <c r="K14" s="133">
        <f t="shared" si="2"/>
        <v>7.4516561418696264E-3</v>
      </c>
      <c r="L14" s="133">
        <f t="shared" si="2"/>
        <v>8.0396981247448998E-3</v>
      </c>
      <c r="M14" s="133">
        <f t="shared" si="2"/>
        <v>2.0145189919009401E-2</v>
      </c>
      <c r="N14" s="19">
        <f t="shared" si="4"/>
        <v>2.333465111363834E-2</v>
      </c>
    </row>
    <row r="15" spans="1:14">
      <c r="A15" s="22" t="s">
        <v>94</v>
      </c>
      <c r="B15" s="48">
        <v>5410911</v>
      </c>
      <c r="C15" s="48">
        <v>5021390</v>
      </c>
      <c r="D15" s="48">
        <v>4414126</v>
      </c>
      <c r="E15" s="48">
        <v>4473755</v>
      </c>
      <c r="F15" s="48">
        <v>5034934</v>
      </c>
      <c r="G15" s="19">
        <f t="shared" si="0"/>
        <v>-1.7843154758772486E-2</v>
      </c>
      <c r="H15" t="str">
        <f t="shared" si="1"/>
        <v>Material and Supplies</v>
      </c>
      <c r="I15" s="46">
        <f t="shared" si="3"/>
        <v>9.6100732558575708E-2</v>
      </c>
      <c r="J15" s="46">
        <f t="shared" si="2"/>
        <v>8.4516826252371474E-2</v>
      </c>
      <c r="K15" s="46">
        <f t="shared" si="2"/>
        <v>7.1079835158747953E-2</v>
      </c>
      <c r="L15" s="46">
        <f t="shared" si="2"/>
        <v>8.118501259289515E-2</v>
      </c>
      <c r="M15" s="46">
        <f t="shared" si="2"/>
        <v>8.5431463987518941E-2</v>
      </c>
      <c r="N15" s="19">
        <f t="shared" si="4"/>
        <v>8.3448091186513959E-2</v>
      </c>
    </row>
    <row r="16" spans="1:14">
      <c r="A16" s="7" t="s">
        <v>19</v>
      </c>
      <c r="B16" s="48">
        <f>23174+3430+15200</f>
        <v>41804</v>
      </c>
      <c r="C16" s="48">
        <f>26319+3430</f>
        <v>29749</v>
      </c>
      <c r="D16" s="49">
        <f>12775+685103</f>
        <v>697878</v>
      </c>
      <c r="E16" s="49">
        <f>42467+652585</f>
        <v>695052</v>
      </c>
      <c r="F16" s="52">
        <f>75348+616637</f>
        <v>691985</v>
      </c>
      <c r="G16" s="23">
        <f t="shared" si="0"/>
        <v>1.0170641489123404</v>
      </c>
      <c r="H16" t="str">
        <f t="shared" si="1"/>
        <v>Other Current Assets</v>
      </c>
      <c r="I16" s="119">
        <f t="shared" si="3"/>
        <v>7.424618560310267E-4</v>
      </c>
      <c r="J16" s="119">
        <f t="shared" si="2"/>
        <v>5.0071614915029488E-4</v>
      </c>
      <c r="K16" s="119">
        <f t="shared" si="2"/>
        <v>1.1237797290090201E-2</v>
      </c>
      <c r="L16" s="119">
        <f t="shared" si="2"/>
        <v>1.2613074558780479E-2</v>
      </c>
      <c r="M16" s="119">
        <f t="shared" si="2"/>
        <v>1.1741423344854826E-2</v>
      </c>
      <c r="N16" s="23">
        <f t="shared" si="4"/>
        <v>7.3887202304763972E-3</v>
      </c>
    </row>
    <row r="17" spans="1:14">
      <c r="A17" s="7" t="s">
        <v>34</v>
      </c>
      <c r="B17" s="62">
        <f>SUM(B11:B16)</f>
        <v>10988900</v>
      </c>
      <c r="C17" s="62">
        <f>SUM(C11:C16)</f>
        <v>9610430</v>
      </c>
      <c r="D17" s="62">
        <f>SUM(D11:D16)</f>
        <v>7884956</v>
      </c>
      <c r="E17" s="62">
        <f>SUM(E11:E16)</f>
        <v>8284997</v>
      </c>
      <c r="F17" s="62">
        <f>SUM(F11:F16)</f>
        <v>10860529</v>
      </c>
      <c r="G17" s="19">
        <f t="shared" si="0"/>
        <v>-2.9333513503017146E-3</v>
      </c>
      <c r="H17" t="str">
        <f t="shared" si="1"/>
        <v>Total Current Assets</v>
      </c>
      <c r="I17" s="46">
        <f t="shared" si="3"/>
        <v>0.19516886158595706</v>
      </c>
      <c r="J17" s="46">
        <f t="shared" si="2"/>
        <v>0.16175661371066147</v>
      </c>
      <c r="K17" s="46">
        <f t="shared" si="2"/>
        <v>0.12696995344355386</v>
      </c>
      <c r="L17" s="46">
        <f t="shared" si="2"/>
        <v>0.15034743426430336</v>
      </c>
      <c r="M17" s="46">
        <f t="shared" si="2"/>
        <v>0.18427866028609413</v>
      </c>
      <c r="N17" s="19">
        <f t="shared" si="4"/>
        <v>0.163194332351877</v>
      </c>
    </row>
    <row r="18" spans="1:14">
      <c r="A18" s="7"/>
      <c r="B18" s="48"/>
      <c r="C18" s="48"/>
      <c r="D18" s="48"/>
      <c r="E18" s="48"/>
      <c r="F18" s="48"/>
      <c r="G18" s="19"/>
      <c r="I18" s="48"/>
      <c r="J18" s="48"/>
      <c r="K18" s="48"/>
      <c r="L18" s="48"/>
      <c r="M18" s="48"/>
    </row>
    <row r="19" spans="1:14">
      <c r="A19" s="8" t="s">
        <v>21</v>
      </c>
      <c r="B19" s="7"/>
      <c r="C19" s="7"/>
      <c r="D19" s="7"/>
      <c r="E19" s="7"/>
      <c r="F19" s="7"/>
      <c r="G19" s="19"/>
      <c r="H19" s="8" t="str">
        <f t="shared" si="1"/>
        <v>Plant &amp; Equipment:</v>
      </c>
      <c r="I19" s="7"/>
      <c r="J19" s="7"/>
      <c r="K19" s="7"/>
      <c r="L19" s="7"/>
      <c r="M19" s="7"/>
    </row>
    <row r="20" spans="1:14">
      <c r="A20" s="7" t="s">
        <v>66</v>
      </c>
      <c r="B20" s="48">
        <v>48792755</v>
      </c>
      <c r="C20" s="48">
        <v>51464806</v>
      </c>
      <c r="D20" s="48">
        <v>53842555</v>
      </c>
      <c r="E20" s="48">
        <v>57374547</v>
      </c>
      <c r="F20" s="48">
        <v>61157429</v>
      </c>
      <c r="G20" s="19">
        <f>RATE(4,,-B20,F20)</f>
        <v>5.8092095087030109E-2</v>
      </c>
      <c r="H20" t="str">
        <f t="shared" si="1"/>
        <v>Plant in Service</v>
      </c>
      <c r="I20" s="46">
        <f t="shared" ref="I20:I21" si="5">+B20/B$37</f>
        <v>0.86658595919450665</v>
      </c>
      <c r="J20" s="46">
        <f t="shared" ref="J20:J21" si="6">+C20/C$37</f>
        <v>0.86622271259830541</v>
      </c>
      <c r="K20" s="46">
        <f t="shared" ref="K20:K21" si="7">+D20/D$37</f>
        <v>0.86701646802239452</v>
      </c>
      <c r="L20" s="46">
        <f t="shared" ref="L20:L21" si="8">+E20/E$37</f>
        <v>1.0411730907719923</v>
      </c>
      <c r="M20" s="46">
        <f t="shared" ref="M20:M21" si="9">+F20/F$37</f>
        <v>1.0377035117407192</v>
      </c>
      <c r="N20" s="19">
        <f t="shared" ref="N20:N21" si="10">SUM(B20:F20)/SUM(B$37:F$37)</f>
        <v>0.93412109692214407</v>
      </c>
    </row>
    <row r="21" spans="1:14">
      <c r="A21" s="7" t="s">
        <v>104</v>
      </c>
      <c r="B21" s="48">
        <v>7113411</v>
      </c>
      <c r="C21" s="60">
        <v>9687309</v>
      </c>
      <c r="D21" s="60">
        <v>13129589</v>
      </c>
      <c r="E21" s="60">
        <v>3808672</v>
      </c>
      <c r="F21" s="60">
        <v>4322285</v>
      </c>
      <c r="G21" s="19">
        <f>RATE(4,,-B21,F21)</f>
        <v>-0.11710537192385277</v>
      </c>
      <c r="H21" t="str">
        <f t="shared" si="1"/>
        <v>Construction Work in Progress</v>
      </c>
      <c r="I21" s="46">
        <f t="shared" si="5"/>
        <v>0.12633806175895898</v>
      </c>
      <c r="J21" s="46">
        <f t="shared" si="6"/>
        <v>0.16305059188910531</v>
      </c>
      <c r="K21" s="46">
        <f t="shared" si="7"/>
        <v>0.21142328556595583</v>
      </c>
      <c r="L21" s="46">
        <f t="shared" si="8"/>
        <v>6.9115784007440534E-2</v>
      </c>
      <c r="M21" s="46">
        <f t="shared" si="9"/>
        <v>7.3339419210121382E-2</v>
      </c>
      <c r="N21" s="19">
        <f t="shared" si="10"/>
        <v>0.13040956141790347</v>
      </c>
    </row>
    <row r="22" spans="1:14">
      <c r="A22" s="7" t="s">
        <v>48</v>
      </c>
      <c r="B22" s="48"/>
      <c r="C22" s="60"/>
      <c r="D22" s="61"/>
      <c r="E22" s="61"/>
      <c r="F22" s="61"/>
      <c r="G22" s="23"/>
      <c r="H22" t="str">
        <f t="shared" si="1"/>
        <v>Other PP&amp;E</v>
      </c>
      <c r="I22" s="61"/>
      <c r="J22" s="61"/>
      <c r="K22" s="61"/>
      <c r="L22" s="61"/>
      <c r="M22" s="61"/>
      <c r="N22" s="120"/>
    </row>
    <row r="23" spans="1:14" ht="12.75" customHeight="1">
      <c r="A23" s="7" t="s">
        <v>55</v>
      </c>
      <c r="B23" s="62">
        <f>SUM(B20:B22)</f>
        <v>55906166</v>
      </c>
      <c r="C23" s="62">
        <f>SUM(C20:C22)</f>
        <v>61152115</v>
      </c>
      <c r="D23" s="52">
        <f>SUM(D20:D22)</f>
        <v>66972144</v>
      </c>
      <c r="E23" s="52">
        <f>SUM(E20:E22)</f>
        <v>61183219</v>
      </c>
      <c r="F23" s="52">
        <f>SUM(F20:F22)</f>
        <v>65479714</v>
      </c>
      <c r="G23" s="19">
        <f>RATE(4,,-B23,F23)</f>
        <v>4.0307587501539045E-2</v>
      </c>
      <c r="H23" t="str">
        <f t="shared" si="1"/>
        <v>Total Plant &amp; Equipment:</v>
      </c>
      <c r="I23" s="46">
        <f>+B23/B$37</f>
        <v>0.99292402095346566</v>
      </c>
      <c r="J23" s="46">
        <f t="shared" ref="J23:M23" si="11">+C23/C$37</f>
        <v>1.0292733044874107</v>
      </c>
      <c r="K23" s="46">
        <f t="shared" si="11"/>
        <v>1.0784397535883503</v>
      </c>
      <c r="L23" s="46">
        <f t="shared" si="11"/>
        <v>1.1102888747794328</v>
      </c>
      <c r="M23" s="46">
        <f t="shared" si="11"/>
        <v>1.1110429309508405</v>
      </c>
      <c r="N23" s="19">
        <f>SUM(B23:F23)/SUM(B$37:F$37)</f>
        <v>1.0645306583400476</v>
      </c>
    </row>
    <row r="24" spans="1:14" ht="7.5" customHeight="1">
      <c r="A24" s="7"/>
      <c r="B24" s="48"/>
      <c r="C24" s="48"/>
      <c r="D24" s="48"/>
      <c r="E24" s="48"/>
      <c r="F24" s="48"/>
      <c r="G24" s="19"/>
      <c r="I24" s="48"/>
      <c r="J24" s="48"/>
      <c r="K24" s="48"/>
      <c r="L24" s="48"/>
      <c r="M24" s="48"/>
    </row>
    <row r="25" spans="1:14" ht="12.75" customHeight="1">
      <c r="A25" s="7" t="s">
        <v>49</v>
      </c>
      <c r="B25" s="48">
        <v>15776694</v>
      </c>
      <c r="C25" s="48">
        <v>17192640</v>
      </c>
      <c r="D25" s="48">
        <v>18693511</v>
      </c>
      <c r="E25" s="48">
        <v>20194557</v>
      </c>
      <c r="F25" s="48">
        <v>21595483</v>
      </c>
      <c r="G25" s="19">
        <f>RATE(4,,-B25,F25)</f>
        <v>8.1649938478764839E-2</v>
      </c>
      <c r="H25" t="str">
        <f t="shared" si="1"/>
        <v>Accumulated Depreciation &amp; Amort.</v>
      </c>
      <c r="I25" s="46">
        <f>+B25/B$37</f>
        <v>0.28020269613610094</v>
      </c>
      <c r="J25" s="46">
        <f t="shared" ref="J25:M25" si="12">+C25/C$37</f>
        <v>0.28937552504377712</v>
      </c>
      <c r="K25" s="46">
        <f t="shared" si="12"/>
        <v>0.30101806799766057</v>
      </c>
      <c r="L25" s="46">
        <f t="shared" si="12"/>
        <v>0.36646963554171808</v>
      </c>
      <c r="M25" s="46">
        <f t="shared" si="12"/>
        <v>0.36642659629849716</v>
      </c>
      <c r="N25" s="19">
        <f>SUM(B25:F25)/SUM(B$37:F$37)</f>
        <v>0.32019822320381486</v>
      </c>
    </row>
    <row r="26" spans="1:14" ht="7.5" customHeight="1">
      <c r="A26" s="7"/>
      <c r="B26" s="48"/>
      <c r="C26" s="48"/>
      <c r="D26" s="48"/>
      <c r="E26" s="48"/>
      <c r="F26" s="48"/>
      <c r="G26" s="19"/>
      <c r="I26" s="48"/>
      <c r="J26" s="48"/>
      <c r="K26" s="48"/>
      <c r="L26" s="48"/>
      <c r="M26" s="48"/>
    </row>
    <row r="27" spans="1:14">
      <c r="A27" s="7" t="s">
        <v>50</v>
      </c>
      <c r="B27" s="48">
        <f>B23-B25</f>
        <v>40129472</v>
      </c>
      <c r="C27" s="48">
        <f>C23-C25</f>
        <v>43959475</v>
      </c>
      <c r="D27" s="48">
        <f>D23-D25</f>
        <v>48278633</v>
      </c>
      <c r="E27" s="48">
        <f>E23-E25</f>
        <v>40988662</v>
      </c>
      <c r="F27" s="48">
        <f>F23-F25</f>
        <v>43884231</v>
      </c>
      <c r="G27" s="19">
        <f>RATE(4,,-B27,F27)</f>
        <v>2.2612887707186016E-2</v>
      </c>
      <c r="H27" t="str">
        <f t="shared" si="1"/>
        <v>Net Plant &amp; Equipment</v>
      </c>
      <c r="I27" s="46">
        <f>+B27/B$37</f>
        <v>0.71272132481736472</v>
      </c>
      <c r="J27" s="46">
        <f t="shared" ref="J27:M27" si="13">+C27/C$37</f>
        <v>0.73989777944363366</v>
      </c>
      <c r="K27" s="46">
        <f t="shared" si="13"/>
        <v>0.77742168559068969</v>
      </c>
      <c r="L27" s="46">
        <f t="shared" si="13"/>
        <v>0.74381923923771487</v>
      </c>
      <c r="M27" s="46">
        <f t="shared" si="13"/>
        <v>0.74461633465234345</v>
      </c>
      <c r="N27" s="19">
        <f>SUM(B27:F27)/SUM(B$37:F$37)</f>
        <v>0.74433243513623271</v>
      </c>
    </row>
    <row r="28" spans="1:14" ht="7.5" customHeight="1">
      <c r="A28" s="7"/>
      <c r="B28" s="48"/>
      <c r="C28" s="48"/>
      <c r="D28" s="48"/>
      <c r="E28" s="48"/>
      <c r="F28" s="48"/>
      <c r="G28" s="19"/>
      <c r="I28" s="48"/>
      <c r="J28" s="48"/>
      <c r="K28" s="48"/>
      <c r="L28" s="48"/>
      <c r="M28" s="48"/>
    </row>
    <row r="29" spans="1:14">
      <c r="A29" s="8" t="s">
        <v>59</v>
      </c>
      <c r="B29" s="48"/>
      <c r="C29" s="48"/>
      <c r="D29" s="48"/>
      <c r="E29" s="48"/>
      <c r="F29" s="48"/>
      <c r="G29" s="19"/>
      <c r="H29" s="8" t="str">
        <f t="shared" si="1"/>
        <v>Other Assets:</v>
      </c>
      <c r="I29" s="48"/>
      <c r="J29" s="48"/>
      <c r="K29" s="48"/>
      <c r="L29" s="48"/>
      <c r="M29" s="48"/>
    </row>
    <row r="30" spans="1:14">
      <c r="A30" s="7" t="s">
        <v>51</v>
      </c>
      <c r="B30" s="48"/>
      <c r="C30" s="48"/>
      <c r="D30" s="48"/>
      <c r="E30" s="48"/>
      <c r="F30" s="48"/>
      <c r="G30" s="19"/>
      <c r="H30" t="str">
        <f t="shared" si="1"/>
        <v>Regulatory Assets</v>
      </c>
      <c r="I30" s="48"/>
      <c r="J30" s="48"/>
      <c r="K30" s="48"/>
      <c r="L30" s="48"/>
      <c r="M30" s="48"/>
    </row>
    <row r="31" spans="1:14">
      <c r="A31" s="7" t="s">
        <v>152</v>
      </c>
      <c r="B31" s="48">
        <v>1597873</v>
      </c>
      <c r="C31" s="48">
        <v>1597873</v>
      </c>
      <c r="D31" s="48">
        <v>1597873</v>
      </c>
      <c r="E31" s="48">
        <v>1597873</v>
      </c>
      <c r="F31" s="115">
        <v>0</v>
      </c>
      <c r="G31" s="37"/>
      <c r="H31" t="str">
        <f t="shared" si="1"/>
        <v>Notes Receivable - Ft Pierce Indust</v>
      </c>
      <c r="I31" s="46">
        <f t="shared" ref="I31:I37" si="14">+B31/B$37</f>
        <v>2.8379096576448777E-2</v>
      </c>
      <c r="J31" s="46">
        <f t="shared" ref="J31:J37" si="15">+C31/C$37</f>
        <v>2.6894376798925312E-2</v>
      </c>
      <c r="K31" s="46">
        <f t="shared" ref="K31:K37" si="16">+D31/D$37</f>
        <v>2.5730246360120682E-2</v>
      </c>
      <c r="L31" s="46">
        <f t="shared" ref="L31:L37" si="17">+E31/E$37</f>
        <v>2.8996522971608225E-2</v>
      </c>
      <c r="M31" s="46"/>
      <c r="N31" s="19">
        <f t="shared" ref="N31:N37" si="18">SUM(B31:F31)/SUM(B$37:F$37)</f>
        <v>2.1899210302832244E-2</v>
      </c>
    </row>
    <row r="32" spans="1:14">
      <c r="A32" s="7" t="s">
        <v>95</v>
      </c>
      <c r="B32" s="48">
        <v>1832962</v>
      </c>
      <c r="C32" s="48">
        <v>1865180</v>
      </c>
      <c r="D32" s="48">
        <v>1903060</v>
      </c>
      <c r="E32" s="48">
        <v>1791541</v>
      </c>
      <c r="F32" s="48">
        <v>1706992</v>
      </c>
      <c r="G32" s="37">
        <f t="shared" ref="G32:G33" si="19">RATE(4,,-B32,F32)</f>
        <v>-1.7642633767894461E-2</v>
      </c>
      <c r="H32" t="str">
        <f t="shared" si="1"/>
        <v>Notes Receivable Related Party</v>
      </c>
      <c r="I32" s="46">
        <f t="shared" si="14"/>
        <v>3.2554405524694831E-2</v>
      </c>
      <c r="J32" s="46">
        <f t="shared" si="15"/>
        <v>3.1393517330738745E-2</v>
      </c>
      <c r="K32" s="46">
        <f t="shared" si="16"/>
        <v>3.0644614833651523E-2</v>
      </c>
      <c r="L32" s="46">
        <f t="shared" si="17"/>
        <v>3.2511006670165883E-2</v>
      </c>
      <c r="M32" s="46">
        <f t="shared" ref="M32:M37" si="20">+F32/F$37</f>
        <v>2.896380083134812E-2</v>
      </c>
      <c r="N32" s="19">
        <f t="shared" si="18"/>
        <v>3.1178480778047316E-2</v>
      </c>
    </row>
    <row r="33" spans="1:14">
      <c r="A33" s="7" t="s">
        <v>103</v>
      </c>
      <c r="B33" s="115">
        <v>1169693</v>
      </c>
      <c r="C33" s="116">
        <v>1169693</v>
      </c>
      <c r="D33" s="116">
        <v>1187147</v>
      </c>
      <c r="E33" s="60">
        <v>1169693</v>
      </c>
      <c r="F33" s="60">
        <v>1191065</v>
      </c>
      <c r="G33" s="37">
        <f t="shared" si="19"/>
        <v>4.5368966062329366E-3</v>
      </c>
      <c r="H33" t="str">
        <f t="shared" si="1"/>
        <v>Non-utility Property</v>
      </c>
      <c r="I33" s="46">
        <f t="shared" si="14"/>
        <v>2.0774386081870148E-2</v>
      </c>
      <c r="J33" s="46">
        <f t="shared" si="15"/>
        <v>1.9687524778918816E-2</v>
      </c>
      <c r="K33" s="46">
        <f t="shared" si="16"/>
        <v>1.9116403353506936E-2</v>
      </c>
      <c r="L33" s="46">
        <f t="shared" si="17"/>
        <v>2.1226361509474996E-2</v>
      </c>
      <c r="M33" s="46">
        <f t="shared" si="20"/>
        <v>2.0209684308531997E-2</v>
      </c>
      <c r="N33" s="19">
        <f t="shared" si="18"/>
        <v>2.0171663161429532E-2</v>
      </c>
    </row>
    <row r="34" spans="1:14">
      <c r="A34" s="7" t="s">
        <v>86</v>
      </c>
      <c r="B34" s="115">
        <v>585676</v>
      </c>
      <c r="C34" s="115">
        <v>1210252</v>
      </c>
      <c r="D34" s="117">
        <v>1249291</v>
      </c>
      <c r="E34" s="49">
        <v>1272910</v>
      </c>
      <c r="F34" s="52">
        <v>1292542</v>
      </c>
      <c r="G34" s="23">
        <f>RATE(4,,-B34,F34)</f>
        <v>0.21884031029932244</v>
      </c>
      <c r="H34" t="str">
        <f t="shared" si="1"/>
        <v>Investment in CFC and Others</v>
      </c>
      <c r="I34" s="119">
        <f t="shared" si="14"/>
        <v>1.0401925413664423E-2</v>
      </c>
      <c r="J34" s="119">
        <f t="shared" si="15"/>
        <v>2.037018793712201E-2</v>
      </c>
      <c r="K34" s="119">
        <f t="shared" si="16"/>
        <v>2.0117096418477268E-2</v>
      </c>
      <c r="L34" s="119">
        <f t="shared" si="17"/>
        <v>2.3099435346732703E-2</v>
      </c>
      <c r="M34" s="119">
        <f t="shared" si="20"/>
        <v>2.1931519921682331E-2</v>
      </c>
      <c r="N34" s="23">
        <f t="shared" si="18"/>
        <v>1.9223878269581201E-2</v>
      </c>
    </row>
    <row r="35" spans="1:14">
      <c r="A35" s="7" t="s">
        <v>60</v>
      </c>
      <c r="B35" s="62">
        <f>SUM(B30:B34)</f>
        <v>5186204</v>
      </c>
      <c r="C35" s="62">
        <f>SUM(C30:C34)</f>
        <v>5842998</v>
      </c>
      <c r="D35" s="63">
        <f>SUM(D30:D34)</f>
        <v>5937371</v>
      </c>
      <c r="E35" s="63">
        <f>SUM(E30:E34)</f>
        <v>5832017</v>
      </c>
      <c r="F35" s="63">
        <f>SUM(F30:F34)</f>
        <v>4190599</v>
      </c>
      <c r="G35" s="26">
        <f>RATE(4,,-B35,F35)</f>
        <v>-5.1894584352484965E-2</v>
      </c>
      <c r="H35" t="str">
        <f t="shared" si="1"/>
        <v>Total Other Assets</v>
      </c>
      <c r="I35" s="119">
        <f t="shared" si="14"/>
        <v>9.2109813596678178E-2</v>
      </c>
      <c r="J35" s="119">
        <f t="shared" si="15"/>
        <v>9.8345606845704883E-2</v>
      </c>
      <c r="K35" s="119">
        <f t="shared" si="16"/>
        <v>9.5608360965756409E-2</v>
      </c>
      <c r="L35" s="119">
        <f t="shared" si="17"/>
        <v>0.1058333264979818</v>
      </c>
      <c r="M35" s="119">
        <f t="shared" si="20"/>
        <v>7.1105005061562448E-2</v>
      </c>
      <c r="N35" s="26">
        <f t="shared" si="18"/>
        <v>9.2473232511890296E-2</v>
      </c>
    </row>
    <row r="36" spans="1:14">
      <c r="A36" s="7" t="s">
        <v>38</v>
      </c>
      <c r="B36" s="62">
        <f>B27+B35</f>
        <v>45315676</v>
      </c>
      <c r="C36" s="62">
        <f>C27+C35</f>
        <v>49802473</v>
      </c>
      <c r="D36" s="63">
        <f>D27+D35</f>
        <v>54216004</v>
      </c>
      <c r="E36" s="63">
        <f>E27+E35</f>
        <v>46820679</v>
      </c>
      <c r="F36" s="63">
        <f>F27+F35</f>
        <v>48074830</v>
      </c>
      <c r="G36" s="26">
        <f>RATE(4,,-B36,F36)</f>
        <v>1.48861447415552E-2</v>
      </c>
      <c r="H36" t="str">
        <f t="shared" si="1"/>
        <v>Total Non-Current Assets</v>
      </c>
      <c r="I36" s="119">
        <f t="shared" si="14"/>
        <v>0.80483113841404297</v>
      </c>
      <c r="J36" s="119">
        <f t="shared" si="15"/>
        <v>0.83824338628933848</v>
      </c>
      <c r="K36" s="119">
        <f t="shared" si="16"/>
        <v>0.87303004655644612</v>
      </c>
      <c r="L36" s="119">
        <f t="shared" si="17"/>
        <v>0.84965256573569659</v>
      </c>
      <c r="M36" s="119">
        <f t="shared" si="20"/>
        <v>0.81572133971390592</v>
      </c>
      <c r="N36" s="26">
        <f t="shared" si="18"/>
        <v>0.83680566764812303</v>
      </c>
    </row>
    <row r="37" spans="1:14" ht="13.5" thickBot="1">
      <c r="A37" s="7" t="s">
        <v>33</v>
      </c>
      <c r="B37" s="62">
        <f>B17+B27+B35</f>
        <v>56304576</v>
      </c>
      <c r="C37" s="62">
        <f>C17+C27+C35</f>
        <v>59412903</v>
      </c>
      <c r="D37" s="64">
        <f>D17+D27+D35</f>
        <v>62100960</v>
      </c>
      <c r="E37" s="64">
        <f>E17+E27+E35</f>
        <v>55105676</v>
      </c>
      <c r="F37" s="64">
        <f>F17+F27+F35</f>
        <v>58935359</v>
      </c>
      <c r="G37" s="27">
        <f>RATE(4,,-B37,F37)</f>
        <v>1.1481770888020947E-2</v>
      </c>
      <c r="H37" t="str">
        <f t="shared" si="1"/>
        <v>Total Assets</v>
      </c>
      <c r="I37" s="118">
        <f t="shared" si="14"/>
        <v>1</v>
      </c>
      <c r="J37" s="118">
        <f t="shared" si="15"/>
        <v>1</v>
      </c>
      <c r="K37" s="118">
        <f t="shared" si="16"/>
        <v>1</v>
      </c>
      <c r="L37" s="118">
        <f t="shared" si="17"/>
        <v>1</v>
      </c>
      <c r="M37" s="118">
        <f t="shared" si="20"/>
        <v>1</v>
      </c>
      <c r="N37" s="27">
        <f t="shared" si="18"/>
        <v>1</v>
      </c>
    </row>
    <row r="38" spans="1:14" ht="13.5" thickTop="1">
      <c r="A38" s="7"/>
      <c r="B38" s="28"/>
      <c r="C38" s="28"/>
      <c r="D38" s="25"/>
      <c r="E38" s="25"/>
      <c r="F38" s="25"/>
      <c r="G38" s="19"/>
      <c r="I38" s="25"/>
      <c r="J38" s="25"/>
      <c r="K38" s="25"/>
      <c r="L38" s="25"/>
      <c r="M38" s="25"/>
    </row>
    <row r="39" spans="1:14">
      <c r="A39" s="8" t="s">
        <v>7</v>
      </c>
      <c r="B39" s="7"/>
      <c r="C39" s="7"/>
      <c r="D39" s="7"/>
      <c r="E39" s="7"/>
      <c r="F39" s="7"/>
      <c r="G39" s="19"/>
      <c r="H39" s="8" t="str">
        <f t="shared" si="1"/>
        <v>Current Liabilities:</v>
      </c>
      <c r="I39" s="7"/>
      <c r="J39" s="7"/>
      <c r="K39" s="7"/>
      <c r="L39" s="7"/>
      <c r="M39" s="7"/>
    </row>
    <row r="40" spans="1:14">
      <c r="A40" s="29" t="s">
        <v>74</v>
      </c>
      <c r="B40" s="48">
        <v>465707</v>
      </c>
      <c r="C40" s="48">
        <v>498206</v>
      </c>
      <c r="D40" s="48">
        <v>529350</v>
      </c>
      <c r="E40" s="48">
        <v>619115</v>
      </c>
      <c r="F40" s="48">
        <v>675182</v>
      </c>
      <c r="G40" s="19">
        <f>RATE(4,,-B40,F40)</f>
        <v>9.7304151941108807E-2</v>
      </c>
      <c r="H40" t="str">
        <f t="shared" si="1"/>
        <v>Current Portion of LTD</v>
      </c>
      <c r="I40" s="46">
        <f t="shared" ref="I40:I46" si="21">+B40/B$37</f>
        <v>8.271210496283642E-3</v>
      </c>
      <c r="J40" s="46">
        <f t="shared" ref="J40:J46" si="22">+C40/C$37</f>
        <v>8.3854848836455616E-3</v>
      </c>
      <c r="K40" s="46">
        <f t="shared" ref="K40:K46" si="23">+D40/D$37</f>
        <v>8.5240228170385766E-3</v>
      </c>
      <c r="L40" s="46">
        <f t="shared" ref="L40:L46" si="24">+E40/E$37</f>
        <v>1.1235049543716694E-2</v>
      </c>
      <c r="M40" s="46">
        <f t="shared" ref="M40:M46" si="25">+F40/F$37</f>
        <v>1.1456314366389114E-2</v>
      </c>
      <c r="N40" s="19">
        <f t="shared" ref="N40:N46" si="26">SUM(B40:F40)/SUM(B$37:F$37)</f>
        <v>9.5510348243826419E-3</v>
      </c>
    </row>
    <row r="41" spans="1:14">
      <c r="A41" s="7" t="s">
        <v>61</v>
      </c>
      <c r="B41" s="48">
        <v>2159056</v>
      </c>
      <c r="C41" s="48">
        <v>3404219</v>
      </c>
      <c r="D41" s="48">
        <v>2673463</v>
      </c>
      <c r="E41" s="48">
        <v>2056480</v>
      </c>
      <c r="F41" s="48">
        <v>2721206</v>
      </c>
      <c r="G41" s="19">
        <f>RATE(4,,-B41,F41)</f>
        <v>5.9557129875711712E-2</v>
      </c>
      <c r="H41" t="str">
        <f t="shared" si="1"/>
        <v>Acounts Payable</v>
      </c>
      <c r="I41" s="46">
        <f t="shared" si="21"/>
        <v>3.8346012942180756E-2</v>
      </c>
      <c r="J41" s="46">
        <f t="shared" si="22"/>
        <v>5.7297637854861257E-2</v>
      </c>
      <c r="K41" s="46">
        <f t="shared" si="23"/>
        <v>4.3050268466059138E-2</v>
      </c>
      <c r="L41" s="46">
        <f t="shared" si="24"/>
        <v>3.7318841710607085E-2</v>
      </c>
      <c r="M41" s="46">
        <f t="shared" si="25"/>
        <v>4.6172722897980481E-2</v>
      </c>
      <c r="N41" s="19">
        <f t="shared" si="26"/>
        <v>4.4591404971832435E-2</v>
      </c>
    </row>
    <row r="42" spans="1:14">
      <c r="A42" s="7" t="s">
        <v>88</v>
      </c>
      <c r="B42" s="48">
        <v>407915</v>
      </c>
      <c r="C42" s="48">
        <v>445689</v>
      </c>
      <c r="D42" s="48">
        <v>495845</v>
      </c>
      <c r="E42" s="48">
        <v>497768</v>
      </c>
      <c r="F42" s="48">
        <v>557497</v>
      </c>
      <c r="G42" s="19">
        <f>RATE(4,,-B42,F42)</f>
        <v>8.1230317572230384E-2</v>
      </c>
      <c r="H42" t="str">
        <f t="shared" si="1"/>
        <v>Accrued Expenses</v>
      </c>
      <c r="I42" s="46">
        <f t="shared" si="21"/>
        <v>7.2447930342286922E-3</v>
      </c>
      <c r="J42" s="46">
        <f t="shared" si="22"/>
        <v>7.5015523143179856E-3</v>
      </c>
      <c r="K42" s="46">
        <f t="shared" si="23"/>
        <v>7.984498146244438E-3</v>
      </c>
      <c r="L42" s="46">
        <f t="shared" si="24"/>
        <v>9.0329714855507809E-3</v>
      </c>
      <c r="M42" s="46">
        <f t="shared" si="25"/>
        <v>9.4594655816044159E-3</v>
      </c>
      <c r="N42" s="19">
        <f t="shared" si="26"/>
        <v>8.2392871029432473E-3</v>
      </c>
    </row>
    <row r="43" spans="1:14">
      <c r="A43" s="29" t="s">
        <v>75</v>
      </c>
      <c r="B43" s="48">
        <v>217516</v>
      </c>
      <c r="C43" s="48">
        <v>503076</v>
      </c>
      <c r="D43" s="48">
        <v>369390</v>
      </c>
      <c r="E43" s="48">
        <v>361566</v>
      </c>
      <c r="F43" s="48">
        <v>333886</v>
      </c>
      <c r="G43" s="19">
        <f>RATE(4,,-B43,F43)</f>
        <v>0.11308095063632992</v>
      </c>
      <c r="H43" t="str">
        <f t="shared" si="1"/>
        <v>Customer Deposits</v>
      </c>
      <c r="I43" s="46">
        <f t="shared" si="21"/>
        <v>3.8632028771515836E-3</v>
      </c>
      <c r="J43" s="46">
        <f t="shared" si="22"/>
        <v>8.4674536102031569E-3</v>
      </c>
      <c r="K43" s="46">
        <f t="shared" si="23"/>
        <v>5.9482172256274295E-3</v>
      </c>
      <c r="L43" s="46">
        <f t="shared" si="24"/>
        <v>6.5613204708712767E-3</v>
      </c>
      <c r="M43" s="46">
        <f t="shared" si="25"/>
        <v>5.6652916969590359E-3</v>
      </c>
      <c r="N43" s="19">
        <f t="shared" si="26"/>
        <v>6.1174440408948315E-3</v>
      </c>
    </row>
    <row r="44" spans="1:14">
      <c r="A44" s="7" t="s">
        <v>87</v>
      </c>
      <c r="B44" s="48">
        <v>3000000</v>
      </c>
      <c r="C44" s="48"/>
      <c r="D44" s="48"/>
      <c r="E44" s="48"/>
      <c r="F44" s="48"/>
      <c r="G44" s="19"/>
      <c r="H44" t="str">
        <f t="shared" si="1"/>
        <v>Perpetual Line of Credit</v>
      </c>
      <c r="I44" s="46">
        <f t="shared" si="21"/>
        <v>5.3281637357503589E-2</v>
      </c>
      <c r="J44" s="46"/>
      <c r="K44" s="46"/>
      <c r="L44" s="46"/>
      <c r="M44" s="46"/>
      <c r="N44" s="19">
        <f t="shared" si="26"/>
        <v>1.02789193678873E-2</v>
      </c>
    </row>
    <row r="45" spans="1:14">
      <c r="A45" s="7" t="s">
        <v>84</v>
      </c>
      <c r="B45" s="48">
        <f>561420+74289</f>
        <v>635709</v>
      </c>
      <c r="C45" s="52">
        <f>604200+47561</f>
        <v>651761</v>
      </c>
      <c r="D45" s="49">
        <f>40185+592476</f>
        <v>632661</v>
      </c>
      <c r="E45" s="49">
        <f>639634+22223</f>
        <v>661857</v>
      </c>
      <c r="F45" s="52">
        <f>668880+46293</f>
        <v>715173</v>
      </c>
      <c r="G45" s="23">
        <f>RATE(4,,-B45,F45)</f>
        <v>2.9883706958119479E-2</v>
      </c>
      <c r="H45" t="str">
        <f t="shared" si="1"/>
        <v>Other Current and Accrued Liabilities</v>
      </c>
      <c r="I45" s="119">
        <f t="shared" si="21"/>
        <v>1.1290538800967084E-2</v>
      </c>
      <c r="J45" s="119">
        <f t="shared" si="22"/>
        <v>1.0970024474313264E-2</v>
      </c>
      <c r="K45" s="119">
        <f t="shared" si="23"/>
        <v>1.0187620287995547E-2</v>
      </c>
      <c r="L45" s="119">
        <f t="shared" si="24"/>
        <v>1.2010686521657044E-2</v>
      </c>
      <c r="M45" s="119">
        <f t="shared" si="25"/>
        <v>1.2134871359653548E-2</v>
      </c>
      <c r="N45" s="23">
        <f t="shared" si="26"/>
        <v>1.1297084020647554E-2</v>
      </c>
    </row>
    <row r="46" spans="1:14">
      <c r="A46" s="7" t="s">
        <v>35</v>
      </c>
      <c r="B46" s="62">
        <f>SUM(B39:B45)</f>
        <v>6885903</v>
      </c>
      <c r="C46" s="62">
        <f>SUM(C39:C45)</f>
        <v>5502951</v>
      </c>
      <c r="D46" s="52">
        <f>SUM(D39:D45)</f>
        <v>4700709</v>
      </c>
      <c r="E46" s="52">
        <f>SUM(E39:E45)</f>
        <v>4196786</v>
      </c>
      <c r="F46" s="62">
        <f>SUM(F39:F45)</f>
        <v>5002944</v>
      </c>
      <c r="G46" s="19">
        <f>RATE(4,,-B46,F46)</f>
        <v>-7.6756656171679399E-2</v>
      </c>
      <c r="H46" t="str">
        <f t="shared" si="1"/>
        <v>Total Current Liabilities</v>
      </c>
      <c r="I46" s="46">
        <f t="shared" si="21"/>
        <v>0.12229739550831535</v>
      </c>
      <c r="J46" s="46">
        <f t="shared" si="22"/>
        <v>9.262215313734122E-2</v>
      </c>
      <c r="K46" s="46">
        <f t="shared" si="23"/>
        <v>7.5694626942965137E-2</v>
      </c>
      <c r="L46" s="46">
        <f t="shared" si="24"/>
        <v>7.6158869732402878E-2</v>
      </c>
      <c r="M46" s="46">
        <f t="shared" si="25"/>
        <v>8.4888665902586591E-2</v>
      </c>
      <c r="N46" s="19">
        <f t="shared" si="26"/>
        <v>9.0075174328588012E-2</v>
      </c>
    </row>
    <row r="47" spans="1:14">
      <c r="A47" s="7"/>
      <c r="B47" s="48"/>
      <c r="C47" s="48"/>
      <c r="D47" s="48"/>
      <c r="E47" s="48"/>
      <c r="F47" s="48"/>
      <c r="G47" s="19"/>
      <c r="I47" s="48"/>
      <c r="J47" s="48"/>
      <c r="K47" s="48"/>
      <c r="L47" s="48"/>
      <c r="M47" s="48"/>
    </row>
    <row r="48" spans="1:14">
      <c r="A48" s="7" t="s">
        <v>52</v>
      </c>
      <c r="B48" s="48">
        <v>8301033</v>
      </c>
      <c r="C48" s="48">
        <v>8294453</v>
      </c>
      <c r="D48" s="48">
        <v>7765150</v>
      </c>
      <c r="E48" s="48">
        <v>9146007</v>
      </c>
      <c r="F48" s="48">
        <v>8470197</v>
      </c>
      <c r="G48" s="19">
        <f>RATE(4,,-B48,F48)</f>
        <v>5.0561901206035396E-3</v>
      </c>
      <c r="H48" t="str">
        <f t="shared" si="1"/>
        <v>Long-Term Debt</v>
      </c>
      <c r="I48" s="46">
        <f>+B48/B$37</f>
        <v>0.14743087666622337</v>
      </c>
      <c r="J48" s="46">
        <f t="shared" ref="J48:M48" si="27">+C48/C$37</f>
        <v>0.1396069301646479</v>
      </c>
      <c r="K48" s="46">
        <f t="shared" si="27"/>
        <v>0.12504074011094193</v>
      </c>
      <c r="L48" s="46">
        <f t="shared" si="27"/>
        <v>0.16597214051053472</v>
      </c>
      <c r="M48" s="46">
        <f t="shared" si="27"/>
        <v>0.14372012224444072</v>
      </c>
      <c r="N48" s="19">
        <f>SUM(B48:F48)/SUM(B$37:F$37)</f>
        <v>0.14382551789290213</v>
      </c>
    </row>
    <row r="49" spans="1:14">
      <c r="A49" s="7" t="s">
        <v>9</v>
      </c>
      <c r="B49" s="48"/>
      <c r="C49" s="48"/>
      <c r="D49" s="48"/>
      <c r="E49" s="48"/>
      <c r="F49" s="48"/>
      <c r="G49" s="19"/>
      <c r="H49" t="str">
        <f t="shared" si="1"/>
        <v>Deferred Income Taxes</v>
      </c>
      <c r="I49" s="48"/>
      <c r="J49" s="48"/>
      <c r="K49" s="48"/>
      <c r="L49" s="48"/>
      <c r="M49" s="48"/>
    </row>
    <row r="50" spans="1:14">
      <c r="A50" s="7" t="s">
        <v>97</v>
      </c>
      <c r="B50" s="48">
        <v>6135014</v>
      </c>
      <c r="C50" s="48">
        <v>9185487</v>
      </c>
      <c r="D50" s="48">
        <v>10717753</v>
      </c>
      <c r="E50" s="48">
        <v>1272379</v>
      </c>
      <c r="F50" s="48">
        <v>3313659</v>
      </c>
      <c r="G50" s="19">
        <f t="shared" ref="G50:G51" si="28">RATE(4,,-B50,F50)</f>
        <v>-0.14271926546859443</v>
      </c>
      <c r="H50" t="str">
        <f t="shared" si="1"/>
        <v>Customer Advances for Construction</v>
      </c>
      <c r="I50" s="46">
        <f t="shared" ref="I50:I53" si="29">+B50/B$37</f>
        <v>0.10896119704373584</v>
      </c>
      <c r="J50" s="46">
        <f t="shared" ref="J50:J53" si="30">+C50/C$37</f>
        <v>0.15460424480520671</v>
      </c>
      <c r="K50" s="46">
        <f t="shared" ref="K50:K53" si="31">+D50/D$37</f>
        <v>0.17258594714155787</v>
      </c>
      <c r="L50" s="46">
        <f t="shared" ref="L50:L53" si="32">+E50/E$37</f>
        <v>2.3089799315772843E-2</v>
      </c>
      <c r="M50" s="46">
        <f t="shared" ref="M50:M53" si="33">+F50/F$37</f>
        <v>5.6225312888990804E-2</v>
      </c>
      <c r="N50" s="19">
        <f t="shared" ref="N50:N53" si="34">SUM(B50:F50)/SUM(B$37:F$37)</f>
        <v>0.1049282093888787</v>
      </c>
    </row>
    <row r="51" spans="1:14">
      <c r="A51" s="7" t="s">
        <v>98</v>
      </c>
      <c r="B51" s="48">
        <v>17968453</v>
      </c>
      <c r="C51" s="48">
        <v>18062692</v>
      </c>
      <c r="D51" s="48">
        <v>18668208</v>
      </c>
      <c r="E51" s="48">
        <v>19226793</v>
      </c>
      <c r="F51" s="48">
        <v>20220814</v>
      </c>
      <c r="G51" s="19">
        <f t="shared" si="28"/>
        <v>2.9963860978070377E-2</v>
      </c>
      <c r="H51" t="str">
        <f t="shared" si="1"/>
        <v>Deferred Revenue - Impact Fees</v>
      </c>
      <c r="I51" s="46">
        <f t="shared" si="29"/>
        <v>0.31912953220711582</v>
      </c>
      <c r="J51" s="46">
        <f t="shared" si="30"/>
        <v>0.30401968407434998</v>
      </c>
      <c r="K51" s="46">
        <f t="shared" si="31"/>
        <v>0.30061061857980942</v>
      </c>
      <c r="L51" s="46">
        <f t="shared" si="32"/>
        <v>0.34890766969268283</v>
      </c>
      <c r="M51" s="46">
        <f t="shared" si="33"/>
        <v>0.34310156658246538</v>
      </c>
      <c r="N51" s="19">
        <f t="shared" si="34"/>
        <v>0.32257633685723697</v>
      </c>
    </row>
    <row r="52" spans="1:14">
      <c r="A52" s="7" t="s">
        <v>53</v>
      </c>
      <c r="B52" s="48">
        <v>156909</v>
      </c>
      <c r="C52" s="52">
        <v>136878</v>
      </c>
      <c r="D52" s="49">
        <v>116847</v>
      </c>
      <c r="E52" s="49">
        <v>96816</v>
      </c>
      <c r="F52" s="52">
        <v>76785</v>
      </c>
      <c r="G52" s="23">
        <f>RATE(4,,-B52,F52)</f>
        <v>-0.16361327046433466</v>
      </c>
      <c r="H52" t="str">
        <f t="shared" si="1"/>
        <v>Other Deferred Credits</v>
      </c>
      <c r="I52" s="119">
        <f t="shared" si="29"/>
        <v>2.7867894787095104E-3</v>
      </c>
      <c r="J52" s="119">
        <f t="shared" si="30"/>
        <v>2.3038429884498324E-3</v>
      </c>
      <c r="K52" s="119">
        <f t="shared" si="31"/>
        <v>1.8815651159015899E-3</v>
      </c>
      <c r="L52" s="119">
        <f t="shared" si="32"/>
        <v>1.7569152041615459E-3</v>
      </c>
      <c r="M52" s="119">
        <f t="shared" si="33"/>
        <v>1.3028681135207813E-3</v>
      </c>
      <c r="N52" s="23">
        <f t="shared" si="34"/>
        <v>2.0017681522992124E-3</v>
      </c>
    </row>
    <row r="53" spans="1:14">
      <c r="A53" s="25" t="s">
        <v>54</v>
      </c>
      <c r="B53" s="62">
        <f>SUM(B48:B52)</f>
        <v>32561409</v>
      </c>
      <c r="C53" s="62">
        <f>SUM(C48:C52)</f>
        <v>35679510</v>
      </c>
      <c r="D53" s="52">
        <f>SUM(D48:D52)</f>
        <v>37267958</v>
      </c>
      <c r="E53" s="52">
        <f>SUM(E48:E52)</f>
        <v>29741995</v>
      </c>
      <c r="F53" s="62">
        <f>SUM(F48:F52)</f>
        <v>32081455</v>
      </c>
      <c r="G53" s="19">
        <f>RATE(4,,-B53,F53)</f>
        <v>-3.7055366969832373E-3</v>
      </c>
      <c r="H53" t="str">
        <f t="shared" si="1"/>
        <v>Total LTD &amp; Deferrals</v>
      </c>
      <c r="I53" s="46">
        <f t="shared" si="29"/>
        <v>0.57830839539578449</v>
      </c>
      <c r="J53" s="46">
        <f t="shared" si="30"/>
        <v>0.60053470203265447</v>
      </c>
      <c r="K53" s="46">
        <f t="shared" si="31"/>
        <v>0.60011887094821081</v>
      </c>
      <c r="L53" s="46">
        <f t="shared" si="32"/>
        <v>0.53972652472315197</v>
      </c>
      <c r="M53" s="46">
        <f t="shared" si="33"/>
        <v>0.54434986982941769</v>
      </c>
      <c r="N53" s="19">
        <f t="shared" si="34"/>
        <v>0.57333183229131701</v>
      </c>
    </row>
    <row r="54" spans="1:14" ht="7.5" customHeight="1">
      <c r="A54" s="25"/>
      <c r="B54" s="48"/>
      <c r="C54" s="52"/>
      <c r="D54" s="52"/>
      <c r="E54" s="52"/>
      <c r="F54" s="52"/>
      <c r="G54" s="19"/>
      <c r="I54" s="52"/>
      <c r="J54" s="52"/>
      <c r="K54" s="52"/>
      <c r="L54" s="52"/>
      <c r="M54" s="52"/>
    </row>
    <row r="55" spans="1:14">
      <c r="A55" s="7" t="s">
        <v>36</v>
      </c>
      <c r="B55" s="48">
        <f>B53+B46</f>
        <v>39447312</v>
      </c>
      <c r="C55" s="48">
        <f>C53+C46</f>
        <v>41182461</v>
      </c>
      <c r="D55" s="48">
        <f>D53+D46</f>
        <v>41968667</v>
      </c>
      <c r="E55" s="48">
        <f>E53+E46</f>
        <v>33938781</v>
      </c>
      <c r="F55" s="48">
        <f>F53+F46</f>
        <v>37084399</v>
      </c>
      <c r="G55" s="19">
        <f>RATE(4,,-B55,F55)</f>
        <v>-1.5323762525884197E-2</v>
      </c>
      <c r="H55" t="str">
        <f t="shared" si="1"/>
        <v>Total Liabilities</v>
      </c>
      <c r="I55" s="46">
        <f>+B55/B$37</f>
        <v>0.70060579090409991</v>
      </c>
      <c r="J55" s="46">
        <f t="shared" ref="J55:M55" si="35">+C55/C$37</f>
        <v>0.6931568551699957</v>
      </c>
      <c r="K55" s="46">
        <f t="shared" si="35"/>
        <v>0.67581349789117595</v>
      </c>
      <c r="L55" s="46">
        <f t="shared" si="35"/>
        <v>0.61588539445555479</v>
      </c>
      <c r="M55" s="46">
        <f t="shared" si="35"/>
        <v>0.62923853573200428</v>
      </c>
      <c r="N55" s="19">
        <f>SUM(B55:F55)/SUM(B$37:F$37)</f>
        <v>0.66340700661990504</v>
      </c>
    </row>
    <row r="56" spans="1:14" ht="7.5" customHeight="1">
      <c r="A56" s="7"/>
      <c r="B56" s="48"/>
      <c r="C56" s="48"/>
      <c r="D56" s="48"/>
      <c r="E56" s="48"/>
      <c r="F56" s="48"/>
      <c r="G56" s="19"/>
      <c r="I56" s="48"/>
      <c r="J56" s="48"/>
      <c r="K56" s="48"/>
      <c r="L56" s="48"/>
      <c r="M56" s="48"/>
    </row>
    <row r="57" spans="1:14">
      <c r="A57" s="7" t="s">
        <v>85</v>
      </c>
      <c r="B57" s="48"/>
      <c r="C57" s="48"/>
      <c r="D57" s="48"/>
      <c r="E57" s="48"/>
      <c r="F57" s="48"/>
      <c r="G57" s="19"/>
      <c r="H57" t="str">
        <f t="shared" si="1"/>
        <v>Other Deferred Credit</v>
      </c>
      <c r="I57" s="48"/>
      <c r="J57" s="48"/>
      <c r="K57" s="48"/>
      <c r="L57" s="48"/>
      <c r="M57" s="48"/>
    </row>
    <row r="58" spans="1:14" ht="7.5" customHeight="1">
      <c r="A58" s="7"/>
      <c r="B58" s="48"/>
      <c r="C58" s="48"/>
      <c r="D58" s="48"/>
      <c r="E58" s="48"/>
      <c r="F58" s="48"/>
      <c r="G58" s="19"/>
      <c r="I58" s="48"/>
      <c r="J58" s="48"/>
      <c r="K58" s="48"/>
      <c r="L58" s="48"/>
      <c r="M58" s="48"/>
    </row>
    <row r="59" spans="1:14">
      <c r="A59" s="8" t="s">
        <v>56</v>
      </c>
      <c r="B59" s="48"/>
      <c r="C59" s="48"/>
      <c r="D59" s="48"/>
      <c r="E59" s="48"/>
      <c r="F59" s="48"/>
      <c r="G59" s="19"/>
      <c r="H59" s="8" t="str">
        <f t="shared" si="1"/>
        <v>Common Equity:</v>
      </c>
      <c r="I59" s="48"/>
      <c r="J59" s="48"/>
      <c r="K59" s="48"/>
      <c r="L59" s="48"/>
      <c r="M59" s="48"/>
    </row>
    <row r="60" spans="1:14">
      <c r="A60" s="7" t="s">
        <v>96</v>
      </c>
      <c r="B60" s="48">
        <v>8595</v>
      </c>
      <c r="C60" s="48">
        <v>8595</v>
      </c>
      <c r="D60" s="48">
        <v>8595</v>
      </c>
      <c r="E60" s="48">
        <v>8595</v>
      </c>
      <c r="F60" s="48">
        <v>8595</v>
      </c>
      <c r="G60" s="19">
        <f>RATE(4,,-B60,F60)</f>
        <v>5.8245462683009556E-17</v>
      </c>
      <c r="H60" t="str">
        <f t="shared" si="1"/>
        <v>Memberships</v>
      </c>
      <c r="I60" s="46">
        <f t="shared" ref="I60:I64" si="36">+B60/B$37</f>
        <v>1.5265189102924779E-4</v>
      </c>
      <c r="J60" s="46">
        <f t="shared" ref="J60:J64" si="37">+C60/C$37</f>
        <v>1.4466554512577849E-4</v>
      </c>
      <c r="K60" s="46">
        <f t="shared" ref="K60:K64" si="38">+D60/D$37</f>
        <v>1.3840365752799957E-4</v>
      </c>
      <c r="L60" s="46">
        <f t="shared" ref="L60:L64" si="39">+E60/E$37</f>
        <v>1.5597304350281447E-4</v>
      </c>
      <c r="M60" s="46">
        <f t="shared" ref="M60:M64" si="40">+F60/F$37</f>
        <v>1.4583774742086495E-4</v>
      </c>
      <c r="N60" s="19">
        <f t="shared" ref="N60:N64" si="41">SUM(B60:F60)/SUM(B$37:F$37)</f>
        <v>1.4724551994498559E-4</v>
      </c>
    </row>
    <row r="61" spans="1:14">
      <c r="A61" s="22" t="s">
        <v>71</v>
      </c>
      <c r="B61" s="48">
        <v>8062822</v>
      </c>
      <c r="C61" s="48">
        <v>8359631</v>
      </c>
      <c r="D61" s="48">
        <v>9107936</v>
      </c>
      <c r="E61" s="48">
        <v>10261482</v>
      </c>
      <c r="F61" s="48">
        <v>10954960</v>
      </c>
      <c r="G61" s="19">
        <f>RATE(4,,-B61,F61)</f>
        <v>7.9644883625346413E-2</v>
      </c>
      <c r="H61" t="str">
        <f t="shared" si="1"/>
        <v>Patrons Capital</v>
      </c>
      <c r="I61" s="46">
        <f t="shared" si="36"/>
        <v>0.14320011929403392</v>
      </c>
      <c r="J61" s="46">
        <f t="shared" si="37"/>
        <v>0.14070396459166454</v>
      </c>
      <c r="K61" s="46">
        <f t="shared" si="38"/>
        <v>0.14666336881104575</v>
      </c>
      <c r="L61" s="46">
        <f t="shared" si="39"/>
        <v>0.18621461063285025</v>
      </c>
      <c r="M61" s="46">
        <f t="shared" si="40"/>
        <v>0.18588094118507023</v>
      </c>
      <c r="N61" s="19">
        <f t="shared" si="41"/>
        <v>0.16016896885108481</v>
      </c>
    </row>
    <row r="62" spans="1:14">
      <c r="A62" s="22" t="s">
        <v>24</v>
      </c>
      <c r="B62" s="48">
        <v>8785847</v>
      </c>
      <c r="C62" s="48">
        <v>9862216</v>
      </c>
      <c r="D62" s="48">
        <v>11015762</v>
      </c>
      <c r="E62" s="48">
        <v>10896818</v>
      </c>
      <c r="F62" s="48">
        <v>10887405</v>
      </c>
      <c r="G62" s="23">
        <f>RATE(4,,-B62,F62)</f>
        <v>5.5079501858765853E-2</v>
      </c>
      <c r="H62" t="str">
        <f t="shared" si="1"/>
        <v>Retained Earnings</v>
      </c>
      <c r="I62" s="119">
        <f t="shared" si="36"/>
        <v>0.15604143791083694</v>
      </c>
      <c r="J62" s="119">
        <f t="shared" si="37"/>
        <v>0.16599451469321402</v>
      </c>
      <c r="K62" s="119">
        <f t="shared" si="38"/>
        <v>0.17738472964025032</v>
      </c>
      <c r="L62" s="119">
        <f t="shared" si="39"/>
        <v>0.19774402186809215</v>
      </c>
      <c r="M62" s="119">
        <f t="shared" si="40"/>
        <v>0.18473468533550461</v>
      </c>
      <c r="N62" s="23">
        <f t="shared" si="41"/>
        <v>0.17627677900906516</v>
      </c>
    </row>
    <row r="63" spans="1:14">
      <c r="A63" s="7" t="s">
        <v>78</v>
      </c>
      <c r="B63" s="62">
        <f>SUM(B59:B62)</f>
        <v>16857264</v>
      </c>
      <c r="C63" s="62">
        <f>SUM(C59:C62)</f>
        <v>18230442</v>
      </c>
      <c r="D63" s="62">
        <f>SUM(D59:D62)</f>
        <v>20132293</v>
      </c>
      <c r="E63" s="62">
        <f>SUM(E59:E62)</f>
        <v>21166895</v>
      </c>
      <c r="F63" s="62">
        <f>SUM(F59:F62)</f>
        <v>21850960</v>
      </c>
      <c r="G63" s="26">
        <f>RATE(4,,-B63,F63)</f>
        <v>6.7015819832603671E-2</v>
      </c>
      <c r="H63" t="str">
        <f t="shared" si="1"/>
        <v>Total Patronage Equity</v>
      </c>
      <c r="I63" s="119">
        <f t="shared" si="36"/>
        <v>0.29939420909590014</v>
      </c>
      <c r="J63" s="119">
        <f t="shared" si="37"/>
        <v>0.30684314483000436</v>
      </c>
      <c r="K63" s="119">
        <f t="shared" si="38"/>
        <v>0.3241865021088241</v>
      </c>
      <c r="L63" s="119">
        <f t="shared" si="39"/>
        <v>0.38411460554444521</v>
      </c>
      <c r="M63" s="119">
        <f t="shared" si="40"/>
        <v>0.37076146426799572</v>
      </c>
      <c r="N63" s="26">
        <f t="shared" si="41"/>
        <v>0.33659299338009496</v>
      </c>
    </row>
    <row r="64" spans="1:14" ht="13.5" thickBot="1">
      <c r="A64" s="7" t="s">
        <v>37</v>
      </c>
      <c r="B64" s="64">
        <f>B63+B55+B57</f>
        <v>56304576</v>
      </c>
      <c r="C64" s="64">
        <f>C63+C55+C57</f>
        <v>59412903</v>
      </c>
      <c r="D64" s="64">
        <f>D63+D55+D57</f>
        <v>62100960</v>
      </c>
      <c r="E64" s="64">
        <f>E63+E55+E57</f>
        <v>55105676</v>
      </c>
      <c r="F64" s="64">
        <f>F63+F55+F57</f>
        <v>58935359</v>
      </c>
      <c r="G64" s="30">
        <f>RATE(4,,-B64,F64)</f>
        <v>1.1481770888020947E-2</v>
      </c>
      <c r="H64" t="str">
        <f t="shared" si="1"/>
        <v>Total Liabilities &amp; Equity</v>
      </c>
      <c r="I64" s="118">
        <f t="shared" si="36"/>
        <v>1</v>
      </c>
      <c r="J64" s="118">
        <f t="shared" si="37"/>
        <v>1</v>
      </c>
      <c r="K64" s="118">
        <f t="shared" si="38"/>
        <v>1</v>
      </c>
      <c r="L64" s="118">
        <f t="shared" si="39"/>
        <v>1</v>
      </c>
      <c r="M64" s="118">
        <f t="shared" si="40"/>
        <v>1</v>
      </c>
      <c r="N64" s="27">
        <f t="shared" si="41"/>
        <v>1</v>
      </c>
    </row>
    <row r="65" spans="1:14" ht="13.5" thickTop="1">
      <c r="A65" s="2"/>
      <c r="B65" s="66">
        <f t="shared" ref="B65:C65" si="42">+B64-B37</f>
        <v>0</v>
      </c>
      <c r="C65" s="66">
        <f t="shared" si="42"/>
        <v>0</v>
      </c>
      <c r="D65" s="66">
        <f>+D64-D37</f>
        <v>0</v>
      </c>
      <c r="E65" s="66">
        <f>+E64-E37</f>
        <v>0</v>
      </c>
      <c r="F65" s="66">
        <f>+F64-F37</f>
        <v>0</v>
      </c>
      <c r="G65" s="3"/>
    </row>
    <row r="66" spans="1:14">
      <c r="A66" s="7"/>
      <c r="B66" s="7"/>
      <c r="C66" s="7"/>
      <c r="D66" s="7"/>
      <c r="E66" s="7"/>
      <c r="F66" s="7"/>
      <c r="G66" s="34" t="str">
        <f>+G1</f>
        <v>Exhibit 1</v>
      </c>
      <c r="H66" s="7"/>
      <c r="I66" s="7"/>
      <c r="J66" s="7"/>
      <c r="K66" s="7"/>
      <c r="L66" s="7"/>
      <c r="M66" s="7"/>
      <c r="N66" s="34" t="str">
        <f>+N1</f>
        <v>Exhibit 1</v>
      </c>
    </row>
    <row r="67" spans="1:14">
      <c r="A67" s="7"/>
      <c r="B67" s="7"/>
      <c r="C67" s="7"/>
      <c r="D67" s="7"/>
      <c r="E67" s="7"/>
      <c r="F67" s="7"/>
      <c r="G67" s="100" t="s">
        <v>91</v>
      </c>
      <c r="H67" s="7"/>
      <c r="I67" s="7"/>
      <c r="J67" s="7"/>
      <c r="K67" s="7"/>
      <c r="L67" s="7"/>
      <c r="M67" s="7"/>
      <c r="N67" s="100" t="s">
        <v>90</v>
      </c>
    </row>
    <row r="68" spans="1:14" ht="18">
      <c r="A68" s="31" t="str">
        <f>A3</f>
        <v>Dixie Escalante Rural Electric Association, Inc</v>
      </c>
      <c r="B68" s="9"/>
      <c r="C68" s="9"/>
      <c r="D68" s="9"/>
      <c r="E68" s="9"/>
      <c r="F68" s="9"/>
      <c r="G68" s="10"/>
      <c r="H68" s="31" t="str">
        <f>H3</f>
        <v>Dixie Escalante Rural Electric Association, Inc</v>
      </c>
      <c r="I68" s="9"/>
      <c r="J68" s="9"/>
      <c r="K68" s="9"/>
      <c r="L68" s="9"/>
      <c r="M68" s="9"/>
      <c r="N68" s="10"/>
    </row>
    <row r="69" spans="1:14" ht="15.75">
      <c r="A69" s="32" t="s">
        <v>12</v>
      </c>
      <c r="B69" s="9"/>
      <c r="C69" s="9"/>
      <c r="D69" s="9"/>
      <c r="E69" s="9"/>
      <c r="F69" s="9"/>
      <c r="G69" s="10"/>
      <c r="H69" s="32" t="str">
        <f>+H4</f>
        <v>Common Size</v>
      </c>
      <c r="I69" s="9"/>
      <c r="J69" s="9"/>
      <c r="K69" s="9"/>
      <c r="L69" s="9"/>
      <c r="M69" s="9"/>
      <c r="N69" s="10"/>
    </row>
    <row r="70" spans="1:14" ht="15.75">
      <c r="A70" s="33" t="str">
        <f>A5</f>
        <v>Years Ended December 31</v>
      </c>
      <c r="B70" s="9"/>
      <c r="C70" s="9"/>
      <c r="D70" s="9"/>
      <c r="E70" s="9"/>
      <c r="F70" s="9"/>
      <c r="G70" s="10"/>
      <c r="H70" s="33" t="s">
        <v>154</v>
      </c>
      <c r="I70" s="9"/>
      <c r="J70" s="9"/>
      <c r="K70" s="9"/>
      <c r="L70" s="9"/>
      <c r="M70" s="9"/>
      <c r="N70" s="10"/>
    </row>
    <row r="71" spans="1:14" ht="15.75">
      <c r="A71" s="32"/>
      <c r="B71" s="9"/>
      <c r="C71" s="9"/>
      <c r="D71" s="9"/>
      <c r="E71" s="9"/>
      <c r="F71" s="9"/>
      <c r="G71" s="10"/>
      <c r="H71" s="32"/>
      <c r="I71" s="9"/>
      <c r="J71" s="9"/>
      <c r="K71" s="9"/>
      <c r="L71" s="9"/>
      <c r="M71" s="9"/>
      <c r="N71" s="126"/>
    </row>
    <row r="72" spans="1:14">
      <c r="A72" s="53"/>
      <c r="B72" s="53"/>
      <c r="C72" s="53"/>
      <c r="D72" s="55"/>
      <c r="E72" s="55"/>
      <c r="F72" s="55"/>
      <c r="G72" s="76" t="str">
        <f>+G7</f>
        <v>2008 to 2012</v>
      </c>
      <c r="H72" s="53"/>
      <c r="I72" s="53"/>
      <c r="J72" s="53"/>
      <c r="K72" s="55"/>
      <c r="L72" s="55"/>
      <c r="M72" s="55"/>
      <c r="N72" s="50"/>
    </row>
    <row r="73" spans="1:14">
      <c r="A73" s="53"/>
      <c r="B73" s="53"/>
      <c r="C73" s="55"/>
      <c r="D73" s="55"/>
      <c r="E73" s="55"/>
      <c r="F73" s="55"/>
      <c r="G73" s="76" t="s">
        <v>3</v>
      </c>
      <c r="H73" s="53"/>
      <c r="I73" s="53"/>
      <c r="J73" s="55"/>
      <c r="K73" s="55"/>
      <c r="L73" s="55"/>
      <c r="M73" s="55"/>
      <c r="N73" s="50" t="str">
        <f>+N8</f>
        <v>2008 to 2012</v>
      </c>
    </row>
    <row r="74" spans="1:14">
      <c r="A74" s="57" t="s">
        <v>0</v>
      </c>
      <c r="B74" s="54">
        <f>+B9</f>
        <v>2008</v>
      </c>
      <c r="C74" s="54">
        <f t="shared" ref="C74:F74" si="43">+C9</f>
        <v>2009</v>
      </c>
      <c r="D74" s="54">
        <f t="shared" si="43"/>
        <v>2010</v>
      </c>
      <c r="E74" s="54">
        <f t="shared" si="43"/>
        <v>2011</v>
      </c>
      <c r="F74" s="54">
        <f t="shared" si="43"/>
        <v>2012</v>
      </c>
      <c r="G74" s="123" t="s">
        <v>20</v>
      </c>
      <c r="H74" s="57" t="s">
        <v>0</v>
      </c>
      <c r="I74" s="54">
        <f>+I9</f>
        <v>2008</v>
      </c>
      <c r="J74" s="54">
        <f t="shared" ref="J74:M74" si="44">+J9</f>
        <v>2009</v>
      </c>
      <c r="K74" s="54">
        <f t="shared" si="44"/>
        <v>2010</v>
      </c>
      <c r="L74" s="54">
        <f t="shared" si="44"/>
        <v>2011</v>
      </c>
      <c r="M74" s="54">
        <f t="shared" si="44"/>
        <v>2012</v>
      </c>
      <c r="N74" s="51" t="str">
        <f>+N9</f>
        <v>Wt Average</v>
      </c>
    </row>
    <row r="75" spans="1:14">
      <c r="A75" s="7"/>
      <c r="B75" s="7"/>
      <c r="C75" s="24"/>
      <c r="D75" s="24"/>
      <c r="E75" s="25"/>
      <c r="F75" s="25"/>
      <c r="G75" s="19"/>
      <c r="N75" s="6"/>
    </row>
    <row r="76" spans="1:14">
      <c r="A76" s="7" t="s">
        <v>72</v>
      </c>
      <c r="B76" s="48">
        <v>20304909</v>
      </c>
      <c r="C76" s="48">
        <v>20501053</v>
      </c>
      <c r="D76" s="67">
        <v>20741304</v>
      </c>
      <c r="E76" s="67">
        <v>20814289</v>
      </c>
      <c r="F76" s="67">
        <v>22746854</v>
      </c>
      <c r="G76" s="131">
        <f>RATE(4,,-B76,F76)</f>
        <v>2.8797909645645523E-2</v>
      </c>
      <c r="H76" t="str">
        <f t="shared" ref="H76:H101" si="45">+A76</f>
        <v>Operating Revenues</v>
      </c>
      <c r="I76" s="46">
        <f>+B76/B$78</f>
        <v>1</v>
      </c>
      <c r="J76" s="46">
        <f t="shared" ref="J76:M76" si="46">+C76/C$78</f>
        <v>1</v>
      </c>
      <c r="K76" s="46">
        <f t="shared" si="46"/>
        <v>1</v>
      </c>
      <c r="L76" s="46">
        <f t="shared" si="46"/>
        <v>1</v>
      </c>
      <c r="M76" s="46">
        <f t="shared" si="46"/>
        <v>1</v>
      </c>
      <c r="N76" s="1">
        <f>+M76</f>
        <v>1</v>
      </c>
    </row>
    <row r="77" spans="1:14">
      <c r="A77" s="7"/>
      <c r="B77" s="68"/>
      <c r="C77" s="68"/>
      <c r="D77" s="67"/>
      <c r="E77" s="67"/>
      <c r="F77" s="67"/>
      <c r="G77" s="23"/>
      <c r="I77" s="120"/>
      <c r="J77" s="120"/>
      <c r="K77" s="120"/>
      <c r="L77" s="120"/>
      <c r="M77" s="120"/>
      <c r="N77" s="120"/>
    </row>
    <row r="78" spans="1:14">
      <c r="A78" s="7" t="s">
        <v>46</v>
      </c>
      <c r="B78" s="69">
        <f>SUM(B75:B77)</f>
        <v>20304909</v>
      </c>
      <c r="C78" s="69">
        <f>SUM(C75:C77)</f>
        <v>20501053</v>
      </c>
      <c r="D78" s="70">
        <f>SUM(D75:D77)</f>
        <v>20741304</v>
      </c>
      <c r="E78" s="70">
        <f>SUM(E75:E77)</f>
        <v>20814289</v>
      </c>
      <c r="F78" s="70">
        <f>SUM(F75:F77)</f>
        <v>22746854</v>
      </c>
      <c r="G78" s="19">
        <f>RATE(4,,-B78,F78)</f>
        <v>2.8797909645645523E-2</v>
      </c>
      <c r="H78" t="str">
        <f t="shared" si="45"/>
        <v>Total Revenues</v>
      </c>
      <c r="I78" s="46">
        <f>+B78/B$78</f>
        <v>1</v>
      </c>
      <c r="J78" s="46">
        <f t="shared" ref="J78:M78" si="47">+C78/C$78</f>
        <v>1</v>
      </c>
      <c r="K78" s="46">
        <f t="shared" si="47"/>
        <v>1</v>
      </c>
      <c r="L78" s="46">
        <f t="shared" si="47"/>
        <v>1</v>
      </c>
      <c r="M78" s="46">
        <f t="shared" si="47"/>
        <v>1</v>
      </c>
      <c r="N78" s="1">
        <f>+M78</f>
        <v>1</v>
      </c>
    </row>
    <row r="79" spans="1:14">
      <c r="A79" s="7"/>
      <c r="B79" s="68"/>
      <c r="C79" s="68"/>
      <c r="D79" s="67"/>
      <c r="E79" s="67"/>
      <c r="F79" s="67"/>
      <c r="G79" s="19"/>
    </row>
    <row r="80" spans="1:14">
      <c r="A80" s="7" t="s">
        <v>18</v>
      </c>
      <c r="B80" s="68"/>
      <c r="C80" s="68"/>
      <c r="D80" s="67"/>
      <c r="E80" s="67"/>
      <c r="F80" s="67"/>
      <c r="G80" s="19"/>
      <c r="H80" t="str">
        <f t="shared" si="45"/>
        <v>Operating Expenses:</v>
      </c>
    </row>
    <row r="81" spans="1:14">
      <c r="A81" s="38" t="s">
        <v>76</v>
      </c>
      <c r="B81" s="68">
        <v>12418095</v>
      </c>
      <c r="C81" s="68">
        <v>12623963</v>
      </c>
      <c r="D81" s="67">
        <v>12123785</v>
      </c>
      <c r="E81" s="67">
        <v>12947928</v>
      </c>
      <c r="F81" s="67">
        <v>14162532</v>
      </c>
      <c r="G81" s="131">
        <f t="shared" ref="G81:G101" si="48">RATE(4,,-B81,F81)</f>
        <v>3.3407196430758672E-2</v>
      </c>
      <c r="H81" t="str">
        <f t="shared" si="45"/>
        <v>Cost of Purchased Power</v>
      </c>
      <c r="I81" s="46">
        <f t="shared" ref="I81:I90" si="49">+B81/B$78</f>
        <v>0.61158092360817773</v>
      </c>
      <c r="J81" s="46">
        <f t="shared" ref="J81:J90" si="50">+C81/C$78</f>
        <v>0.61577144354487545</v>
      </c>
      <c r="K81" s="46">
        <f t="shared" ref="K81:K90" si="51">+D81/D$78</f>
        <v>0.58452375993331951</v>
      </c>
      <c r="L81" s="133">
        <f t="shared" ref="L81:L90" si="52">+E81/E$78</f>
        <v>0.62206919486896717</v>
      </c>
      <c r="M81" s="133">
        <f t="shared" ref="M81:M90" si="53">+F81/F$78</f>
        <v>0.62261497787781994</v>
      </c>
      <c r="N81" s="46">
        <f>SUM(B81:F81)/SUM(B$78:F$78)</f>
        <v>0.61152388863577989</v>
      </c>
    </row>
    <row r="82" spans="1:14">
      <c r="A82" s="38" t="s">
        <v>79</v>
      </c>
      <c r="B82" s="68">
        <v>1742717</v>
      </c>
      <c r="C82" s="71">
        <v>1737684</v>
      </c>
      <c r="D82" s="72">
        <v>1832671</v>
      </c>
      <c r="E82" s="72">
        <v>1815518</v>
      </c>
      <c r="F82" s="72">
        <v>1939571</v>
      </c>
      <c r="G82" s="131">
        <f t="shared" si="48"/>
        <v>2.711649438978669E-2</v>
      </c>
      <c r="H82" t="str">
        <f t="shared" si="45"/>
        <v>Administrative and General Expenses</v>
      </c>
      <c r="I82" s="46">
        <f t="shared" si="49"/>
        <v>8.5827373075151439E-2</v>
      </c>
      <c r="J82" s="46">
        <f t="shared" si="50"/>
        <v>8.4760719364024864E-2</v>
      </c>
      <c r="K82" s="46">
        <f t="shared" si="51"/>
        <v>8.8358523649236326E-2</v>
      </c>
      <c r="L82" s="133">
        <f t="shared" si="52"/>
        <v>8.7224598447729826E-2</v>
      </c>
      <c r="M82" s="133">
        <f t="shared" si="53"/>
        <v>8.5267659431058032E-2</v>
      </c>
      <c r="N82" s="46">
        <f t="shared" ref="N82:N90" si="54">SUM(B82:F82)/SUM(B$78:F$78)</f>
        <v>8.6274362691571141E-2</v>
      </c>
    </row>
    <row r="83" spans="1:14">
      <c r="A83" s="39" t="s">
        <v>62</v>
      </c>
      <c r="B83" s="68">
        <v>2058008</v>
      </c>
      <c r="C83" s="67">
        <f>1200314+813211</f>
        <v>2013525</v>
      </c>
      <c r="D83" s="67">
        <f>1204210+809135</f>
        <v>2013345</v>
      </c>
      <c r="E83" s="67">
        <f>1190622+899605</f>
        <v>2090227</v>
      </c>
      <c r="F83" s="67">
        <f>1472295+974476</f>
        <v>2446771</v>
      </c>
      <c r="G83" s="131">
        <f t="shared" si="48"/>
        <v>4.4206918748583186E-2</v>
      </c>
      <c r="H83" t="str">
        <f t="shared" si="45"/>
        <v xml:space="preserve">   Operating and Maintenance</v>
      </c>
      <c r="I83" s="46">
        <f t="shared" si="49"/>
        <v>0.10135519445076065</v>
      </c>
      <c r="J83" s="46">
        <f t="shared" si="50"/>
        <v>9.8215686774723227E-2</v>
      </c>
      <c r="K83" s="46">
        <f t="shared" si="51"/>
        <v>9.7069354945089281E-2</v>
      </c>
      <c r="L83" s="133">
        <f t="shared" si="52"/>
        <v>0.10042269519751551</v>
      </c>
      <c r="M83" s="133">
        <f t="shared" si="53"/>
        <v>0.10756524836357591</v>
      </c>
      <c r="N83" s="46">
        <f t="shared" si="54"/>
        <v>0.10105638645905106</v>
      </c>
    </row>
    <row r="84" spans="1:14">
      <c r="A84" s="40" t="s">
        <v>42</v>
      </c>
      <c r="B84" s="68">
        <v>1400270</v>
      </c>
      <c r="C84" s="67">
        <v>1429185</v>
      </c>
      <c r="D84" s="67">
        <v>1487459</v>
      </c>
      <c r="E84" s="67">
        <v>1631468</v>
      </c>
      <c r="F84" s="67">
        <v>1723579</v>
      </c>
      <c r="G84" s="131">
        <f t="shared" si="48"/>
        <v>5.3306713827489888E-2</v>
      </c>
      <c r="H84" t="str">
        <f t="shared" si="45"/>
        <v xml:space="preserve">   Depreciation and amortization</v>
      </c>
      <c r="I84" s="46">
        <f t="shared" si="49"/>
        <v>6.8962141125577067E-2</v>
      </c>
      <c r="J84" s="46">
        <f t="shared" si="50"/>
        <v>6.9712760607955115E-2</v>
      </c>
      <c r="K84" s="46">
        <f t="shared" si="51"/>
        <v>7.1714825644520711E-2</v>
      </c>
      <c r="L84" s="133">
        <f t="shared" si="52"/>
        <v>7.8382115286282417E-2</v>
      </c>
      <c r="M84" s="133">
        <f t="shared" si="53"/>
        <v>7.5772192497476798E-2</v>
      </c>
      <c r="N84" s="46">
        <f t="shared" si="54"/>
        <v>7.2990934531222906E-2</v>
      </c>
    </row>
    <row r="85" spans="1:14">
      <c r="A85" s="40" t="s">
        <v>100</v>
      </c>
      <c r="B85" s="68">
        <v>552357</v>
      </c>
      <c r="C85" s="67">
        <v>629580</v>
      </c>
      <c r="D85" s="67">
        <v>637136</v>
      </c>
      <c r="E85" s="67">
        <v>696315</v>
      </c>
      <c r="F85" s="67">
        <v>792149</v>
      </c>
      <c r="G85" s="131">
        <f t="shared" si="48"/>
        <v>9.4326091515027799E-2</v>
      </c>
      <c r="H85" t="str">
        <f t="shared" si="45"/>
        <v xml:space="preserve">   Consumer Accounts</v>
      </c>
      <c r="I85" s="46">
        <f t="shared" si="49"/>
        <v>2.7203126101180752E-2</v>
      </c>
      <c r="J85" s="46">
        <f t="shared" si="50"/>
        <v>3.0709642085213866E-2</v>
      </c>
      <c r="K85" s="46">
        <f t="shared" si="51"/>
        <v>3.0718222923688886E-2</v>
      </c>
      <c r="L85" s="133">
        <f t="shared" si="52"/>
        <v>3.3453700964755508E-2</v>
      </c>
      <c r="M85" s="133">
        <f t="shared" si="53"/>
        <v>3.4824552001784512E-2</v>
      </c>
      <c r="N85" s="46">
        <f t="shared" si="54"/>
        <v>3.1467862861476667E-2</v>
      </c>
    </row>
    <row r="86" spans="1:14">
      <c r="A86" s="40" t="s">
        <v>99</v>
      </c>
      <c r="B86" s="68">
        <v>454343</v>
      </c>
      <c r="C86" s="67">
        <v>339253</v>
      </c>
      <c r="D86" s="67">
        <v>605263</v>
      </c>
      <c r="E86" s="67">
        <v>657029</v>
      </c>
      <c r="F86" s="67">
        <v>815146</v>
      </c>
      <c r="G86" s="131">
        <f t="shared" si="48"/>
        <v>0.1573451342537889</v>
      </c>
      <c r="H86" t="str">
        <f t="shared" si="45"/>
        <v xml:space="preserve">   Customer Service</v>
      </c>
      <c r="I86" s="46">
        <f t="shared" si="49"/>
        <v>2.237601754334383E-2</v>
      </c>
      <c r="J86" s="46">
        <f t="shared" si="50"/>
        <v>1.6548076823175863E-2</v>
      </c>
      <c r="K86" s="46">
        <f t="shared" si="51"/>
        <v>2.9181530727286964E-2</v>
      </c>
      <c r="L86" s="133">
        <f t="shared" si="52"/>
        <v>3.1566247590777662E-2</v>
      </c>
      <c r="M86" s="133">
        <f t="shared" si="53"/>
        <v>3.5835548951076927E-2</v>
      </c>
      <c r="N86" s="46">
        <f t="shared" si="54"/>
        <v>2.7314979146911073E-2</v>
      </c>
    </row>
    <row r="87" spans="1:14">
      <c r="A87" s="39" t="s">
        <v>73</v>
      </c>
      <c r="B87" s="68">
        <f>93553+88995+21403</f>
        <v>203951</v>
      </c>
      <c r="C87" s="68">
        <f>56562+90764+2121</f>
        <v>149447</v>
      </c>
      <c r="D87" s="67">
        <f>115640+4861+4435</f>
        <v>124936</v>
      </c>
      <c r="E87" s="67">
        <f>98302+108258+13905</f>
        <v>220465</v>
      </c>
      <c r="F87" s="67">
        <f>72791+78082-2498</f>
        <v>148375</v>
      </c>
      <c r="G87" s="131">
        <f t="shared" si="48"/>
        <v>-7.645359263867238E-2</v>
      </c>
      <c r="H87" t="str">
        <f t="shared" si="45"/>
        <v xml:space="preserve">   Other</v>
      </c>
      <c r="I87" s="46">
        <f t="shared" si="49"/>
        <v>1.004441832268246E-2</v>
      </c>
      <c r="J87" s="46">
        <f t="shared" si="50"/>
        <v>7.2897231181247128E-3</v>
      </c>
      <c r="K87" s="46">
        <f t="shared" si="51"/>
        <v>6.0235364179609925E-3</v>
      </c>
      <c r="L87" s="46">
        <f t="shared" si="52"/>
        <v>1.0592002446011968E-2</v>
      </c>
      <c r="M87" s="46">
        <f t="shared" si="53"/>
        <v>6.5228800431039831E-3</v>
      </c>
      <c r="N87" s="46">
        <f t="shared" si="54"/>
        <v>8.0600021259954573E-3</v>
      </c>
    </row>
    <row r="88" spans="1:14">
      <c r="A88" s="40" t="s">
        <v>43</v>
      </c>
      <c r="B88" s="68">
        <v>232973</v>
      </c>
      <c r="C88" s="68">
        <v>305843</v>
      </c>
      <c r="D88" s="67">
        <v>348698</v>
      </c>
      <c r="E88" s="67">
        <v>406164</v>
      </c>
      <c r="F88" s="67">
        <v>465749</v>
      </c>
      <c r="G88" s="23">
        <f t="shared" si="48"/>
        <v>0.18908139713275399</v>
      </c>
      <c r="H88" t="str">
        <f t="shared" si="45"/>
        <v xml:space="preserve">   Taxes, other than income taxes</v>
      </c>
      <c r="I88" s="119">
        <f t="shared" si="49"/>
        <v>1.1473727855662884E-2</v>
      </c>
      <c r="J88" s="119">
        <f t="shared" si="50"/>
        <v>1.4918404435128284E-2</v>
      </c>
      <c r="K88" s="119">
        <f t="shared" si="51"/>
        <v>1.6811768440402781E-2</v>
      </c>
      <c r="L88" s="119">
        <f t="shared" si="52"/>
        <v>1.9513710028721133E-2</v>
      </c>
      <c r="M88" s="119">
        <f t="shared" si="53"/>
        <v>2.0475314960037991E-2</v>
      </c>
      <c r="N88" s="119">
        <f t="shared" si="54"/>
        <v>1.673916498916847E-2</v>
      </c>
    </row>
    <row r="89" spans="1:14">
      <c r="A89" s="7" t="s">
        <v>39</v>
      </c>
      <c r="B89" s="69">
        <f>SUM(B80:B88)</f>
        <v>19062714</v>
      </c>
      <c r="C89" s="69">
        <f>SUM(C80:C88)</f>
        <v>19228480</v>
      </c>
      <c r="D89" s="70">
        <f>SUM(D80:D88)</f>
        <v>19173293</v>
      </c>
      <c r="E89" s="70">
        <f>SUM(E80:E88)</f>
        <v>20465114</v>
      </c>
      <c r="F89" s="70">
        <f>SUM(F80:F88)</f>
        <v>22493872</v>
      </c>
      <c r="G89" s="26">
        <f t="shared" si="48"/>
        <v>4.2245123560797529E-2</v>
      </c>
      <c r="H89" t="str">
        <f t="shared" si="45"/>
        <v>Total Operating Expenses</v>
      </c>
      <c r="I89" s="125">
        <f t="shared" si="49"/>
        <v>0.93882292208253681</v>
      </c>
      <c r="J89" s="125">
        <f t="shared" si="50"/>
        <v>0.93792645675322139</v>
      </c>
      <c r="K89" s="125">
        <f t="shared" si="51"/>
        <v>0.92440152268150544</v>
      </c>
      <c r="L89" s="125">
        <f t="shared" si="52"/>
        <v>0.9832242648307612</v>
      </c>
      <c r="M89" s="125">
        <f t="shared" si="53"/>
        <v>0.98887837412593405</v>
      </c>
      <c r="N89" s="125">
        <f t="shared" si="54"/>
        <v>0.95542758144117657</v>
      </c>
    </row>
    <row r="90" spans="1:14">
      <c r="A90" s="7" t="s">
        <v>11</v>
      </c>
      <c r="B90" s="69">
        <f>B78-B89</f>
        <v>1242195</v>
      </c>
      <c r="C90" s="69">
        <f>C78-C89</f>
        <v>1272573</v>
      </c>
      <c r="D90" s="70">
        <f>D78-D89</f>
        <v>1568011</v>
      </c>
      <c r="E90" s="70">
        <f>E78-E89</f>
        <v>349175</v>
      </c>
      <c r="F90" s="70">
        <f>F78-F89</f>
        <v>252982</v>
      </c>
      <c r="G90" s="19">
        <f t="shared" si="48"/>
        <v>-0.32822326198777457</v>
      </c>
      <c r="H90" t="str">
        <f t="shared" si="45"/>
        <v>Earnings From Operations</v>
      </c>
      <c r="I90" s="46">
        <f t="shared" si="49"/>
        <v>6.1177077917463213E-2</v>
      </c>
      <c r="J90" s="46">
        <f t="shared" si="50"/>
        <v>6.2073543246778592E-2</v>
      </c>
      <c r="K90" s="46">
        <f t="shared" si="51"/>
        <v>7.5598477318494534E-2</v>
      </c>
      <c r="L90" s="46">
        <f t="shared" si="52"/>
        <v>1.6775735169238786E-2</v>
      </c>
      <c r="M90" s="46">
        <f t="shared" si="53"/>
        <v>1.1121625874065925E-2</v>
      </c>
      <c r="N90" s="46">
        <f t="shared" si="54"/>
        <v>4.4572418558823393E-2</v>
      </c>
    </row>
    <row r="91" spans="1:14">
      <c r="A91" s="7"/>
      <c r="B91" s="68"/>
      <c r="C91" s="68"/>
      <c r="D91" s="67"/>
      <c r="E91" s="67"/>
      <c r="F91" s="67"/>
      <c r="G91" s="19"/>
    </row>
    <row r="92" spans="1:14">
      <c r="A92" s="40" t="s">
        <v>44</v>
      </c>
      <c r="B92" s="68">
        <v>659503</v>
      </c>
      <c r="C92" s="68">
        <v>573012</v>
      </c>
      <c r="D92" s="67">
        <v>540558</v>
      </c>
      <c r="E92" s="67">
        <v>519091</v>
      </c>
      <c r="F92" s="67">
        <v>499834</v>
      </c>
      <c r="G92" s="19">
        <f t="shared" si="48"/>
        <v>-6.6955719984601564E-2</v>
      </c>
      <c r="H92" t="str">
        <f t="shared" si="45"/>
        <v xml:space="preserve">   Interest expense (net)</v>
      </c>
      <c r="I92" s="46">
        <f t="shared" ref="I92:I101" si="55">+B92/B$78</f>
        <v>3.2479978117606931E-2</v>
      </c>
      <c r="J92" s="46">
        <f t="shared" ref="J92:J96" si="56">+C92/C$78</f>
        <v>2.7950369183475599E-2</v>
      </c>
      <c r="K92" s="46">
        <f t="shared" ref="K92:K96" si="57">+D92/D$78</f>
        <v>2.606191009012741E-2</v>
      </c>
      <c r="L92" s="46">
        <f t="shared" ref="L92:L96" si="58">+E92/E$78</f>
        <v>2.4939165589562055E-2</v>
      </c>
      <c r="M92" s="46">
        <f t="shared" ref="M92:M96" si="59">+F92/F$78</f>
        <v>2.1973763932366209E-2</v>
      </c>
      <c r="N92" s="46">
        <f>SUM(B92:F92)/SUM(B$78:F$78)</f>
        <v>2.6563031698063282E-2</v>
      </c>
    </row>
    <row r="93" spans="1:14">
      <c r="A93" s="39" t="s">
        <v>65</v>
      </c>
      <c r="B93" s="68">
        <v>-203806</v>
      </c>
      <c r="C93" s="68">
        <v>-217495</v>
      </c>
      <c r="D93" s="67">
        <v>-233435</v>
      </c>
      <c r="E93" s="67">
        <v>-226127</v>
      </c>
      <c r="F93" s="67">
        <v>-180000</v>
      </c>
      <c r="G93" s="19">
        <f t="shared" si="48"/>
        <v>-3.0575737507052728E-2</v>
      </c>
      <c r="H93" t="str">
        <f t="shared" si="45"/>
        <v xml:space="preserve">   Interest and Other Income</v>
      </c>
      <c r="I93" s="46">
        <f t="shared" si="55"/>
        <v>-1.0037277192426718E-2</v>
      </c>
      <c r="J93" s="46">
        <f t="shared" si="56"/>
        <v>-1.0608967256462388E-2</v>
      </c>
      <c r="K93" s="46">
        <f t="shared" si="57"/>
        <v>-1.1254596143039029E-2</v>
      </c>
      <c r="L93" s="46">
        <f t="shared" si="58"/>
        <v>-1.0864027111375267E-2</v>
      </c>
      <c r="M93" s="46">
        <f t="shared" si="59"/>
        <v>-7.9131821921396249E-3</v>
      </c>
      <c r="N93" s="46">
        <f>SUM(B93:F93)/SUM(B$78:F$78)</f>
        <v>-1.0093036419188878E-2</v>
      </c>
    </row>
    <row r="94" spans="1:14">
      <c r="A94" s="40" t="s">
        <v>47</v>
      </c>
      <c r="B94" s="68"/>
      <c r="C94" s="68"/>
      <c r="D94" s="67"/>
      <c r="E94" s="67"/>
      <c r="F94" s="67"/>
      <c r="G94" s="19"/>
      <c r="H94" t="str">
        <f t="shared" si="45"/>
        <v xml:space="preserve">   Loss (Gain) on Sale of Assets</v>
      </c>
      <c r="I94" s="46">
        <f t="shared" si="55"/>
        <v>0</v>
      </c>
      <c r="J94" s="46">
        <f t="shared" si="56"/>
        <v>0</v>
      </c>
      <c r="K94" s="46">
        <f t="shared" si="57"/>
        <v>0</v>
      </c>
      <c r="L94" s="46">
        <f t="shared" si="58"/>
        <v>0</v>
      </c>
      <c r="M94" s="46">
        <f t="shared" si="59"/>
        <v>0</v>
      </c>
      <c r="N94" s="46">
        <f>SUM(B94:F94)/SUM(B$78:F$78)</f>
        <v>0</v>
      </c>
    </row>
    <row r="95" spans="1:14">
      <c r="A95" s="41" t="s">
        <v>77</v>
      </c>
      <c r="B95" s="68">
        <v>-729760</v>
      </c>
      <c r="C95" s="68">
        <v>-784932</v>
      </c>
      <c r="D95" s="67">
        <v>-832365</v>
      </c>
      <c r="E95" s="67">
        <v>-909819</v>
      </c>
      <c r="F95" s="67">
        <v>-1011176</v>
      </c>
      <c r="G95" s="23">
        <f t="shared" si="48"/>
        <v>8.4954872533688955E-2</v>
      </c>
      <c r="H95" t="str">
        <f t="shared" si="45"/>
        <v xml:space="preserve">   Other (Income) Expense</v>
      </c>
      <c r="I95" s="119">
        <f t="shared" si="55"/>
        <v>-3.5940077347798013E-2</v>
      </c>
      <c r="J95" s="119">
        <f t="shared" si="56"/>
        <v>-3.8287399188714842E-2</v>
      </c>
      <c r="K95" s="119">
        <f t="shared" si="57"/>
        <v>-4.0130794090863335E-2</v>
      </c>
      <c r="L95" s="119">
        <f t="shared" si="58"/>
        <v>-4.3711269695544251E-2</v>
      </c>
      <c r="M95" s="119">
        <f t="shared" si="59"/>
        <v>-4.4453443979549874E-2</v>
      </c>
      <c r="N95" s="119">
        <f>SUM(B95:F95)/SUM(B$78:F$78)</f>
        <v>-4.0606189748338788E-2</v>
      </c>
    </row>
    <row r="96" spans="1:14">
      <c r="A96" s="7" t="s">
        <v>45</v>
      </c>
      <c r="B96" s="69">
        <f>SUM(B92:B95)</f>
        <v>-274063</v>
      </c>
      <c r="C96" s="69">
        <f>SUM(C92:C95)</f>
        <v>-429415</v>
      </c>
      <c r="D96" s="70">
        <f>SUM(D92:D95)</f>
        <v>-525242</v>
      </c>
      <c r="E96" s="70">
        <f>SUM(E92:E95)</f>
        <v>-616855</v>
      </c>
      <c r="F96" s="70">
        <f>SUM(F92:F95)</f>
        <v>-691342</v>
      </c>
      <c r="G96" s="19">
        <f t="shared" si="48"/>
        <v>0.26026139690695432</v>
      </c>
      <c r="H96" t="str">
        <f t="shared" si="45"/>
        <v>Total Other Income/Expense</v>
      </c>
      <c r="I96" s="46">
        <f t="shared" si="55"/>
        <v>-1.3497376422617802E-2</v>
      </c>
      <c r="J96" s="46">
        <f t="shared" si="56"/>
        <v>-2.094599726170163E-2</v>
      </c>
      <c r="K96" s="46">
        <f t="shared" si="57"/>
        <v>-2.5323480143774953E-2</v>
      </c>
      <c r="L96" s="46">
        <f t="shared" si="58"/>
        <v>-2.9636131217357461E-2</v>
      </c>
      <c r="M96" s="46">
        <f t="shared" si="59"/>
        <v>-3.0392862239323293E-2</v>
      </c>
      <c r="N96" s="46">
        <f>SUM(B96:F96)/SUM(B$78:F$78)</f>
        <v>-2.413619446946438E-2</v>
      </c>
    </row>
    <row r="97" spans="1:14" ht="7.5" customHeight="1">
      <c r="A97" s="7"/>
      <c r="B97" s="68"/>
      <c r="C97" s="68"/>
      <c r="D97" s="67"/>
      <c r="E97" s="67"/>
      <c r="F97" s="67"/>
      <c r="G97" s="19"/>
      <c r="I97" s="46"/>
      <c r="J97" s="46"/>
      <c r="K97" s="46"/>
      <c r="L97" s="46"/>
      <c r="M97" s="46"/>
      <c r="N97" s="46"/>
    </row>
    <row r="98" spans="1:14">
      <c r="A98" s="7" t="s">
        <v>10</v>
      </c>
      <c r="B98" s="68">
        <f>B90-B96</f>
        <v>1516258</v>
      </c>
      <c r="C98" s="68">
        <f>C90-C96</f>
        <v>1701988</v>
      </c>
      <c r="D98" s="67">
        <f>D90-D96</f>
        <v>2093253</v>
      </c>
      <c r="E98" s="73">
        <f>E90-E96</f>
        <v>966030</v>
      </c>
      <c r="F98" s="73">
        <f>F90-F96</f>
        <v>944324</v>
      </c>
      <c r="G98" s="23">
        <f t="shared" si="48"/>
        <v>-0.11164412150661897</v>
      </c>
      <c r="H98" t="str">
        <f t="shared" si="45"/>
        <v>Earnings Before Taxes</v>
      </c>
      <c r="I98" s="119">
        <f t="shared" si="55"/>
        <v>7.4674454340081006E-2</v>
      </c>
      <c r="J98" s="119">
        <f t="shared" ref="J98:J99" si="60">+C98/C$78</f>
        <v>8.3019540508480219E-2</v>
      </c>
      <c r="K98" s="119">
        <f t="shared" ref="K98:K99" si="61">+D98/D$78</f>
        <v>0.10092195746226949</v>
      </c>
      <c r="L98" s="119">
        <f t="shared" ref="L98:L99" si="62">+E98/E$78</f>
        <v>4.6411866386596244E-2</v>
      </c>
      <c r="M98" s="119">
        <f t="shared" ref="M98:M99" si="63">+F98/F$78</f>
        <v>4.1514488113389217E-2</v>
      </c>
      <c r="N98" s="119">
        <f>SUM(B98:F98)/SUM(B$78:F$78)</f>
        <v>6.8708613028287777E-2</v>
      </c>
    </row>
    <row r="99" spans="1:14">
      <c r="A99" s="7" t="s">
        <v>101</v>
      </c>
      <c r="B99" s="69">
        <f>16360+67835</f>
        <v>84195</v>
      </c>
      <c r="C99" s="69">
        <f>16360+57582</f>
        <v>73942</v>
      </c>
      <c r="D99" s="70">
        <f>24540+63206</f>
        <v>87746</v>
      </c>
      <c r="E99" s="67">
        <f>16360+52212</f>
        <v>68572</v>
      </c>
      <c r="F99" s="67">
        <f>32720+48145</f>
        <v>80865</v>
      </c>
      <c r="G99" s="19">
        <f t="shared" si="48"/>
        <v>-1.0037890553823387E-2</v>
      </c>
      <c r="H99" t="str">
        <f t="shared" si="45"/>
        <v>Patronage Capital Credits</v>
      </c>
      <c r="I99" s="46">
        <f t="shared" si="55"/>
        <v>4.1465342198775679E-3</v>
      </c>
      <c r="J99" s="46">
        <f t="shared" si="60"/>
        <v>3.6067415659088342E-3</v>
      </c>
      <c r="K99" s="46">
        <f t="shared" si="61"/>
        <v>4.2304958261062085E-3</v>
      </c>
      <c r="L99" s="46">
        <f t="shared" si="62"/>
        <v>3.2944675650463007E-3</v>
      </c>
      <c r="M99" s="46">
        <f t="shared" si="63"/>
        <v>3.5549970998187265E-3</v>
      </c>
      <c r="N99" s="46">
        <f>SUM(B99:F99)/SUM(B$78:F$78)</f>
        <v>3.7610692023699074E-3</v>
      </c>
    </row>
    <row r="100" spans="1:14">
      <c r="A100" s="7" t="s">
        <v>13</v>
      </c>
      <c r="B100" s="68"/>
      <c r="C100" s="68"/>
      <c r="D100" s="67"/>
      <c r="E100" s="67"/>
      <c r="F100" s="67"/>
      <c r="G100" s="23"/>
      <c r="H100" t="str">
        <f t="shared" si="45"/>
        <v>Income Taxes</v>
      </c>
      <c r="I100" s="46"/>
      <c r="J100" s="46"/>
      <c r="K100" s="46"/>
      <c r="L100" s="46"/>
      <c r="M100" s="46"/>
      <c r="N100" s="46"/>
    </row>
    <row r="101" spans="1:14" ht="13.5" thickBot="1">
      <c r="A101" s="7" t="s">
        <v>81</v>
      </c>
      <c r="B101" s="70">
        <f>B98+B99-B100</f>
        <v>1600453</v>
      </c>
      <c r="C101" s="70">
        <f>C98+C99-C100</f>
        <v>1775930</v>
      </c>
      <c r="D101" s="74">
        <f>D98+D99-D100</f>
        <v>2180999</v>
      </c>
      <c r="E101" s="74">
        <f>E98+E99-E100</f>
        <v>1034602</v>
      </c>
      <c r="F101" s="74">
        <f>F98+F99-F100</f>
        <v>1025189</v>
      </c>
      <c r="G101" s="27">
        <f t="shared" si="48"/>
        <v>-0.10537660062660072</v>
      </c>
      <c r="H101" t="str">
        <f t="shared" si="45"/>
        <v>Net Margin</v>
      </c>
      <c r="I101" s="118">
        <f t="shared" si="55"/>
        <v>7.8820988559958574E-2</v>
      </c>
      <c r="J101" s="118">
        <f t="shared" ref="J101" si="64">+C101/C$78</f>
        <v>8.6626282074389063E-2</v>
      </c>
      <c r="K101" s="118">
        <f t="shared" ref="K101" si="65">+D101/D$78</f>
        <v>0.10515245328837569</v>
      </c>
      <c r="L101" s="118">
        <f t="shared" ref="L101" si="66">+E101/E$78</f>
        <v>4.9706333951642548E-2</v>
      </c>
      <c r="M101" s="118">
        <f t="shared" ref="M101" si="67">+F101/F$78</f>
        <v>4.5069485213207944E-2</v>
      </c>
      <c r="N101" s="118">
        <f>SUM(B101:F101)/SUM(B$78:F$78)</f>
        <v>7.2469682230657681E-2</v>
      </c>
    </row>
    <row r="102" spans="1:14" ht="13.5" thickTop="1">
      <c r="A102" s="7"/>
      <c r="B102" s="75"/>
      <c r="C102" s="75"/>
      <c r="D102" s="67"/>
      <c r="E102" s="67"/>
      <c r="F102" s="67"/>
      <c r="G102" s="19"/>
      <c r="I102" s="46"/>
      <c r="J102" s="46"/>
      <c r="K102" s="46"/>
      <c r="L102" s="46"/>
      <c r="M102" s="46"/>
    </row>
    <row r="103" spans="1:14">
      <c r="A103" s="21" t="s">
        <v>80</v>
      </c>
      <c r="B103" s="20">
        <f>-'Cash Flow'!B48</f>
        <v>374677</v>
      </c>
      <c r="C103" s="20">
        <f>-'Cash Flow'!C48</f>
        <v>402752</v>
      </c>
      <c r="D103" s="20">
        <f>-'Cash Flow'!D48</f>
        <v>279148</v>
      </c>
      <c r="E103" s="20">
        <f>-'Cash Flow'!E48</f>
        <v>0</v>
      </c>
      <c r="F103" s="20">
        <f>-'Cash Flow'!F48</f>
        <v>341124</v>
      </c>
      <c r="G103" s="19"/>
      <c r="H103" t="str">
        <f t="shared" ref="H103" si="68">+A103</f>
        <v>Return of Patrons Capital</v>
      </c>
      <c r="I103" s="46">
        <f>+B103/B101</f>
        <v>0.23410684349993408</v>
      </c>
      <c r="J103" s="46">
        <f t="shared" ref="J103:M103" si="69">+C103/C101</f>
        <v>0.22678371332203409</v>
      </c>
      <c r="K103" s="46">
        <f t="shared" si="69"/>
        <v>0.12799088857904106</v>
      </c>
      <c r="L103" s="46">
        <f t="shared" si="69"/>
        <v>0</v>
      </c>
      <c r="M103" s="46">
        <f t="shared" si="69"/>
        <v>0.33274254795944941</v>
      </c>
      <c r="N103" s="46">
        <f>SUM(B103:F103)/SUM(B101:F101)</f>
        <v>0.18349340365513558</v>
      </c>
    </row>
    <row r="104" spans="1:14">
      <c r="A104" s="7"/>
      <c r="B104" s="134"/>
      <c r="C104" s="134"/>
      <c r="D104" s="134"/>
      <c r="E104" s="134"/>
      <c r="F104" s="134"/>
      <c r="G104" s="19"/>
    </row>
    <row r="105" spans="1:14">
      <c r="A105" s="7"/>
      <c r="B105" s="7"/>
      <c r="C105" s="7"/>
      <c r="D105" s="7"/>
      <c r="E105" s="7"/>
      <c r="F105" s="7"/>
      <c r="G105" s="34" t="str">
        <f>+G66</f>
        <v>Exhibit 1</v>
      </c>
    </row>
    <row r="106" spans="1:14">
      <c r="A106" s="7"/>
      <c r="B106" s="7"/>
      <c r="C106" s="7"/>
      <c r="D106" s="7"/>
      <c r="E106" s="7"/>
      <c r="F106" s="7"/>
      <c r="G106" s="100" t="s">
        <v>153</v>
      </c>
    </row>
    <row r="107" spans="1:14" ht="18">
      <c r="A107" s="31" t="str">
        <f>A3</f>
        <v>Dixie Escalante Rural Electric Association, Inc</v>
      </c>
      <c r="B107" s="9"/>
      <c r="C107" s="9"/>
      <c r="D107" s="9"/>
      <c r="E107" s="9"/>
      <c r="F107" s="9"/>
      <c r="G107" s="9"/>
    </row>
    <row r="108" spans="1:14" ht="15.75">
      <c r="A108" s="32" t="s">
        <v>150</v>
      </c>
      <c r="B108" s="9"/>
      <c r="C108" s="9"/>
      <c r="D108" s="9"/>
      <c r="E108" s="9"/>
      <c r="F108" s="9"/>
      <c r="G108" s="10"/>
    </row>
    <row r="109" spans="1:14" ht="15.75">
      <c r="A109" s="33" t="str">
        <f>A5</f>
        <v>Years Ended December 31</v>
      </c>
      <c r="B109" s="9"/>
      <c r="C109" s="9"/>
      <c r="D109" s="9"/>
      <c r="E109" s="9"/>
      <c r="F109" s="9"/>
      <c r="G109" s="10"/>
    </row>
    <row r="110" spans="1:14" ht="15.75">
      <c r="A110" s="32"/>
      <c r="B110" s="9"/>
      <c r="C110" s="9"/>
      <c r="D110" s="9"/>
      <c r="E110" s="9"/>
      <c r="F110" s="9"/>
      <c r="G110" s="10"/>
    </row>
    <row r="111" spans="1:14">
      <c r="A111" s="7"/>
      <c r="B111" s="7"/>
      <c r="C111" s="7"/>
      <c r="D111" s="7"/>
      <c r="E111" s="7"/>
      <c r="F111" s="7"/>
      <c r="G111" s="19"/>
    </row>
    <row r="112" spans="1:14">
      <c r="A112" s="53"/>
      <c r="B112" s="53"/>
      <c r="C112" s="55"/>
      <c r="D112" s="55"/>
      <c r="E112" s="55"/>
      <c r="F112" s="59"/>
      <c r="G112" s="56" t="str">
        <f>G7</f>
        <v>2008 to 2012</v>
      </c>
    </row>
    <row r="113" spans="1:7">
      <c r="A113" s="57" t="s">
        <v>23</v>
      </c>
      <c r="B113" s="54">
        <f>+B74</f>
        <v>2008</v>
      </c>
      <c r="C113" s="54">
        <f t="shared" ref="C113:F113" si="70">+C74</f>
        <v>2009</v>
      </c>
      <c r="D113" s="54">
        <f t="shared" si="70"/>
        <v>2010</v>
      </c>
      <c r="E113" s="54">
        <f t="shared" si="70"/>
        <v>2011</v>
      </c>
      <c r="F113" s="54">
        <f t="shared" si="70"/>
        <v>2012</v>
      </c>
      <c r="G113" s="58" t="s">
        <v>2</v>
      </c>
    </row>
    <row r="114" spans="1:7" ht="7.5" customHeight="1">
      <c r="A114" s="25"/>
      <c r="B114" s="43"/>
      <c r="C114" s="43"/>
      <c r="D114" s="43"/>
      <c r="E114" s="35"/>
      <c r="F114" s="35"/>
      <c r="G114" s="36"/>
    </row>
    <row r="115" spans="1:7">
      <c r="A115" s="18" t="s">
        <v>31</v>
      </c>
      <c r="B115" s="44"/>
      <c r="C115" s="44"/>
      <c r="D115" s="44"/>
      <c r="E115" s="44"/>
      <c r="F115" s="44"/>
      <c r="G115" s="19"/>
    </row>
    <row r="116" spans="1:7">
      <c r="A116" s="7" t="s">
        <v>5</v>
      </c>
      <c r="B116" s="45">
        <f>B17/B46</f>
        <v>1.5958546032379486</v>
      </c>
      <c r="C116" s="45">
        <f>C17/C46</f>
        <v>1.7464138786625576</v>
      </c>
      <c r="D116" s="45">
        <f>D17/D46</f>
        <v>1.6773971756175505</v>
      </c>
      <c r="E116" s="45">
        <f>E17/E46</f>
        <v>1.9741290120582751</v>
      </c>
      <c r="F116" s="45">
        <f>F17/F46</f>
        <v>2.1708276166992873</v>
      </c>
      <c r="G116" s="45">
        <f>AVERAGE(B116:F116)</f>
        <v>1.832924457255124</v>
      </c>
    </row>
    <row r="117" spans="1:7">
      <c r="A117" s="7" t="s">
        <v>22</v>
      </c>
      <c r="B117" s="45">
        <f>(B12+B13)/B46</f>
        <v>0.29493604542497914</v>
      </c>
      <c r="C117" s="45">
        <f>(C12+C13)/C46</f>
        <v>0.60825328083059438</v>
      </c>
      <c r="D117" s="45">
        <f>(D12+D13)/D46</f>
        <v>0.49145713976338462</v>
      </c>
      <c r="E117" s="45">
        <f>(E12+E13)/E46</f>
        <v>0.63695337336714331</v>
      </c>
      <c r="F117" s="45">
        <f>(F12+F13)/F46</f>
        <v>0.78880475176216247</v>
      </c>
      <c r="G117" s="45">
        <f t="shared" ref="G117:G152" si="71">AVERAGE(B117:F117)</f>
        <v>0.56408091822965278</v>
      </c>
    </row>
    <row r="118" spans="1:7">
      <c r="A118" s="7" t="s">
        <v>8</v>
      </c>
      <c r="B118" s="45"/>
      <c r="C118" s="45">
        <f>365*(((B13+C13)/2)/((B78+C78)/2))</f>
        <v>19.59041781688666</v>
      </c>
      <c r="D118" s="45">
        <f>365*(((C13+D13)/2)/((C78+D78)/2))</f>
        <v>19.577281070526595</v>
      </c>
      <c r="E118" s="45">
        <f>365*(((D13+E13)/2)/((D78+E78)/2))</f>
        <v>21.015891531135171</v>
      </c>
      <c r="F118" s="45">
        <f>365*(((E13+F13)/2)/((E78+F78)/2))</f>
        <v>20.652919391945247</v>
      </c>
      <c r="G118" s="45">
        <f t="shared" si="71"/>
        <v>20.209127452623417</v>
      </c>
    </row>
    <row r="119" spans="1:7">
      <c r="A119" s="7"/>
      <c r="B119" s="45"/>
      <c r="C119" s="45"/>
      <c r="D119" s="45"/>
      <c r="E119" s="45"/>
      <c r="F119" s="45"/>
      <c r="G119" s="45"/>
    </row>
    <row r="120" spans="1:7">
      <c r="A120" s="18" t="s">
        <v>14</v>
      </c>
      <c r="B120" s="45"/>
      <c r="C120" s="45"/>
      <c r="D120" s="45"/>
      <c r="E120" s="45"/>
      <c r="F120" s="45"/>
      <c r="G120" s="45"/>
    </row>
    <row r="121" spans="1:7">
      <c r="A121" s="7" t="s">
        <v>17</v>
      </c>
      <c r="B121" s="45">
        <f>B63/B55</f>
        <v>0.42733618959892627</v>
      </c>
      <c r="C121" s="45">
        <f>C63/C55</f>
        <v>0.44267490473675192</v>
      </c>
      <c r="D121" s="45">
        <f>D63/D55</f>
        <v>0.47969817578432977</v>
      </c>
      <c r="E121" s="45">
        <f>E63/E55</f>
        <v>0.62367870549033566</v>
      </c>
      <c r="F121" s="45">
        <f>F63/F55</f>
        <v>0.58922243825496534</v>
      </c>
      <c r="G121" s="45">
        <f t="shared" si="71"/>
        <v>0.51252208277306177</v>
      </c>
    </row>
    <row r="122" spans="1:7">
      <c r="A122" s="7" t="s">
        <v>16</v>
      </c>
      <c r="B122" s="45">
        <f>B63/B53</f>
        <v>0.51770683510655202</v>
      </c>
      <c r="C122" s="45">
        <f>C63/C53</f>
        <v>0.51094989813481184</v>
      </c>
      <c r="D122" s="45">
        <f>D63/D53</f>
        <v>0.54020381261565231</v>
      </c>
      <c r="E122" s="45">
        <f>E63/E53</f>
        <v>0.71168376566534963</v>
      </c>
      <c r="F122" s="45">
        <f>F63/F53</f>
        <v>0.6811087589387701</v>
      </c>
      <c r="G122" s="45">
        <f t="shared" si="71"/>
        <v>0.5923306140922272</v>
      </c>
    </row>
    <row r="123" spans="1:7">
      <c r="A123" s="7" t="s">
        <v>15</v>
      </c>
      <c r="B123" s="45">
        <f>B63/B27</f>
        <v>0.42007191123770582</v>
      </c>
      <c r="C123" s="45">
        <f>C63/C27</f>
        <v>0.41471018477813942</v>
      </c>
      <c r="D123" s="45">
        <f>D63/D27</f>
        <v>0.41700213425678395</v>
      </c>
      <c r="E123" s="45">
        <f>E63/E27</f>
        <v>0.51640853756094796</v>
      </c>
      <c r="F123" s="45">
        <f>F63/F27</f>
        <v>0.49792281879110517</v>
      </c>
      <c r="G123" s="45">
        <f t="shared" si="71"/>
        <v>0.45322311732493648</v>
      </c>
    </row>
    <row r="124" spans="1:7">
      <c r="A124" s="7" t="s">
        <v>32</v>
      </c>
      <c r="B124" s="45">
        <f>(B98+B92)/B92</f>
        <v>3.2990918919246766</v>
      </c>
      <c r="C124" s="45">
        <f>(C98+C92)/C92</f>
        <v>3.9702484415684141</v>
      </c>
      <c r="D124" s="45">
        <f>(D98+D92)/D92</f>
        <v>4.872392971707014</v>
      </c>
      <c r="E124" s="45">
        <f>(E98+E92)/E92</f>
        <v>2.8610031767069741</v>
      </c>
      <c r="F124" s="45">
        <f>(F98+F92)/F92</f>
        <v>2.8892752393794741</v>
      </c>
      <c r="G124" s="45">
        <f t="shared" si="71"/>
        <v>3.5784023442573107</v>
      </c>
    </row>
    <row r="125" spans="1:7">
      <c r="A125" s="25"/>
      <c r="B125" s="45"/>
      <c r="C125" s="45"/>
      <c r="D125" s="45"/>
      <c r="E125" s="45"/>
      <c r="F125" s="45"/>
      <c r="G125" s="45"/>
    </row>
    <row r="126" spans="1:7">
      <c r="A126" s="127" t="s">
        <v>58</v>
      </c>
      <c r="B126" s="45"/>
      <c r="C126" s="45"/>
      <c r="D126" s="45"/>
      <c r="E126" s="132"/>
      <c r="F126" s="132"/>
      <c r="G126" s="45"/>
    </row>
    <row r="127" spans="1:7">
      <c r="A127" s="25" t="s">
        <v>151</v>
      </c>
      <c r="B127" s="46">
        <f>(B78-B81)/B78</f>
        <v>0.38841907639182227</v>
      </c>
      <c r="C127" s="46">
        <f>(C78-C81)/C78</f>
        <v>0.38422855645512455</v>
      </c>
      <c r="D127" s="46">
        <f t="shared" ref="D127:F127" si="72">(D78-D81)/D78</f>
        <v>0.41547624006668049</v>
      </c>
      <c r="E127" s="133">
        <f t="shared" si="72"/>
        <v>0.37793080513103283</v>
      </c>
      <c r="F127" s="133">
        <f t="shared" si="72"/>
        <v>0.37738502212218006</v>
      </c>
      <c r="G127" s="46">
        <f t="shared" si="71"/>
        <v>0.38868794003336804</v>
      </c>
    </row>
    <row r="128" spans="1:7">
      <c r="A128" s="25" t="s">
        <v>81</v>
      </c>
      <c r="B128" s="46">
        <f>+B101/B78</f>
        <v>7.8820988559958574E-2</v>
      </c>
      <c r="C128" s="46">
        <f>+C101/C78</f>
        <v>8.6626282074389063E-2</v>
      </c>
      <c r="D128" s="46">
        <f t="shared" ref="D128:F128" si="73">+D101/D78</f>
        <v>0.10515245328837569</v>
      </c>
      <c r="E128" s="133">
        <f t="shared" si="73"/>
        <v>4.9706333951642548E-2</v>
      </c>
      <c r="F128" s="133">
        <f t="shared" si="73"/>
        <v>4.5069485213207944E-2</v>
      </c>
      <c r="G128" s="46">
        <f t="shared" si="71"/>
        <v>7.3075108617514761E-2</v>
      </c>
    </row>
    <row r="129" spans="1:7">
      <c r="A129" s="25" t="s">
        <v>25</v>
      </c>
      <c r="B129" s="19"/>
      <c r="C129" s="19">
        <f>(C101+(C92*(1-(C100/C98))))/((B37+C37)/2)</f>
        <v>4.0597877179816541E-2</v>
      </c>
      <c r="D129" s="19">
        <f>(D101+(D92*(1-(D100/D98))))/((C37+D37)/2)</f>
        <v>4.4794181220294181E-2</v>
      </c>
      <c r="E129" s="19">
        <f>(E101+(E92*(1-(E100/E98))))/((D37+E37)/2)</f>
        <v>2.6512031281232234E-2</v>
      </c>
      <c r="F129" s="19">
        <f>(F101+(F92*(1-(F100/F98))))/((E37+F37)/2)</f>
        <v>2.6745162388257877E-2</v>
      </c>
      <c r="G129" s="46">
        <f t="shared" si="71"/>
        <v>3.4662313017400206E-2</v>
      </c>
    </row>
    <row r="130" spans="1:7">
      <c r="A130" s="25" t="s">
        <v>57</v>
      </c>
      <c r="B130" s="19"/>
      <c r="C130" s="19">
        <f>(C101+(C92*(1-(C100/C98))))/((B48+C48+B57+C57+B63+C63)/2)</f>
        <v>9.0897713902810026E-2</v>
      </c>
      <c r="D130" s="19">
        <f>(D101+(D92*(1-(D100/D98))))/((C48+D48+C57+D57+C63+D63)/2)</f>
        <v>0.100016173505813</v>
      </c>
      <c r="E130" s="19">
        <f>(E101+(E92*(1-(E100/E98))))/((D48+E48+D57+E57+D63+E63)/2)</f>
        <v>5.3382023418689584E-2</v>
      </c>
      <c r="F130" s="19">
        <f>(F101+(F92*(1-(F100/F98))))/((E48+F48+E57+F57+E63+F63)/2)</f>
        <v>5.0302520568514142E-2</v>
      </c>
      <c r="G130" s="46">
        <f t="shared" si="71"/>
        <v>7.3649607848956689E-2</v>
      </c>
    </row>
    <row r="131" spans="1:7">
      <c r="A131" s="7" t="s">
        <v>83</v>
      </c>
      <c r="B131" s="19"/>
      <c r="C131" s="19">
        <f>C101/((C63+B63)/2)</f>
        <v>0.10122804836543033</v>
      </c>
      <c r="D131" s="19">
        <f>D101/((D63+C63)/2)</f>
        <v>0.11370404117433233</v>
      </c>
      <c r="E131" s="19">
        <f t="shared" ref="E131:F131" si="74">E101/((E63+D63)/2)</f>
        <v>5.0102776839099111E-2</v>
      </c>
      <c r="F131" s="19">
        <f t="shared" si="74"/>
        <v>4.7663417899381548E-2</v>
      </c>
      <c r="G131" s="46">
        <f t="shared" si="71"/>
        <v>7.8174571069560828E-2</v>
      </c>
    </row>
    <row r="132" spans="1:7">
      <c r="A132" s="7"/>
      <c r="B132" s="45"/>
      <c r="C132" s="45"/>
      <c r="D132" s="45"/>
      <c r="E132" s="45"/>
      <c r="F132" s="45"/>
      <c r="G132" s="45"/>
    </row>
    <row r="133" spans="1:7">
      <c r="A133" s="18" t="s">
        <v>1</v>
      </c>
      <c r="B133" s="45"/>
      <c r="C133" s="45"/>
      <c r="D133" s="45"/>
      <c r="E133" s="45"/>
      <c r="F133" s="45"/>
      <c r="G133" s="45"/>
    </row>
    <row r="134" spans="1:7">
      <c r="A134" s="7" t="s">
        <v>27</v>
      </c>
      <c r="B134" s="45"/>
      <c r="C134" s="45">
        <f>C78/((B12+C12)/2)</f>
        <v>12.861646532427251</v>
      </c>
      <c r="D134" s="45">
        <f>D78/((C12+D12)/2)</f>
        <v>12.04036810791764</v>
      </c>
      <c r="E134" s="45">
        <f>E78/((D12+E12)/2)</f>
        <v>16.068622270257752</v>
      </c>
      <c r="F134" s="45">
        <f>F78/((E12+F12)/2)</f>
        <v>10.95002248073733</v>
      </c>
      <c r="G134" s="45">
        <f t="shared" si="71"/>
        <v>12.980164847834994</v>
      </c>
    </row>
    <row r="135" spans="1:7">
      <c r="A135" s="7" t="s">
        <v>26</v>
      </c>
      <c r="B135" s="45"/>
      <c r="C135" s="45">
        <f>C78/((B13+C13)/2)</f>
        <v>18.721114917542291</v>
      </c>
      <c r="D135" s="45">
        <f>D78/((C13+D13)/2)</f>
        <v>18.752667950821191</v>
      </c>
      <c r="E135" s="45">
        <f>E78/((D13+E13)/2)</f>
        <v>17.398312937088509</v>
      </c>
      <c r="F135" s="45">
        <f>F78/((E13+F13)/2)</f>
        <v>18.457100779565366</v>
      </c>
      <c r="G135" s="45">
        <f t="shared" si="71"/>
        <v>18.332299146254339</v>
      </c>
    </row>
    <row r="136" spans="1:7">
      <c r="A136" s="7" t="s">
        <v>30</v>
      </c>
      <c r="B136" s="45"/>
      <c r="C136" s="45">
        <f>C78/((B17+C17-B46-C46)/2)</f>
        <v>4.9938768470914479</v>
      </c>
      <c r="D136" s="45">
        <f>D78/((C17+D17-C46-D46)/2)</f>
        <v>5.6889970906751017</v>
      </c>
      <c r="E136" s="45">
        <f>E78/((D17+E17-D46-E46)/2)</f>
        <v>5.7241414113357543</v>
      </c>
      <c r="F136" s="45">
        <f>F78/((E17+F17-E46-F46)/2)</f>
        <v>4.5741646018076381</v>
      </c>
      <c r="G136" s="45">
        <f>AVERAGE(D136:F136)</f>
        <v>5.3291010346061647</v>
      </c>
    </row>
    <row r="137" spans="1:7">
      <c r="A137" s="7" t="s">
        <v>28</v>
      </c>
      <c r="B137" s="45"/>
      <c r="C137" s="45">
        <f>C78/((B27+C27)/2)</f>
        <v>0.48760398914259206</v>
      </c>
      <c r="D137" s="45">
        <f>D78/((B27+D27)/2)</f>
        <v>0.46921725106538592</v>
      </c>
      <c r="E137" s="45">
        <f>E78/((C27+E27)/2)</f>
        <v>0.49004698007679676</v>
      </c>
      <c r="F137" s="45">
        <f>F78/((D27+F27)/2)</f>
        <v>0.49362298463294285</v>
      </c>
      <c r="G137" s="45">
        <f t="shared" si="71"/>
        <v>0.48512280122942941</v>
      </c>
    </row>
    <row r="138" spans="1:7">
      <c r="A138" s="7" t="s">
        <v>29</v>
      </c>
      <c r="B138" s="45"/>
      <c r="C138" s="45">
        <f>C78/((B37+C37)/2)</f>
        <v>0.35432940947495062</v>
      </c>
      <c r="D138" s="45">
        <f>D78/((C37+D37)/2)</f>
        <v>0.34138169074585339</v>
      </c>
      <c r="E138" s="45">
        <f>E78/((D37+E37)/2)</f>
        <v>0.35517253477013028</v>
      </c>
      <c r="F138" s="45">
        <f>F78/((E37+F37)/2)</f>
        <v>0.39892401888495665</v>
      </c>
      <c r="G138" s="45">
        <f t="shared" si="71"/>
        <v>0.36245191346897276</v>
      </c>
    </row>
    <row r="139" spans="1:7">
      <c r="A139" s="7"/>
      <c r="B139" s="7"/>
      <c r="C139" s="7"/>
      <c r="D139" s="7"/>
      <c r="E139" s="7"/>
      <c r="F139" s="7"/>
      <c r="G139" s="45"/>
    </row>
    <row r="140" spans="1:7">
      <c r="A140" s="18" t="s">
        <v>82</v>
      </c>
      <c r="B140" s="7"/>
      <c r="C140" s="7"/>
      <c r="D140" s="7"/>
      <c r="E140" s="7"/>
      <c r="F140" s="7"/>
      <c r="G140" s="45"/>
    </row>
    <row r="141" spans="1:7">
      <c r="A141" s="128"/>
      <c r="B141" s="47"/>
      <c r="C141" s="47"/>
      <c r="D141" s="47"/>
      <c r="E141" s="47"/>
      <c r="F141" s="47"/>
      <c r="G141" s="45"/>
    </row>
    <row r="142" spans="1:7">
      <c r="A142" s="128"/>
      <c r="B142" s="19"/>
      <c r="C142" s="19"/>
      <c r="D142" s="19"/>
      <c r="E142" s="19"/>
      <c r="F142" s="19"/>
      <c r="G142" s="19"/>
    </row>
    <row r="143" spans="1:7">
      <c r="A143" s="128"/>
      <c r="B143" s="46"/>
      <c r="C143" s="46"/>
      <c r="D143" s="46"/>
      <c r="E143" s="46"/>
      <c r="F143" s="46"/>
      <c r="G143" s="46"/>
    </row>
    <row r="144" spans="1:7">
      <c r="A144" s="7"/>
      <c r="B144" s="7"/>
      <c r="C144" s="7"/>
      <c r="D144" s="7"/>
      <c r="E144" s="7"/>
      <c r="F144" s="7"/>
      <c r="G144" s="45"/>
    </row>
    <row r="145" spans="1:7">
      <c r="A145" s="18" t="s">
        <v>67</v>
      </c>
      <c r="B145" s="7"/>
      <c r="C145" s="7"/>
      <c r="D145" s="7"/>
      <c r="E145" s="7"/>
      <c r="F145" s="7"/>
      <c r="G145" s="45"/>
    </row>
    <row r="146" spans="1:7">
      <c r="A146" s="7" t="s">
        <v>52</v>
      </c>
      <c r="B146" s="19">
        <f>B48/(B$48+B$63)</f>
        <v>0.32995210287882365</v>
      </c>
      <c r="C146" s="19">
        <f>C48/(C$48+C$63)</f>
        <v>0.31270446122406892</v>
      </c>
      <c r="D146" s="19">
        <f>D48/(D$48+D$63)</f>
        <v>0.27834629861955451</v>
      </c>
      <c r="E146" s="19">
        <f>E48/(E$48+E$63)</f>
        <v>0.30171994090173221</v>
      </c>
      <c r="F146" s="19">
        <f>F48/(F$48+F$63)</f>
        <v>0.27934939949685955</v>
      </c>
      <c r="G146" s="46">
        <f>AVERAGE(D146:F146)</f>
        <v>0.28647187967271542</v>
      </c>
    </row>
    <row r="147" spans="1:7">
      <c r="A147" s="7" t="s">
        <v>68</v>
      </c>
      <c r="B147" s="19">
        <f>B63/(B$48+B$63)</f>
        <v>0.67004789712117641</v>
      </c>
      <c r="C147" s="19">
        <f>C63/(C$48+C$63)</f>
        <v>0.68729553877593108</v>
      </c>
      <c r="D147" s="19">
        <f>D63/(D$48+D$63)</f>
        <v>0.72165370138044549</v>
      </c>
      <c r="E147" s="19">
        <f>E63/(E$48+E$63)</f>
        <v>0.69828005909826785</v>
      </c>
      <c r="F147" s="19">
        <f>F63/(F$48+F$63)</f>
        <v>0.72065060050314045</v>
      </c>
      <c r="G147" s="46">
        <f>AVERAGE(D147:F147)</f>
        <v>0.71352812032728463</v>
      </c>
    </row>
    <row r="148" spans="1:7">
      <c r="A148" s="7"/>
      <c r="B148" s="7"/>
      <c r="C148" s="7"/>
      <c r="D148" s="7"/>
      <c r="E148" s="7"/>
      <c r="F148" s="7"/>
      <c r="G148" s="46"/>
    </row>
    <row r="149" spans="1:7">
      <c r="A149" s="18" t="s">
        <v>69</v>
      </c>
      <c r="B149" s="7"/>
      <c r="C149" s="7"/>
      <c r="D149" s="7"/>
      <c r="E149" s="7"/>
      <c r="F149" s="7"/>
      <c r="G149" s="46"/>
    </row>
    <row r="150" spans="1:7">
      <c r="A150" s="7" t="s">
        <v>70</v>
      </c>
      <c r="B150" s="19">
        <f>B$40/(B$40+B$48+B$63)</f>
        <v>1.81746381244711E-2</v>
      </c>
      <c r="C150" s="19">
        <f>C$40/(C$40+C$48+C$63)</f>
        <v>1.8436300112263208E-2</v>
      </c>
      <c r="D150" s="19">
        <f>D$40/(D$40+D$48+D$63)</f>
        <v>1.8621516679704249E-2</v>
      </c>
      <c r="E150" s="19">
        <f>E$40/(E$40+E$48+E$63)</f>
        <v>2.0015345265069522E-2</v>
      </c>
      <c r="F150" s="19">
        <f>F$40/(F$40+F$48+F$63)</f>
        <v>2.1782636975289243E-2</v>
      </c>
      <c r="G150" s="46">
        <f t="shared" si="71"/>
        <v>1.9406087431359464E-2</v>
      </c>
    </row>
    <row r="151" spans="1:7">
      <c r="A151" s="7" t="s">
        <v>52</v>
      </c>
      <c r="B151" s="19">
        <f>B$48/(B$40+B$48+B$63)</f>
        <v>0.32395534281059274</v>
      </c>
      <c r="C151" s="19">
        <f>C$48/(C$40+C$48+C$63)</f>
        <v>0.30693934793049843</v>
      </c>
      <c r="D151" s="19">
        <f>D$48/(D$40+D$48+D$63)</f>
        <v>0.27316306837707649</v>
      </c>
      <c r="E151" s="19">
        <f>E$48/(E$40+E$48+E$63)</f>
        <v>0.29568091211122766</v>
      </c>
      <c r="F151" s="19">
        <f>F$48/(F$40+F$48+F$63)</f>
        <v>0.27326443293835445</v>
      </c>
      <c r="G151" s="46">
        <f t="shared" si="71"/>
        <v>0.29460062083354999</v>
      </c>
    </row>
    <row r="152" spans="1:7">
      <c r="A152" s="7" t="s">
        <v>68</v>
      </c>
      <c r="B152" s="19">
        <f>B$63/(B$40+B$48+B$63)</f>
        <v>0.65787001906493614</v>
      </c>
      <c r="C152" s="19">
        <f>C$63/(C$40+C$48+C$63)</f>
        <v>0.67462435195723836</v>
      </c>
      <c r="D152" s="19">
        <f>D$63/(D$40+D$48+D$63)</f>
        <v>0.70821541494321927</v>
      </c>
      <c r="E152" s="19">
        <f>E$63/(E$40+E$48+E$63)</f>
        <v>0.68430374262370286</v>
      </c>
      <c r="F152" s="19">
        <f>F$63/(F$40+F$48+F$63)</f>
        <v>0.70495293008635629</v>
      </c>
      <c r="G152" s="46">
        <f t="shared" si="71"/>
        <v>0.6859932917350906</v>
      </c>
    </row>
    <row r="153" spans="1:7">
      <c r="A153" s="7"/>
      <c r="B153" s="7"/>
      <c r="C153" s="7"/>
      <c r="D153" s="7"/>
      <c r="E153" s="7"/>
      <c r="F153" s="7"/>
      <c r="G153" s="45"/>
    </row>
    <row r="154" spans="1:7">
      <c r="A154" s="7"/>
      <c r="B154" s="7"/>
      <c r="C154" s="7"/>
      <c r="D154" s="7"/>
      <c r="E154" s="7"/>
      <c r="F154" s="7"/>
      <c r="G154" s="19"/>
    </row>
  </sheetData>
  <phoneticPr fontId="4" type="noConversion"/>
  <printOptions horizontalCentered="1"/>
  <pageMargins left="0.75" right="0.75" top="1" bottom="1" header="0.5" footer="0.5"/>
  <pageSetup scale="78" fitToHeight="5" orientation="portrait" r:id="rId1"/>
  <headerFooter alignWithMargins="0"/>
  <rowBreaks count="2" manualBreakCount="2">
    <brk id="65" max="13" man="1"/>
    <brk id="10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showGridLines="0" view="pageBreakPreview" zoomScaleSheetLayoutView="100" workbookViewId="0"/>
  </sheetViews>
  <sheetFormatPr defaultRowHeight="12.75"/>
  <cols>
    <col min="1" max="1" width="45.42578125" customWidth="1"/>
    <col min="2" max="6" width="11.7109375" customWidth="1"/>
    <col min="7" max="7" width="10.7109375" customWidth="1"/>
  </cols>
  <sheetData>
    <row r="1" spans="1:8">
      <c r="A1" s="77"/>
      <c r="B1" s="78"/>
      <c r="C1" s="78"/>
      <c r="D1" s="78"/>
      <c r="E1" s="78"/>
      <c r="F1" s="78"/>
      <c r="G1" s="34" t="s">
        <v>64</v>
      </c>
      <c r="H1" s="79"/>
    </row>
    <row r="2" spans="1:8">
      <c r="A2" s="77"/>
      <c r="B2" s="78"/>
      <c r="C2" s="78"/>
      <c r="D2" s="78"/>
      <c r="E2" s="78"/>
      <c r="F2" s="78"/>
      <c r="G2" s="100" t="s">
        <v>89</v>
      </c>
      <c r="H2" s="79"/>
    </row>
    <row r="3" spans="1:8" ht="18">
      <c r="A3" s="81" t="str">
        <f>+'Financial Statements'!A3</f>
        <v>Dixie Escalante Rural Electric Association, Inc</v>
      </c>
      <c r="B3" s="80"/>
      <c r="C3" s="80"/>
      <c r="D3" s="80"/>
      <c r="E3" s="80"/>
      <c r="F3" s="80"/>
      <c r="G3" s="80"/>
      <c r="H3" s="79"/>
    </row>
    <row r="4" spans="1:8" ht="15">
      <c r="A4" s="82" t="s">
        <v>105</v>
      </c>
      <c r="B4" s="83"/>
      <c r="C4" s="83"/>
      <c r="D4" s="83"/>
      <c r="E4" s="83"/>
      <c r="F4" s="83"/>
      <c r="G4" s="83"/>
      <c r="H4" s="79"/>
    </row>
    <row r="5" spans="1:8" ht="15">
      <c r="A5" s="82" t="str">
        <f>'[1]Historical - Exhibit 1'!A5</f>
        <v>Years Ended December 31</v>
      </c>
      <c r="B5" s="83"/>
      <c r="C5" s="83"/>
      <c r="D5" s="83"/>
      <c r="E5" s="83"/>
      <c r="F5" s="83"/>
      <c r="G5" s="83"/>
      <c r="H5" s="79"/>
    </row>
    <row r="6" spans="1:8" s="7" customFormat="1">
      <c r="A6" s="84"/>
      <c r="B6" s="84"/>
      <c r="C6" s="84"/>
      <c r="D6" s="84"/>
      <c r="E6" s="84"/>
      <c r="F6" s="84"/>
      <c r="G6" s="101" t="str">
        <f>+'Financial Statements'!G7</f>
        <v>2008 to 2012</v>
      </c>
      <c r="H6" s="79"/>
    </row>
    <row r="7" spans="1:8" s="7" customFormat="1">
      <c r="A7" s="85" t="s">
        <v>106</v>
      </c>
      <c r="B7" s="86"/>
      <c r="C7" s="86"/>
      <c r="D7" s="87"/>
      <c r="E7" s="87"/>
      <c r="F7" s="87"/>
      <c r="G7" s="102" t="s">
        <v>3</v>
      </c>
      <c r="H7" s="79"/>
    </row>
    <row r="8" spans="1:8" s="7" customFormat="1">
      <c r="A8" s="85"/>
      <c r="B8" s="88">
        <f>+'Financial Statements'!I9</f>
        <v>2008</v>
      </c>
      <c r="C8" s="88">
        <f>+'Financial Statements'!J9</f>
        <v>2009</v>
      </c>
      <c r="D8" s="88">
        <f>+'Financial Statements'!K9</f>
        <v>2010</v>
      </c>
      <c r="E8" s="88">
        <f>+'Financial Statements'!L9</f>
        <v>2011</v>
      </c>
      <c r="F8" s="88">
        <f>+'Financial Statements'!M9</f>
        <v>2012</v>
      </c>
      <c r="G8" s="103" t="s">
        <v>20</v>
      </c>
      <c r="H8" s="79"/>
    </row>
    <row r="9" spans="1:8" s="7" customFormat="1">
      <c r="A9" s="89"/>
      <c r="B9" s="90"/>
      <c r="C9" s="90"/>
      <c r="D9" s="90"/>
      <c r="E9" s="90"/>
      <c r="F9" s="90"/>
      <c r="G9" s="91"/>
      <c r="H9" s="79"/>
    </row>
    <row r="10" spans="1:8" s="7" customFormat="1">
      <c r="A10" s="85" t="str">
        <f>+'Financial Statements'!A76</f>
        <v>Operating Revenues</v>
      </c>
      <c r="B10" s="48">
        <f>+'Financial Statements'!B78</f>
        <v>20304909</v>
      </c>
      <c r="C10" s="48">
        <f>+'Financial Statements'!C78</f>
        <v>20501053</v>
      </c>
      <c r="D10" s="48">
        <f>+'Financial Statements'!D78</f>
        <v>20741304</v>
      </c>
      <c r="E10" s="48">
        <f>+'Financial Statements'!E78</f>
        <v>20814289</v>
      </c>
      <c r="F10" s="48">
        <f>+'Financial Statements'!F78</f>
        <v>22746854</v>
      </c>
      <c r="G10" s="19">
        <f>RATE(4,,-B10,F10)</f>
        <v>2.8797909645645523E-2</v>
      </c>
      <c r="H10" s="79"/>
    </row>
    <row r="11" spans="1:8" s="7" customFormat="1">
      <c r="A11" s="114" t="s">
        <v>107</v>
      </c>
      <c r="B11" s="42"/>
      <c r="C11" s="42"/>
      <c r="D11" s="42"/>
      <c r="E11" s="42"/>
      <c r="F11" s="42"/>
      <c r="G11" s="93"/>
      <c r="H11" s="77"/>
    </row>
    <row r="12" spans="1:8" s="7" customFormat="1">
      <c r="A12" s="94" t="s">
        <v>123</v>
      </c>
      <c r="B12" s="104">
        <f>+'Financial Statements'!B101</f>
        <v>1600453</v>
      </c>
      <c r="C12" s="104">
        <f>+'Financial Statements'!C101</f>
        <v>1775930</v>
      </c>
      <c r="D12" s="104">
        <f>+'Financial Statements'!D101</f>
        <v>2180999</v>
      </c>
      <c r="E12" s="104">
        <f>+'Financial Statements'!E101</f>
        <v>1034602</v>
      </c>
      <c r="F12" s="104">
        <f>+'Financial Statements'!F101</f>
        <v>1025189</v>
      </c>
      <c r="G12" s="131">
        <f>RATE(4,,-B12,F12)</f>
        <v>-0.10537660062660072</v>
      </c>
      <c r="H12" s="77"/>
    </row>
    <row r="13" spans="1:8" s="7" customFormat="1">
      <c r="A13" s="92" t="s">
        <v>124</v>
      </c>
      <c r="B13" s="104"/>
      <c r="C13" s="104"/>
      <c r="D13" s="104"/>
      <c r="E13" s="104"/>
      <c r="F13" s="104"/>
      <c r="G13" s="19"/>
      <c r="H13" s="77"/>
    </row>
    <row r="14" spans="1:8" s="7" customFormat="1">
      <c r="A14" s="94" t="s">
        <v>108</v>
      </c>
      <c r="B14" s="105">
        <v>1400270</v>
      </c>
      <c r="C14" s="105">
        <v>1429185</v>
      </c>
      <c r="D14" s="105">
        <v>1487459</v>
      </c>
      <c r="E14" s="105">
        <v>1631468</v>
      </c>
      <c r="F14" s="105">
        <v>1723579</v>
      </c>
      <c r="G14" s="19">
        <f t="shared" ref="G14:G16" si="0">RATE(4,,-B14,F14)</f>
        <v>5.3306713827489888E-2</v>
      </c>
      <c r="H14" s="77"/>
    </row>
    <row r="15" spans="1:8" s="7" customFormat="1">
      <c r="A15" s="94" t="s">
        <v>125</v>
      </c>
      <c r="B15" s="106">
        <v>-745071</v>
      </c>
      <c r="C15" s="106">
        <v>-774752</v>
      </c>
      <c r="D15" s="106">
        <v>-822348</v>
      </c>
      <c r="E15" s="106">
        <v>-869966</v>
      </c>
      <c r="F15" s="106">
        <v>-934242</v>
      </c>
      <c r="G15" s="19">
        <f t="shared" si="0"/>
        <v>5.8194334281906158E-2</v>
      </c>
      <c r="H15" s="77"/>
    </row>
    <row r="16" spans="1:8" s="7" customFormat="1">
      <c r="A16" s="94" t="s">
        <v>126</v>
      </c>
      <c r="B16" s="106">
        <v>-20031</v>
      </c>
      <c r="C16" s="106">
        <v>-20031</v>
      </c>
      <c r="D16" s="106">
        <v>-20031</v>
      </c>
      <c r="E16" s="106">
        <v>-20031</v>
      </c>
      <c r="F16" s="106">
        <v>-20031</v>
      </c>
      <c r="G16" s="19">
        <f t="shared" si="0"/>
        <v>-8.615647690139267E-18</v>
      </c>
      <c r="H16" s="77"/>
    </row>
    <row r="17" spans="1:8" s="7" customFormat="1">
      <c r="A17" s="95" t="s">
        <v>146</v>
      </c>
      <c r="B17" s="106">
        <v>11070</v>
      </c>
      <c r="C17" s="106">
        <v>-15259</v>
      </c>
      <c r="D17" s="106">
        <v>-33342</v>
      </c>
      <c r="E17" s="106">
        <v>-27169</v>
      </c>
      <c r="F17" s="106">
        <v>-24724</v>
      </c>
      <c r="G17" s="19"/>
      <c r="H17" s="77"/>
    </row>
    <row r="18" spans="1:8" s="7" customFormat="1">
      <c r="A18" s="95" t="s">
        <v>109</v>
      </c>
      <c r="B18" s="106"/>
      <c r="C18" s="106"/>
      <c r="D18" s="106"/>
      <c r="E18" s="106"/>
      <c r="F18" s="106"/>
      <c r="G18" s="19"/>
      <c r="H18" s="77"/>
    </row>
    <row r="19" spans="1:8" s="7" customFormat="1">
      <c r="A19" s="92" t="s">
        <v>137</v>
      </c>
      <c r="B19" s="104"/>
      <c r="C19" s="104"/>
      <c r="D19" s="104"/>
      <c r="E19" s="104"/>
      <c r="F19" s="104"/>
      <c r="G19" s="19"/>
      <c r="H19" s="77"/>
    </row>
    <row r="20" spans="1:8" s="7" customFormat="1">
      <c r="A20" s="96" t="s">
        <v>127</v>
      </c>
      <c r="B20" s="104">
        <v>-16317</v>
      </c>
      <c r="C20" s="104">
        <v>-624576</v>
      </c>
      <c r="D20" s="104">
        <v>-39039</v>
      </c>
      <c r="E20" s="104">
        <v>-23619</v>
      </c>
      <c r="F20" s="104">
        <v>-19632</v>
      </c>
      <c r="G20" s="19">
        <f t="shared" ref="G20:G28" si="1">RATE(4,,-B20,F20)</f>
        <v>4.73240053524734E-2</v>
      </c>
      <c r="H20" s="77"/>
    </row>
    <row r="21" spans="1:8" s="7" customFormat="1">
      <c r="A21" s="96" t="s">
        <v>128</v>
      </c>
      <c r="B21" s="104">
        <v>-3083215</v>
      </c>
      <c r="C21" s="104">
        <v>2381740</v>
      </c>
      <c r="D21" s="104">
        <v>638851</v>
      </c>
      <c r="E21" s="104">
        <v>-50369</v>
      </c>
      <c r="F21" s="104">
        <v>-746296</v>
      </c>
      <c r="G21" s="19">
        <f t="shared" si="1"/>
        <v>-0.29858213042747372</v>
      </c>
      <c r="H21" s="77"/>
    </row>
    <row r="22" spans="1:8" s="7" customFormat="1">
      <c r="A22" s="96" t="s">
        <v>129</v>
      </c>
      <c r="B22" s="104">
        <v>1564953</v>
      </c>
      <c r="C22" s="104">
        <v>389521</v>
      </c>
      <c r="D22" s="104">
        <v>607264</v>
      </c>
      <c r="E22" s="104">
        <v>-59629</v>
      </c>
      <c r="F22" s="104">
        <v>-561179</v>
      </c>
      <c r="G22" s="19"/>
      <c r="H22" s="77"/>
    </row>
    <row r="23" spans="1:8" s="7" customFormat="1">
      <c r="A23" s="96" t="s">
        <v>130</v>
      </c>
      <c r="B23" s="104">
        <v>4972</v>
      </c>
      <c r="C23" s="104">
        <v>-3145</v>
      </c>
      <c r="D23" s="104">
        <v>-6999</v>
      </c>
      <c r="E23" s="104">
        <v>-1365</v>
      </c>
      <c r="F23" s="104">
        <v>2065</v>
      </c>
      <c r="G23" s="19">
        <f t="shared" si="1"/>
        <v>-0.19721872489000805</v>
      </c>
      <c r="H23" s="77"/>
    </row>
    <row r="24" spans="1:8" s="7" customFormat="1">
      <c r="A24" s="96" t="s">
        <v>131</v>
      </c>
      <c r="B24" s="104">
        <v>44638</v>
      </c>
      <c r="C24" s="104">
        <v>-17018</v>
      </c>
      <c r="D24" s="104">
        <v>-47225</v>
      </c>
      <c r="E24" s="104">
        <v>81827</v>
      </c>
      <c r="F24" s="104">
        <v>1649541</v>
      </c>
      <c r="G24" s="19">
        <f t="shared" si="1"/>
        <v>1.4655544421981856</v>
      </c>
      <c r="H24" s="77"/>
    </row>
    <row r="25" spans="1:8" s="7" customFormat="1">
      <c r="A25" s="96" t="s">
        <v>132</v>
      </c>
      <c r="B25" s="104">
        <v>-238996</v>
      </c>
      <c r="C25" s="104">
        <v>1245163</v>
      </c>
      <c r="D25" s="104">
        <v>-730756</v>
      </c>
      <c r="E25" s="104">
        <v>-616983</v>
      </c>
      <c r="F25" s="104">
        <v>664726</v>
      </c>
      <c r="G25" s="19"/>
      <c r="H25" s="77"/>
    </row>
    <row r="26" spans="1:8" s="7" customFormat="1">
      <c r="A26" s="96" t="s">
        <v>133</v>
      </c>
      <c r="B26" s="106">
        <v>15497</v>
      </c>
      <c r="C26" s="106">
        <v>285560</v>
      </c>
      <c r="D26" s="106">
        <v>-133686</v>
      </c>
      <c r="E26" s="106">
        <v>-7824</v>
      </c>
      <c r="F26" s="106">
        <v>-27680</v>
      </c>
      <c r="G26" s="19"/>
      <c r="H26" s="77"/>
    </row>
    <row r="27" spans="1:8" s="7" customFormat="1">
      <c r="A27" s="96" t="s">
        <v>134</v>
      </c>
      <c r="B27" s="106">
        <v>47076</v>
      </c>
      <c r="C27" s="106">
        <v>37774</v>
      </c>
      <c r="D27" s="106">
        <v>50156</v>
      </c>
      <c r="E27" s="106">
        <v>1923</v>
      </c>
      <c r="F27" s="106">
        <v>59729</v>
      </c>
      <c r="G27" s="19">
        <f t="shared" si="1"/>
        <v>6.1320180928219489E-2</v>
      </c>
      <c r="H27" s="77"/>
    </row>
    <row r="28" spans="1:8" s="7" customFormat="1">
      <c r="A28" s="96" t="s">
        <v>135</v>
      </c>
      <c r="B28" s="106">
        <v>43134</v>
      </c>
      <c r="C28" s="106">
        <v>42780</v>
      </c>
      <c r="D28" s="106">
        <v>-11724</v>
      </c>
      <c r="E28" s="106">
        <v>47158</v>
      </c>
      <c r="F28" s="106">
        <v>29246</v>
      </c>
      <c r="G28" s="19">
        <f t="shared" si="1"/>
        <v>-9.2573024872003584E-2</v>
      </c>
      <c r="H28" s="77"/>
    </row>
    <row r="29" spans="1:8" s="7" customFormat="1">
      <c r="A29" s="96" t="s">
        <v>136</v>
      </c>
      <c r="B29" s="106">
        <v>-12512</v>
      </c>
      <c r="C29" s="106">
        <v>-26728</v>
      </c>
      <c r="D29" s="106">
        <v>-7376</v>
      </c>
      <c r="E29" s="106">
        <v>-17962</v>
      </c>
      <c r="F29" s="106">
        <v>24070</v>
      </c>
      <c r="G29" s="19"/>
      <c r="H29" s="77"/>
    </row>
    <row r="30" spans="1:8" s="7" customFormat="1">
      <c r="A30" s="94"/>
      <c r="B30" s="106"/>
      <c r="C30" s="106"/>
      <c r="D30" s="106"/>
      <c r="E30" s="106"/>
      <c r="F30" s="106"/>
      <c r="G30" s="23"/>
      <c r="H30" s="77"/>
    </row>
    <row r="31" spans="1:8" s="7" customFormat="1">
      <c r="A31" s="113" t="s">
        <v>110</v>
      </c>
      <c r="B31" s="107">
        <f>SUM(B11:B30)</f>
        <v>615921</v>
      </c>
      <c r="C31" s="107">
        <f>SUM(C11:C30)</f>
        <v>6106144</v>
      </c>
      <c r="D31" s="107">
        <f>SUM(D11:D30)</f>
        <v>3112203</v>
      </c>
      <c r="E31" s="107">
        <f>SUM(E11:E30)</f>
        <v>1102061</v>
      </c>
      <c r="F31" s="107">
        <f>SUM(F11:F30)</f>
        <v>2844361</v>
      </c>
      <c r="G31" s="19">
        <f>RATE(4,,-B31,F31)</f>
        <v>0.46593571523871302</v>
      </c>
      <c r="H31" s="77"/>
    </row>
    <row r="32" spans="1:8" s="7" customFormat="1">
      <c r="A32" s="113"/>
      <c r="B32" s="106"/>
      <c r="C32" s="106"/>
      <c r="D32" s="106"/>
      <c r="E32" s="106"/>
      <c r="F32" s="106"/>
      <c r="G32" s="19"/>
      <c r="H32" s="77"/>
    </row>
    <row r="33" spans="1:8" s="7" customFormat="1">
      <c r="A33" s="114" t="s">
        <v>111</v>
      </c>
      <c r="B33" s="106"/>
      <c r="C33" s="106"/>
      <c r="D33" s="106"/>
      <c r="E33" s="106"/>
      <c r="F33" s="106"/>
      <c r="G33" s="19"/>
      <c r="H33" s="77"/>
    </row>
    <row r="34" spans="1:8" s="7" customFormat="1">
      <c r="A34" s="94" t="s">
        <v>112</v>
      </c>
      <c r="B34" s="106">
        <v>-8262707</v>
      </c>
      <c r="C34" s="106">
        <v>-5276956</v>
      </c>
      <c r="D34" s="106">
        <v>-7228297</v>
      </c>
      <c r="E34" s="106">
        <v>-5002924</v>
      </c>
      <c r="F34" s="106">
        <v>-6110140</v>
      </c>
      <c r="G34" s="19">
        <f t="shared" ref="G34:G35" si="2">RATE(4,,-B34,F34)</f>
        <v>-7.267450050648111E-2</v>
      </c>
      <c r="H34" s="77"/>
    </row>
    <row r="35" spans="1:8" s="7" customFormat="1">
      <c r="A35" s="94" t="s">
        <v>113</v>
      </c>
      <c r="B35" s="106">
        <v>25712</v>
      </c>
      <c r="C35" s="106">
        <v>62027</v>
      </c>
      <c r="D35" s="106">
        <v>88489</v>
      </c>
      <c r="E35" s="106">
        <v>43484</v>
      </c>
      <c r="F35" s="106">
        <v>17486</v>
      </c>
      <c r="G35" s="19">
        <f t="shared" si="2"/>
        <v>-9.1889591091249168E-2</v>
      </c>
      <c r="H35" s="77"/>
    </row>
    <row r="36" spans="1:8" s="7" customFormat="1">
      <c r="A36" s="94" t="s">
        <v>138</v>
      </c>
      <c r="B36" s="106"/>
      <c r="C36" s="106">
        <v>-29000</v>
      </c>
      <c r="D36" s="106">
        <v>-17454</v>
      </c>
      <c r="E36" s="106"/>
      <c r="F36" s="106">
        <v>-743902</v>
      </c>
      <c r="G36" s="19"/>
      <c r="H36" s="77"/>
    </row>
    <row r="37" spans="1:8" s="7" customFormat="1">
      <c r="A37" s="94" t="s">
        <v>139</v>
      </c>
      <c r="B37" s="106"/>
      <c r="C37" s="106"/>
      <c r="D37" s="106"/>
      <c r="E37" s="106"/>
      <c r="F37" s="106">
        <v>731501</v>
      </c>
      <c r="G37" s="19"/>
      <c r="H37" s="77"/>
    </row>
    <row r="38" spans="1:8" s="7" customFormat="1">
      <c r="A38" s="94" t="s">
        <v>147</v>
      </c>
      <c r="B38" s="106"/>
      <c r="C38" s="106"/>
      <c r="D38" s="106">
        <v>-651785</v>
      </c>
      <c r="E38" s="106"/>
      <c r="F38" s="106"/>
      <c r="G38" s="19"/>
      <c r="H38" s="77"/>
    </row>
    <row r="39" spans="1:8" s="7" customFormat="1">
      <c r="A39" s="94"/>
      <c r="B39" s="108"/>
      <c r="C39" s="108"/>
      <c r="D39" s="108"/>
      <c r="E39" s="108"/>
      <c r="F39" s="108"/>
      <c r="G39" s="23"/>
      <c r="H39" s="77"/>
    </row>
    <row r="40" spans="1:8" s="7" customFormat="1">
      <c r="A40" s="113" t="s">
        <v>115</v>
      </c>
      <c r="B40" s="109">
        <f>SUM(B33:B39)</f>
        <v>-8236995</v>
      </c>
      <c r="C40" s="109">
        <f>SUM(C33:C39)</f>
        <v>-5243929</v>
      </c>
      <c r="D40" s="109">
        <f>SUM(D33:D39)</f>
        <v>-7809047</v>
      </c>
      <c r="E40" s="109">
        <f>SUM(E33:E39)</f>
        <v>-4959440</v>
      </c>
      <c r="F40" s="109">
        <f>SUM(F33:F39)</f>
        <v>-6105055</v>
      </c>
      <c r="G40" s="19">
        <f>RATE(4,,-B40,F40)</f>
        <v>-7.2144824355583392E-2</v>
      </c>
      <c r="H40" s="77"/>
    </row>
    <row r="41" spans="1:8" s="7" customFormat="1">
      <c r="A41" s="94"/>
      <c r="B41" s="106"/>
      <c r="C41" s="106"/>
      <c r="D41" s="106"/>
      <c r="E41" s="106"/>
      <c r="F41" s="106"/>
      <c r="G41" s="19"/>
      <c r="H41" s="77"/>
    </row>
    <row r="42" spans="1:8" s="7" customFormat="1">
      <c r="A42" s="114" t="s">
        <v>116</v>
      </c>
      <c r="B42" s="106"/>
      <c r="C42" s="106"/>
      <c r="D42" s="106"/>
      <c r="E42" s="106"/>
      <c r="F42" s="106"/>
      <c r="G42" s="19"/>
      <c r="H42" s="77"/>
    </row>
    <row r="43" spans="1:8" s="7" customFormat="1">
      <c r="A43" s="96" t="s">
        <v>117</v>
      </c>
      <c r="B43" s="106">
        <v>2300000</v>
      </c>
      <c r="C43" s="106">
        <v>496232</v>
      </c>
      <c r="D43" s="106"/>
      <c r="E43" s="106">
        <v>2000000</v>
      </c>
      <c r="F43" s="106"/>
      <c r="G43" s="19"/>
      <c r="H43" s="77"/>
    </row>
    <row r="44" spans="1:8" s="7" customFormat="1">
      <c r="A44" s="96" t="s">
        <v>118</v>
      </c>
      <c r="B44" s="106">
        <v>-443732</v>
      </c>
      <c r="C44" s="106">
        <v>-3470313</v>
      </c>
      <c r="D44" s="106">
        <v>-498159</v>
      </c>
      <c r="E44" s="106">
        <v>-529378</v>
      </c>
      <c r="F44" s="106">
        <v>-619743</v>
      </c>
      <c r="G44" s="19">
        <f t="shared" ref="G44:G48" si="3">RATE(4,,-B44,F44)</f>
        <v>8.7108071333458562E-2</v>
      </c>
      <c r="H44" s="77"/>
    </row>
    <row r="45" spans="1:8" s="7" customFormat="1">
      <c r="A45" s="97" t="s">
        <v>140</v>
      </c>
      <c r="B45" s="106">
        <v>1211377</v>
      </c>
      <c r="C45" s="106">
        <v>868991</v>
      </c>
      <c r="D45" s="106">
        <v>1427864</v>
      </c>
      <c r="E45" s="106">
        <v>1428551</v>
      </c>
      <c r="F45" s="106">
        <v>1928263</v>
      </c>
      <c r="G45" s="19">
        <f t="shared" si="3"/>
        <v>0.12323786691938396</v>
      </c>
      <c r="H45" s="77"/>
    </row>
    <row r="46" spans="1:8" s="7" customFormat="1">
      <c r="A46" s="97" t="s">
        <v>141</v>
      </c>
      <c r="B46" s="106">
        <v>6088773</v>
      </c>
      <c r="C46" s="106">
        <v>3104255</v>
      </c>
      <c r="D46" s="106">
        <v>2976035</v>
      </c>
      <c r="E46" s="106">
        <v>1707314</v>
      </c>
      <c r="F46" s="106">
        <v>3710273</v>
      </c>
      <c r="G46" s="19">
        <f t="shared" si="3"/>
        <v>-0.11647463785904714</v>
      </c>
      <c r="H46" s="77"/>
    </row>
    <row r="47" spans="1:8" s="7" customFormat="1">
      <c r="A47" s="97" t="s">
        <v>143</v>
      </c>
      <c r="B47" s="106">
        <v>-651159</v>
      </c>
      <c r="C47" s="106">
        <v>-53782</v>
      </c>
      <c r="D47" s="106">
        <v>-77236</v>
      </c>
      <c r="E47" s="106">
        <v>-456239</v>
      </c>
      <c r="F47" s="106">
        <v>-145851</v>
      </c>
      <c r="G47" s="19">
        <f t="shared" si="3"/>
        <v>-0.31205203408205789</v>
      </c>
      <c r="H47" s="77"/>
    </row>
    <row r="48" spans="1:8" s="7" customFormat="1">
      <c r="A48" s="94" t="s">
        <v>142</v>
      </c>
      <c r="B48" s="106">
        <v>-374677</v>
      </c>
      <c r="C48" s="106">
        <v>-402752</v>
      </c>
      <c r="D48" s="106">
        <v>-279148</v>
      </c>
      <c r="E48" s="106"/>
      <c r="F48" s="106">
        <v>-341124</v>
      </c>
      <c r="G48" s="19">
        <f t="shared" si="3"/>
        <v>-2.3181647998907515E-2</v>
      </c>
      <c r="H48" s="77"/>
    </row>
    <row r="49" spans="1:8" s="7" customFormat="1">
      <c r="A49" s="94" t="s">
        <v>114</v>
      </c>
      <c r="B49" s="106"/>
      <c r="C49" s="106"/>
      <c r="D49" s="106"/>
      <c r="E49" s="106"/>
      <c r="F49" s="106"/>
      <c r="G49" s="19"/>
      <c r="H49" s="77"/>
    </row>
    <row r="50" spans="1:8" s="7" customFormat="1">
      <c r="A50" s="94"/>
      <c r="B50" s="106"/>
      <c r="C50" s="106"/>
      <c r="D50" s="106"/>
      <c r="E50" s="106"/>
      <c r="F50" s="106"/>
      <c r="G50" s="23"/>
      <c r="H50" s="77"/>
    </row>
    <row r="51" spans="1:8" s="7" customFormat="1">
      <c r="A51" s="113" t="s">
        <v>119</v>
      </c>
      <c r="B51" s="110">
        <f>SUM(B42:B50)</f>
        <v>8130582</v>
      </c>
      <c r="C51" s="110">
        <f>SUM(C42:C50)</f>
        <v>542631</v>
      </c>
      <c r="D51" s="110">
        <f>SUM(D42:D50)</f>
        <v>3549356</v>
      </c>
      <c r="E51" s="110">
        <f>SUM(E42:E50)</f>
        <v>4150248</v>
      </c>
      <c r="F51" s="110">
        <f>SUM(F42:F50)</f>
        <v>4531818</v>
      </c>
      <c r="G51" s="19">
        <f>RATE(4,,-B51,F51)</f>
        <v>-0.13595232392322887</v>
      </c>
      <c r="H51" s="77"/>
    </row>
    <row r="52" spans="1:8" s="7" customFormat="1">
      <c r="A52" s="94"/>
      <c r="B52" s="106"/>
      <c r="C52" s="106"/>
      <c r="D52" s="106"/>
      <c r="E52" s="106"/>
      <c r="F52" s="106"/>
      <c r="G52" s="23"/>
      <c r="H52" s="77"/>
    </row>
    <row r="53" spans="1:8" s="7" customFormat="1">
      <c r="A53" s="113" t="s">
        <v>120</v>
      </c>
      <c r="B53" s="111">
        <f>B31+B40+B51</f>
        <v>509508</v>
      </c>
      <c r="C53" s="111">
        <f>C31+C40+C51</f>
        <v>1404846</v>
      </c>
      <c r="D53" s="111">
        <f>D31+D40+D51</f>
        <v>-1147488</v>
      </c>
      <c r="E53" s="111">
        <f>E31+E40+E51</f>
        <v>292869</v>
      </c>
      <c r="F53" s="111">
        <f>F31+F40+F51</f>
        <v>1271124</v>
      </c>
      <c r="G53" s="19">
        <f>RATE(4,,-B53,F53)</f>
        <v>0.25677990435640707</v>
      </c>
      <c r="H53" s="77"/>
    </row>
    <row r="54" spans="1:8" s="7" customFormat="1">
      <c r="A54" s="113"/>
      <c r="B54" s="106"/>
      <c r="C54" s="106"/>
      <c r="D54" s="106"/>
      <c r="E54" s="106"/>
      <c r="F54" s="106"/>
      <c r="G54" s="23"/>
      <c r="H54" s="77"/>
    </row>
    <row r="55" spans="1:8" s="7" customFormat="1">
      <c r="A55" s="113" t="s">
        <v>121</v>
      </c>
      <c r="B55" s="129">
        <v>382037</v>
      </c>
      <c r="C55" s="111">
        <f t="shared" ref="C55" si="4">B57</f>
        <v>891545</v>
      </c>
      <c r="D55" s="111">
        <f>C57</f>
        <v>2296391</v>
      </c>
      <c r="E55" s="111">
        <f>D57</f>
        <v>1148903</v>
      </c>
      <c r="F55" s="111">
        <f>E57</f>
        <v>1441772</v>
      </c>
      <c r="G55" s="19">
        <f>RATE(4,,-B55,F55)</f>
        <v>0.39379143128149363</v>
      </c>
      <c r="H55" s="77"/>
    </row>
    <row r="56" spans="1:8" s="7" customFormat="1">
      <c r="A56" s="113"/>
      <c r="B56" s="106"/>
      <c r="C56" s="106"/>
      <c r="D56" s="106"/>
      <c r="E56" s="106"/>
      <c r="F56" s="106"/>
      <c r="G56" s="23"/>
      <c r="H56" s="77"/>
    </row>
    <row r="57" spans="1:8" s="7" customFormat="1" ht="13.5" thickBot="1">
      <c r="A57" s="113" t="s">
        <v>122</v>
      </c>
      <c r="B57" s="111">
        <f t="shared" ref="B57:C57" si="5">B53+B55</f>
        <v>891545</v>
      </c>
      <c r="C57" s="111">
        <f t="shared" si="5"/>
        <v>2296391</v>
      </c>
      <c r="D57" s="111">
        <f>D53+D55</f>
        <v>1148903</v>
      </c>
      <c r="E57" s="111">
        <f>E53+E55</f>
        <v>1441772</v>
      </c>
      <c r="F57" s="111">
        <f t="shared" ref="F57" si="6">F53+F55</f>
        <v>2712896</v>
      </c>
      <c r="G57" s="19">
        <f>RATE(4,,-B57,F57)</f>
        <v>0.32075562540764946</v>
      </c>
      <c r="H57" s="77"/>
    </row>
    <row r="58" spans="1:8" s="7" customFormat="1" ht="13.5" thickTop="1">
      <c r="A58" s="98"/>
      <c r="B58" s="112">
        <f>+B57-'Financial Statements'!B12</f>
        <v>0</v>
      </c>
      <c r="C58" s="112">
        <f>+C57-'Financial Statements'!C12</f>
        <v>0</v>
      </c>
      <c r="D58" s="112">
        <f>+D57-'Financial Statements'!D12</f>
        <v>0</v>
      </c>
      <c r="E58" s="112">
        <f>+E57-'Financial Statements'!E12</f>
        <v>0</v>
      </c>
      <c r="F58" s="112">
        <f>+F57-'Financial Statements'!F12</f>
        <v>0</v>
      </c>
      <c r="G58" s="99"/>
      <c r="H58" s="77"/>
    </row>
    <row r="59" spans="1:8">
      <c r="A59" s="77"/>
      <c r="B59" s="78"/>
      <c r="C59" s="78"/>
      <c r="D59" s="78"/>
      <c r="E59" s="78"/>
      <c r="F59" s="78"/>
      <c r="G59" s="79"/>
      <c r="H59" s="78"/>
    </row>
    <row r="60" spans="1:8">
      <c r="A60" s="77"/>
      <c r="B60" s="78"/>
      <c r="C60" s="78"/>
      <c r="D60" s="78"/>
      <c r="E60" s="78"/>
      <c r="F60" s="78"/>
      <c r="G60" s="79"/>
      <c r="H60" s="78"/>
    </row>
    <row r="61" spans="1:8">
      <c r="A61" s="77"/>
      <c r="B61" s="78"/>
      <c r="C61" s="78"/>
      <c r="D61" s="78"/>
      <c r="E61" s="78"/>
      <c r="F61" s="78"/>
      <c r="G61" s="79"/>
      <c r="H61" s="78"/>
    </row>
    <row r="62" spans="1:8">
      <c r="A62" s="77"/>
      <c r="B62" s="78"/>
      <c r="C62" s="78"/>
      <c r="D62" s="78"/>
      <c r="E62" s="78"/>
      <c r="F62" s="78"/>
      <c r="G62" s="79"/>
      <c r="H62" s="78"/>
    </row>
  </sheetData>
  <printOptions horizontalCentered="1"/>
  <pageMargins left="0.5" right="0.5" top="1" bottom="1" header="0.3" footer="0.3"/>
  <pageSetup scale="78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Statements</vt:lpstr>
      <vt:lpstr>Cash Flow</vt:lpstr>
      <vt:lpstr>'Cash Flow'!Print_Area</vt:lpstr>
      <vt:lpstr>'Financial Statements'!Print_Area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Harris Wirz</dc:creator>
  <cp:lastModifiedBy>laurieharris</cp:lastModifiedBy>
  <cp:lastPrinted>2013-08-28T17:18:40Z</cp:lastPrinted>
  <dcterms:created xsi:type="dcterms:W3CDTF">2005-09-19T14:11:29Z</dcterms:created>
  <dcterms:modified xsi:type="dcterms:W3CDTF">2013-08-30T16:15:33Z</dcterms:modified>
</cp:coreProperties>
</file>