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75" windowWidth="18270" windowHeight="10410" activeTab="4"/>
  </bookViews>
  <sheets>
    <sheet name="Financials - DPU 1" sheetId="1" r:id="rId1"/>
    <sheet name="Net Revenue Calculations" sheetId="9" r:id="rId2"/>
    <sheet name="Assumptions - DPU 3" sheetId="2" r:id="rId3"/>
    <sheet name="Rates - DPU 2" sheetId="3" r:id="rId4"/>
    <sheet name="Revenue Estimates" sheetId="8" r:id="rId5"/>
    <sheet name="Genset Loads" sheetId="6" r:id="rId6"/>
    <sheet name="Demand and Fuel Use" sheetId="7" r:id="rId7"/>
  </sheets>
  <definedNames>
    <definedName name="_xlnm.Print_Area" localSheetId="2">'Assumptions - DPU 3'!$B$1:$J$32</definedName>
    <definedName name="_xlnm.Print_Area" localSheetId="6">'Demand and Fuel Use'!$A$1:$AY$23</definedName>
    <definedName name="_xlnm.Print_Area" localSheetId="0">'Financials - DPU 1'!$A$1:$P$139</definedName>
    <definedName name="_xlnm.Print_Area" localSheetId="5">'Genset Loads'!$A$1:$F$13</definedName>
    <definedName name="_xlnm.Print_Area" localSheetId="1">'Net Revenue Calculations'!$A$1:$O$27</definedName>
    <definedName name="_xlnm.Print_Area" localSheetId="3">'Rates - DPU 2'!$A$1:$J$49</definedName>
    <definedName name="_xlnm.Print_Area" localSheetId="4">'Revenue Estimates'!$A$1:$F$39</definedName>
    <definedName name="_xlnm.Print_Titles" localSheetId="0">'Financials - DPU 1'!$3:$3</definedName>
  </definedNames>
  <calcPr calcId="125725" iterate="1"/>
</workbook>
</file>

<file path=xl/calcChain.xml><?xml version="1.0" encoding="utf-8"?>
<calcChain xmlns="http://schemas.openxmlformats.org/spreadsheetml/2006/main">
  <c r="G20" i="2"/>
  <c r="L18" i="1"/>
  <c r="L35"/>
  <c r="J48" i="3"/>
  <c r="G23" i="2"/>
  <c r="H14"/>
  <c r="I14" s="1"/>
  <c r="I11" i="3"/>
  <c r="K135" i="1"/>
  <c r="J135"/>
  <c r="I135"/>
  <c r="H135"/>
  <c r="E135"/>
  <c r="K131"/>
  <c r="J131"/>
  <c r="I131"/>
  <c r="H131"/>
  <c r="E131"/>
  <c r="O124"/>
  <c r="N124"/>
  <c r="M124"/>
  <c r="L124"/>
  <c r="K124"/>
  <c r="J124"/>
  <c r="I124"/>
  <c r="H124"/>
  <c r="E124"/>
  <c r="J132"/>
  <c r="I132"/>
  <c r="G132"/>
  <c r="F132"/>
  <c r="G125"/>
  <c r="O132"/>
  <c r="N132"/>
  <c r="M132"/>
  <c r="L132"/>
  <c r="K24" i="9"/>
  <c r="J24"/>
  <c r="I24"/>
  <c r="G24"/>
  <c r="F24"/>
  <c r="O23"/>
  <c r="N23"/>
  <c r="M23"/>
  <c r="L23"/>
  <c r="J23"/>
  <c r="I23"/>
  <c r="G23"/>
  <c r="F23"/>
  <c r="J42" i="3"/>
  <c r="I42"/>
  <c r="J37"/>
  <c r="I37"/>
  <c r="J30"/>
  <c r="I30"/>
  <c r="J5"/>
  <c r="J49" s="1"/>
  <c r="I48"/>
  <c r="I49" s="1"/>
  <c r="G26" i="2" l="1"/>
  <c r="H26" s="1"/>
  <c r="I26" s="1"/>
  <c r="H23"/>
  <c r="I23" s="1"/>
  <c r="H20"/>
  <c r="I20" s="1"/>
  <c r="F25" i="9"/>
  <c r="G25"/>
  <c r="H48" i="1"/>
  <c r="H54"/>
  <c r="E13" i="8" l="1"/>
  <c r="E11"/>
  <c r="E12"/>
  <c r="D11"/>
  <c r="D13"/>
  <c r="F27" i="3"/>
  <c r="E27"/>
  <c r="F26"/>
  <c r="E26"/>
  <c r="F24"/>
  <c r="E24"/>
  <c r="F23"/>
  <c r="E23"/>
  <c r="F21"/>
  <c r="E21"/>
  <c r="F20"/>
  <c r="E20"/>
  <c r="F18"/>
  <c r="E18"/>
  <c r="F17"/>
  <c r="E17"/>
  <c r="F15"/>
  <c r="E15"/>
  <c r="F14"/>
  <c r="E14"/>
  <c r="F12"/>
  <c r="E12"/>
  <c r="F11"/>
  <c r="E11"/>
  <c r="F9"/>
  <c r="E9"/>
  <c r="F8"/>
  <c r="E8"/>
  <c r="F6"/>
  <c r="E6"/>
  <c r="F5"/>
  <c r="E5"/>
  <c r="C11" i="8"/>
  <c r="C13"/>
  <c r="N110" i="1" l="1"/>
  <c r="N24" i="9" s="1"/>
  <c r="O110" i="1"/>
  <c r="O24" i="9" s="1"/>
  <c r="M110" i="1"/>
  <c r="M24" i="9" s="1"/>
  <c r="C9" i="8"/>
  <c r="D14"/>
  <c r="E14"/>
  <c r="C14"/>
  <c r="D5"/>
  <c r="E5"/>
  <c r="D6"/>
  <c r="E6"/>
  <c r="D7"/>
  <c r="E7"/>
  <c r="D8"/>
  <c r="E8"/>
  <c r="D9"/>
  <c r="E9"/>
  <c r="C8"/>
  <c r="C7"/>
  <c r="C6"/>
  <c r="C5"/>
  <c r="C4"/>
  <c r="D4"/>
  <c r="E4"/>
  <c r="E25" i="1"/>
  <c r="H25"/>
  <c r="K25"/>
  <c r="E26"/>
  <c r="H26"/>
  <c r="K26"/>
  <c r="E27"/>
  <c r="H27"/>
  <c r="K27"/>
  <c r="E28"/>
  <c r="H28"/>
  <c r="K28"/>
  <c r="B3" i="9" l="1"/>
  <c r="C17"/>
  <c r="D17"/>
  <c r="E17"/>
  <c r="F17"/>
  <c r="G17"/>
  <c r="H17"/>
  <c r="I17"/>
  <c r="J17"/>
  <c r="K17"/>
  <c r="L17"/>
  <c r="C13"/>
  <c r="D13"/>
  <c r="E13"/>
  <c r="F13"/>
  <c r="G13"/>
  <c r="H13"/>
  <c r="I13"/>
  <c r="J13"/>
  <c r="K13"/>
  <c r="L13"/>
  <c r="C9"/>
  <c r="D9"/>
  <c r="E9"/>
  <c r="F9"/>
  <c r="G9"/>
  <c r="H9"/>
  <c r="I9"/>
  <c r="J9"/>
  <c r="K9"/>
  <c r="L9"/>
  <c r="C4"/>
  <c r="F4"/>
  <c r="G4"/>
  <c r="I4"/>
  <c r="C5"/>
  <c r="F5"/>
  <c r="G5"/>
  <c r="I5"/>
  <c r="B18"/>
  <c r="B17"/>
  <c r="B14"/>
  <c r="B13"/>
  <c r="B10"/>
  <c r="B9"/>
  <c r="B6"/>
  <c r="B5"/>
  <c r="C2"/>
  <c r="D2"/>
  <c r="O2"/>
  <c r="L2"/>
  <c r="M2"/>
  <c r="N2"/>
  <c r="F2"/>
  <c r="G2"/>
  <c r="H2"/>
  <c r="I2"/>
  <c r="J2"/>
  <c r="K2"/>
  <c r="E2"/>
  <c r="B16"/>
  <c r="B12"/>
  <c r="B8"/>
  <c r="B4"/>
  <c r="D3" i="8"/>
  <c r="E3"/>
  <c r="F84" i="1"/>
  <c r="G84"/>
  <c r="I84"/>
  <c r="J84"/>
  <c r="L84"/>
  <c r="M84"/>
  <c r="N84"/>
  <c r="O84"/>
  <c r="C3" i="8"/>
  <c r="C15" s="1"/>
  <c r="D29"/>
  <c r="E29"/>
  <c r="C29"/>
  <c r="D28"/>
  <c r="E28"/>
  <c r="C28"/>
  <c r="D24"/>
  <c r="E24"/>
  <c r="D25"/>
  <c r="E25"/>
  <c r="C25"/>
  <c r="C24"/>
  <c r="D20"/>
  <c r="E20"/>
  <c r="C20"/>
  <c r="D12"/>
  <c r="C12"/>
  <c r="F89" i="1"/>
  <c r="G89"/>
  <c r="I89"/>
  <c r="J89"/>
  <c r="L89"/>
  <c r="M89"/>
  <c r="N89"/>
  <c r="O89"/>
  <c r="M99"/>
  <c r="N99"/>
  <c r="O99"/>
  <c r="N80"/>
  <c r="O80"/>
  <c r="N74"/>
  <c r="N6" i="9" s="1"/>
  <c r="O74" i="1"/>
  <c r="O6" i="9" s="1"/>
  <c r="N67" i="1"/>
  <c r="O67"/>
  <c r="N57"/>
  <c r="O57"/>
  <c r="N47"/>
  <c r="O47"/>
  <c r="N38"/>
  <c r="O38"/>
  <c r="E18" i="8"/>
  <c r="D18"/>
  <c r="E10"/>
  <c r="D10"/>
  <c r="M113" i="1"/>
  <c r="M114" s="1"/>
  <c r="M133" s="1"/>
  <c r="N113"/>
  <c r="N114" s="1"/>
  <c r="N133" s="1"/>
  <c r="O113"/>
  <c r="O114" s="1"/>
  <c r="O133" s="1"/>
  <c r="L113"/>
  <c r="L114" s="1"/>
  <c r="L133" s="1"/>
  <c r="M80"/>
  <c r="M74"/>
  <c r="M6" i="9" s="1"/>
  <c r="M67" i="1"/>
  <c r="M62"/>
  <c r="N62"/>
  <c r="O62"/>
  <c r="M57"/>
  <c r="M47"/>
  <c r="M38"/>
  <c r="C18" i="8"/>
  <c r="C10"/>
  <c r="N10" i="9" l="1"/>
  <c r="N127" i="1"/>
  <c r="O14" i="9"/>
  <c r="O128" i="1"/>
  <c r="M14" i="9"/>
  <c r="M128" i="1"/>
  <c r="J14" i="9"/>
  <c r="J128" i="1"/>
  <c r="G14" i="9"/>
  <c r="G15" s="1"/>
  <c r="G128" i="1"/>
  <c r="O18" i="9"/>
  <c r="O129" i="1"/>
  <c r="M18" i="9"/>
  <c r="M129" i="1"/>
  <c r="J18" i="9"/>
  <c r="J129" i="1"/>
  <c r="G18" i="9"/>
  <c r="G19" s="1"/>
  <c r="G129" i="1"/>
  <c r="O130"/>
  <c r="M130"/>
  <c r="N130"/>
  <c r="O10" i="9"/>
  <c r="O127" i="1"/>
  <c r="M10" i="9"/>
  <c r="M127" i="1"/>
  <c r="N14" i="9"/>
  <c r="N128" i="1"/>
  <c r="L14" i="9"/>
  <c r="L15" s="1"/>
  <c r="L128" i="1"/>
  <c r="I14" i="9"/>
  <c r="I15" s="1"/>
  <c r="I128" i="1"/>
  <c r="F14" i="9"/>
  <c r="F15" s="1"/>
  <c r="F128" i="1"/>
  <c r="N18" i="9"/>
  <c r="N129" i="1"/>
  <c r="L18" i="9"/>
  <c r="L19" s="1"/>
  <c r="L129" i="1"/>
  <c r="I18" i="9"/>
  <c r="I19" s="1"/>
  <c r="I129" i="1"/>
  <c r="F18" i="9"/>
  <c r="F19" s="1"/>
  <c r="F129" i="1"/>
  <c r="E15" i="8"/>
  <c r="E16" s="1"/>
  <c r="D15"/>
  <c r="D16" s="1"/>
  <c r="J15" i="9"/>
  <c r="J19"/>
  <c r="C16" i="8"/>
  <c r="D22"/>
  <c r="N9" i="1" s="1"/>
  <c r="N9" i="9" s="1"/>
  <c r="N11" s="1"/>
  <c r="E22" i="8"/>
  <c r="O9" i="1" s="1"/>
  <c r="O9" i="9" s="1"/>
  <c r="D30" i="8"/>
  <c r="N11" i="1" s="1"/>
  <c r="N17" i="9" s="1"/>
  <c r="C26" i="8"/>
  <c r="M10" i="1" s="1"/>
  <c r="M13" i="9" s="1"/>
  <c r="M15" s="1"/>
  <c r="D26" i="8"/>
  <c r="N10" i="1" s="1"/>
  <c r="N13" i="9" s="1"/>
  <c r="C22" i="8"/>
  <c r="M9" i="1" s="1"/>
  <c r="M9" i="9" s="1"/>
  <c r="E30" i="8"/>
  <c r="O11" i="1" s="1"/>
  <c r="O17" i="9" s="1"/>
  <c r="E26" i="8"/>
  <c r="O10" i="1" s="1"/>
  <c r="O13" i="9" s="1"/>
  <c r="O15" s="1"/>
  <c r="C30" i="8"/>
  <c r="M11" i="1" s="1"/>
  <c r="M17" i="9" s="1"/>
  <c r="R6" i="7"/>
  <c r="S6" s="1"/>
  <c r="N6"/>
  <c r="O6" s="1"/>
  <c r="M11" i="9" l="1"/>
  <c r="O11"/>
  <c r="N15"/>
  <c r="M19"/>
  <c r="O19"/>
  <c r="N19"/>
  <c r="M18" i="1"/>
  <c r="O18"/>
  <c r="O4" i="9" s="1"/>
  <c r="O21" s="1"/>
  <c r="N18" i="1"/>
  <c r="N4" i="9" s="1"/>
  <c r="N21" s="1"/>
  <c r="N12" i="1"/>
  <c r="O12"/>
  <c r="M12"/>
  <c r="D31" i="8"/>
  <c r="C31"/>
  <c r="E31"/>
  <c r="AV5" i="7"/>
  <c r="AW7" s="1"/>
  <c r="AR5"/>
  <c r="AS7" s="1"/>
  <c r="AN5"/>
  <c r="AO9" s="1"/>
  <c r="AJ5"/>
  <c r="AK9" s="1"/>
  <c r="AF5"/>
  <c r="AG9" s="1"/>
  <c r="AB5"/>
  <c r="AC7" s="1"/>
  <c r="X5"/>
  <c r="Y9" s="1"/>
  <c r="T5"/>
  <c r="U9" s="1"/>
  <c r="P5"/>
  <c r="Q9" s="1"/>
  <c r="L5"/>
  <c r="M9" s="1"/>
  <c r="H5"/>
  <c r="I9" s="1"/>
  <c r="D5"/>
  <c r="E9" s="1"/>
  <c r="O125" i="1" l="1"/>
  <c r="M125"/>
  <c r="N125"/>
  <c r="M4" i="9"/>
  <c r="M21" s="1"/>
  <c r="M21" i="1"/>
  <c r="M22" s="1"/>
  <c r="N21"/>
  <c r="N22" s="1"/>
  <c r="O21"/>
  <c r="O22" s="1"/>
  <c r="U6" i="7"/>
  <c r="AS6"/>
  <c r="AT6" s="1"/>
  <c r="AC6"/>
  <c r="AW6"/>
  <c r="AG6"/>
  <c r="AH6" s="1"/>
  <c r="E6"/>
  <c r="AK6"/>
  <c r="AL6" s="1"/>
  <c r="I6"/>
  <c r="J6" s="1"/>
  <c r="K6" s="1"/>
  <c r="F9"/>
  <c r="G9" s="1"/>
  <c r="AG7"/>
  <c r="AH7" s="1"/>
  <c r="AI7" s="1"/>
  <c r="Y6"/>
  <c r="AO6"/>
  <c r="AH9"/>
  <c r="AI9" s="1"/>
  <c r="J9"/>
  <c r="K9" s="1"/>
  <c r="Z9"/>
  <c r="AA9" s="1"/>
  <c r="AP9"/>
  <c r="AQ9" s="1"/>
  <c r="R9"/>
  <c r="S9" s="1"/>
  <c r="AX7"/>
  <c r="AY7" s="1"/>
  <c r="N9"/>
  <c r="O9" s="1"/>
  <c r="AD7"/>
  <c r="AE7" s="1"/>
  <c r="AT7"/>
  <c r="AU7" s="1"/>
  <c r="V9"/>
  <c r="W9" s="1"/>
  <c r="AL9"/>
  <c r="AM9" s="1"/>
  <c r="Z6"/>
  <c r="M7"/>
  <c r="M8"/>
  <c r="AS8"/>
  <c r="AS9"/>
  <c r="Q7"/>
  <c r="Q8"/>
  <c r="AW8"/>
  <c r="AW9"/>
  <c r="E7"/>
  <c r="U7"/>
  <c r="AK7"/>
  <c r="E8"/>
  <c r="U8"/>
  <c r="AK8"/>
  <c r="AC8"/>
  <c r="AC9"/>
  <c r="AG8"/>
  <c r="I7"/>
  <c r="Y7"/>
  <c r="AO7"/>
  <c r="I8"/>
  <c r="Y8"/>
  <c r="AO8"/>
  <c r="E14" i="2"/>
  <c r="D14"/>
  <c r="C84" i="1"/>
  <c r="C18" i="9" s="1"/>
  <c r="C19" s="1"/>
  <c r="D84" i="1"/>
  <c r="D18" i="9" s="1"/>
  <c r="D19" s="1"/>
  <c r="D108" i="1"/>
  <c r="D114" s="1"/>
  <c r="C108"/>
  <c r="C114" s="1"/>
  <c r="G108"/>
  <c r="G114" s="1"/>
  <c r="G133" s="1"/>
  <c r="F108"/>
  <c r="K83"/>
  <c r="H83"/>
  <c r="E83"/>
  <c r="H98"/>
  <c r="D89"/>
  <c r="D14" i="9" s="1"/>
  <c r="D15" s="1"/>
  <c r="C89" i="1"/>
  <c r="C14" i="9" s="1"/>
  <c r="C15" s="1"/>
  <c r="K20" i="1"/>
  <c r="K19"/>
  <c r="K24"/>
  <c r="K46"/>
  <c r="K45"/>
  <c r="K44"/>
  <c r="K43"/>
  <c r="K42"/>
  <c r="K41"/>
  <c r="K40"/>
  <c r="K39"/>
  <c r="K48"/>
  <c r="I47"/>
  <c r="K56"/>
  <c r="K55"/>
  <c r="K54"/>
  <c r="K53"/>
  <c r="K52"/>
  <c r="K51"/>
  <c r="K50"/>
  <c r="H53"/>
  <c r="K62"/>
  <c r="K61"/>
  <c r="K60"/>
  <c r="K59"/>
  <c r="K66"/>
  <c r="K65"/>
  <c r="K64"/>
  <c r="K73"/>
  <c r="K72"/>
  <c r="K71"/>
  <c r="K70"/>
  <c r="K68"/>
  <c r="K82"/>
  <c r="K80"/>
  <c r="K79"/>
  <c r="K77"/>
  <c r="K76"/>
  <c r="K75"/>
  <c r="K88"/>
  <c r="K87"/>
  <c r="K86"/>
  <c r="K100"/>
  <c r="K98"/>
  <c r="K97"/>
  <c r="K96"/>
  <c r="K95"/>
  <c r="K94"/>
  <c r="K93"/>
  <c r="K92"/>
  <c r="K91"/>
  <c r="J108"/>
  <c r="J114" s="1"/>
  <c r="J133" s="1"/>
  <c r="K108"/>
  <c r="I113"/>
  <c r="K113" s="1"/>
  <c r="I108"/>
  <c r="C99"/>
  <c r="D99"/>
  <c r="F99"/>
  <c r="F127" s="1"/>
  <c r="G99"/>
  <c r="G127" s="1"/>
  <c r="I99"/>
  <c r="I127" s="1"/>
  <c r="J99"/>
  <c r="J127" s="1"/>
  <c r="I74"/>
  <c r="J74"/>
  <c r="J6" i="9" s="1"/>
  <c r="I67" i="1"/>
  <c r="J67"/>
  <c r="E62"/>
  <c r="H62"/>
  <c r="I57"/>
  <c r="J57"/>
  <c r="F57"/>
  <c r="G57"/>
  <c r="F47"/>
  <c r="G47"/>
  <c r="J47"/>
  <c r="F38"/>
  <c r="G38"/>
  <c r="I38"/>
  <c r="J38"/>
  <c r="K38"/>
  <c r="J35"/>
  <c r="H35"/>
  <c r="J18"/>
  <c r="J125" s="1"/>
  <c r="H18"/>
  <c r="H4" i="9" s="1"/>
  <c r="H21" s="1"/>
  <c r="H113" i="1"/>
  <c r="H112"/>
  <c r="H110"/>
  <c r="H24" i="9" s="1"/>
  <c r="H107" i="1"/>
  <c r="H106"/>
  <c r="H105"/>
  <c r="H103"/>
  <c r="H100"/>
  <c r="H97"/>
  <c r="H96"/>
  <c r="H95"/>
  <c r="H94"/>
  <c r="H93"/>
  <c r="H92"/>
  <c r="H91"/>
  <c r="H88"/>
  <c r="H87"/>
  <c r="H86"/>
  <c r="H82"/>
  <c r="H80"/>
  <c r="H79"/>
  <c r="H77"/>
  <c r="H76"/>
  <c r="H75"/>
  <c r="H73"/>
  <c r="H72"/>
  <c r="H71"/>
  <c r="H70"/>
  <c r="H68"/>
  <c r="H67"/>
  <c r="H66"/>
  <c r="H65"/>
  <c r="H64"/>
  <c r="H61"/>
  <c r="H60"/>
  <c r="H59"/>
  <c r="H56"/>
  <c r="H55"/>
  <c r="H52"/>
  <c r="H51"/>
  <c r="H50"/>
  <c r="H46"/>
  <c r="H45"/>
  <c r="H44"/>
  <c r="H43"/>
  <c r="H42"/>
  <c r="H41"/>
  <c r="H40"/>
  <c r="H39"/>
  <c r="H37"/>
  <c r="H38" s="1"/>
  <c r="H24"/>
  <c r="H23"/>
  <c r="H19"/>
  <c r="H8"/>
  <c r="H6"/>
  <c r="H138" s="1"/>
  <c r="G74"/>
  <c r="G20"/>
  <c r="H20" s="1"/>
  <c r="E6"/>
  <c r="E8"/>
  <c r="E19"/>
  <c r="E138" s="1"/>
  <c r="E20"/>
  <c r="E23"/>
  <c r="E24"/>
  <c r="E37"/>
  <c r="E38" s="1"/>
  <c r="E39"/>
  <c r="E40"/>
  <c r="E41"/>
  <c r="E42"/>
  <c r="E43"/>
  <c r="E44"/>
  <c r="E45"/>
  <c r="E46"/>
  <c r="E50"/>
  <c r="E51"/>
  <c r="E52"/>
  <c r="E53"/>
  <c r="E56"/>
  <c r="E59"/>
  <c r="E60"/>
  <c r="E61"/>
  <c r="E64"/>
  <c r="E65"/>
  <c r="E66"/>
  <c r="E67"/>
  <c r="E68"/>
  <c r="E70"/>
  <c r="E71"/>
  <c r="E72"/>
  <c r="E73"/>
  <c r="E75"/>
  <c r="E76"/>
  <c r="E77"/>
  <c r="E79"/>
  <c r="E80"/>
  <c r="E82"/>
  <c r="E86"/>
  <c r="E87"/>
  <c r="E88"/>
  <c r="E91"/>
  <c r="E92"/>
  <c r="E93"/>
  <c r="E94"/>
  <c r="E95"/>
  <c r="E96"/>
  <c r="E97"/>
  <c r="E98"/>
  <c r="E100"/>
  <c r="E103"/>
  <c r="E105"/>
  <c r="E106"/>
  <c r="E107"/>
  <c r="E110"/>
  <c r="E24" i="9" s="1"/>
  <c r="E112" i="1"/>
  <c r="E113"/>
  <c r="D55"/>
  <c r="D57" s="1"/>
  <c r="C57"/>
  <c r="C38"/>
  <c r="D38"/>
  <c r="D35"/>
  <c r="C74"/>
  <c r="C6" i="9" s="1"/>
  <c r="C7" s="1"/>
  <c r="D74" i="1"/>
  <c r="D6" i="9" s="1"/>
  <c r="F74" i="1"/>
  <c r="C47"/>
  <c r="D47"/>
  <c r="C12"/>
  <c r="E12" s="1"/>
  <c r="F12"/>
  <c r="I12"/>
  <c r="L12"/>
  <c r="D18"/>
  <c r="L99"/>
  <c r="L127" s="1"/>
  <c r="L80"/>
  <c r="L74"/>
  <c r="L6" i="9" s="1"/>
  <c r="L67" i="1"/>
  <c r="L62"/>
  <c r="L57"/>
  <c r="L47"/>
  <c r="L38"/>
  <c r="L125" l="1"/>
  <c r="I130"/>
  <c r="F130"/>
  <c r="H12"/>
  <c r="H125" s="1"/>
  <c r="F125"/>
  <c r="F6" i="9"/>
  <c r="F7" s="1"/>
  <c r="F126" i="1"/>
  <c r="K12"/>
  <c r="I125"/>
  <c r="E132"/>
  <c r="E23" i="9"/>
  <c r="I6"/>
  <c r="I7" s="1"/>
  <c r="I126" i="1"/>
  <c r="L130"/>
  <c r="J126"/>
  <c r="J130"/>
  <c r="G130"/>
  <c r="L5" i="9"/>
  <c r="L126" i="1"/>
  <c r="G6" i="9"/>
  <c r="G7" s="1"/>
  <c r="G126" i="1"/>
  <c r="G135" s="1"/>
  <c r="H23" i="9"/>
  <c r="H132" i="1"/>
  <c r="H5" i="9"/>
  <c r="K132" i="1"/>
  <c r="K23" i="9"/>
  <c r="AX6" i="7"/>
  <c r="AY6" s="1"/>
  <c r="V6"/>
  <c r="W6" s="1"/>
  <c r="AD6"/>
  <c r="E84" i="1"/>
  <c r="I10" i="9"/>
  <c r="I11" s="1"/>
  <c r="I101" i="1"/>
  <c r="C10" i="9"/>
  <c r="C11" s="1"/>
  <c r="C101" i="1"/>
  <c r="G10" i="9"/>
  <c r="G11" s="1"/>
  <c r="G101" i="1"/>
  <c r="L101"/>
  <c r="F10" i="9"/>
  <c r="F11" s="1"/>
  <c r="F101" i="1"/>
  <c r="J10" i="9"/>
  <c r="J11" s="1"/>
  <c r="J101" i="1"/>
  <c r="D10" i="9"/>
  <c r="D11" s="1"/>
  <c r="D101" i="1"/>
  <c r="K84"/>
  <c r="K89"/>
  <c r="L10" i="9"/>
  <c r="L11" s="1"/>
  <c r="D21" i="1"/>
  <c r="D22" s="1"/>
  <c r="D4" i="9"/>
  <c r="H89" i="1"/>
  <c r="G21"/>
  <c r="G22" s="1"/>
  <c r="E89"/>
  <c r="L21"/>
  <c r="L22" s="1"/>
  <c r="L4" i="9"/>
  <c r="E35" i="1"/>
  <c r="D5" i="9"/>
  <c r="K35" i="1"/>
  <c r="J5" i="9"/>
  <c r="F6" i="7"/>
  <c r="G6" s="1"/>
  <c r="H84" i="1"/>
  <c r="J21"/>
  <c r="J22" s="1"/>
  <c r="J4" i="9"/>
  <c r="C15" i="7"/>
  <c r="F8"/>
  <c r="G8" s="1"/>
  <c r="AP6"/>
  <c r="AQ6" s="1"/>
  <c r="F7"/>
  <c r="G7" s="1"/>
  <c r="Z8"/>
  <c r="AA8" s="1"/>
  <c r="V7"/>
  <c r="W7" s="1"/>
  <c r="AP7"/>
  <c r="AQ7" s="1"/>
  <c r="C18"/>
  <c r="AD9"/>
  <c r="AE9" s="1"/>
  <c r="AX9"/>
  <c r="AY9" s="1"/>
  <c r="AT9"/>
  <c r="AU9" s="1"/>
  <c r="AM6"/>
  <c r="AE6"/>
  <c r="AL8"/>
  <c r="AM8" s="1"/>
  <c r="R8"/>
  <c r="S8" s="1"/>
  <c r="AI6"/>
  <c r="AP8"/>
  <c r="AQ8" s="1"/>
  <c r="Z7"/>
  <c r="AA7" s="1"/>
  <c r="AD8"/>
  <c r="AE8" s="1"/>
  <c r="AL7"/>
  <c r="AM7" s="1"/>
  <c r="AX8"/>
  <c r="AY8" s="1"/>
  <c r="AT8"/>
  <c r="AU8" s="1"/>
  <c r="J7"/>
  <c r="K7" s="1"/>
  <c r="N8"/>
  <c r="O8" s="1"/>
  <c r="AU6"/>
  <c r="J8"/>
  <c r="K8" s="1"/>
  <c r="AH8"/>
  <c r="AI8" s="1"/>
  <c r="V8"/>
  <c r="W8" s="1"/>
  <c r="R7"/>
  <c r="S7" s="1"/>
  <c r="N7"/>
  <c r="O7" s="1"/>
  <c r="AA6"/>
  <c r="C16"/>
  <c r="C17"/>
  <c r="E114" i="1"/>
  <c r="E133" s="1"/>
  <c r="E108"/>
  <c r="H108"/>
  <c r="I114"/>
  <c r="C21"/>
  <c r="C22" s="1"/>
  <c r="K74"/>
  <c r="K6" i="9" s="1"/>
  <c r="E57" i="1"/>
  <c r="H57"/>
  <c r="H99"/>
  <c r="H127" s="1"/>
  <c r="K57"/>
  <c r="F114"/>
  <c r="H74"/>
  <c r="H6" i="9" s="1"/>
  <c r="H7" s="1"/>
  <c r="E55" i="1"/>
  <c r="E47"/>
  <c r="E130" s="1"/>
  <c r="I21"/>
  <c r="I22" s="1"/>
  <c r="H47"/>
  <c r="H130" s="1"/>
  <c r="K67"/>
  <c r="K47"/>
  <c r="K130" s="1"/>
  <c r="K18"/>
  <c r="E99"/>
  <c r="E127" s="1"/>
  <c r="H21"/>
  <c r="H22" s="1"/>
  <c r="K99"/>
  <c r="K127" s="1"/>
  <c r="E74"/>
  <c r="E6" i="9" s="1"/>
  <c r="E18" i="1"/>
  <c r="E4" i="9" s="1"/>
  <c r="E21" s="1"/>
  <c r="F21" i="1"/>
  <c r="F22" s="1"/>
  <c r="L131" l="1"/>
  <c r="L139" s="1"/>
  <c r="I22" i="9"/>
  <c r="I25" s="1"/>
  <c r="K5"/>
  <c r="K126" i="1"/>
  <c r="E5" i="9"/>
  <c r="E7" s="1"/>
  <c r="E126" i="1"/>
  <c r="H114"/>
  <c r="H133" s="1"/>
  <c r="F133"/>
  <c r="H18" i="9"/>
  <c r="H19" s="1"/>
  <c r="H129" i="1"/>
  <c r="E14" i="9"/>
  <c r="E15" s="1"/>
  <c r="E128" i="1"/>
  <c r="H14" i="9"/>
  <c r="H15" s="1"/>
  <c r="H128" i="1"/>
  <c r="K14" i="9"/>
  <c r="K15" s="1"/>
  <c r="K128" i="1"/>
  <c r="K125"/>
  <c r="K114"/>
  <c r="K138" s="1"/>
  <c r="I133"/>
  <c r="K18" i="9"/>
  <c r="K19" s="1"/>
  <c r="K129" i="1"/>
  <c r="E18" i="9"/>
  <c r="E19" s="1"/>
  <c r="E129" i="1"/>
  <c r="H126"/>
  <c r="E125"/>
  <c r="F135"/>
  <c r="L7" i="9"/>
  <c r="L22" s="1"/>
  <c r="L25" s="1"/>
  <c r="L21"/>
  <c r="F10" i="7"/>
  <c r="F11" s="1"/>
  <c r="H10" i="9"/>
  <c r="H11" s="1"/>
  <c r="H101" i="1"/>
  <c r="H102" s="1"/>
  <c r="K10" i="9"/>
  <c r="K11" s="1"/>
  <c r="K101" i="1"/>
  <c r="E10" i="9"/>
  <c r="E11" s="1"/>
  <c r="E101" i="1"/>
  <c r="L102"/>
  <c r="J7" i="9"/>
  <c r="J22" s="1"/>
  <c r="J25" s="1"/>
  <c r="D102" i="1"/>
  <c r="D115" s="1"/>
  <c r="G102"/>
  <c r="D7" i="9"/>
  <c r="K21" i="1"/>
  <c r="K4" i="9"/>
  <c r="G10" i="7"/>
  <c r="N10"/>
  <c r="N11" s="1"/>
  <c r="AT10"/>
  <c r="AT11" s="1"/>
  <c r="O10"/>
  <c r="AI10"/>
  <c r="AM10"/>
  <c r="K10"/>
  <c r="W10"/>
  <c r="S10"/>
  <c r="J10"/>
  <c r="J11" s="1"/>
  <c r="R10"/>
  <c r="R11" s="1"/>
  <c r="AA10"/>
  <c r="AQ10"/>
  <c r="AE10"/>
  <c r="AY10"/>
  <c r="AH10"/>
  <c r="AH11" s="1"/>
  <c r="V10"/>
  <c r="V11" s="1"/>
  <c r="AL10"/>
  <c r="AL11" s="1"/>
  <c r="Z10"/>
  <c r="Z11" s="1"/>
  <c r="AP10"/>
  <c r="AP11" s="1"/>
  <c r="AD10"/>
  <c r="AD11" s="1"/>
  <c r="AX10"/>
  <c r="AX11" s="1"/>
  <c r="AU10"/>
  <c r="C102" i="1"/>
  <c r="C115" s="1"/>
  <c r="E21"/>
  <c r="E22" s="1"/>
  <c r="F102"/>
  <c r="L135" l="1"/>
  <c r="H22" i="9"/>
  <c r="H25" s="1"/>
  <c r="L115" i="1"/>
  <c r="E22" i="9"/>
  <c r="E25" s="1"/>
  <c r="K7"/>
  <c r="K22" s="1"/>
  <c r="K25" s="1"/>
  <c r="K21"/>
  <c r="E102" i="1"/>
  <c r="K22"/>
  <c r="K102"/>
  <c r="G115"/>
  <c r="I102"/>
  <c r="E115"/>
  <c r="E136" s="1"/>
  <c r="C22" i="7"/>
  <c r="C23"/>
  <c r="F115" i="1"/>
  <c r="K115" l="1"/>
  <c r="K136"/>
  <c r="H115"/>
  <c r="H136" s="1"/>
  <c r="J102"/>
  <c r="I115"/>
  <c r="H5" i="2"/>
  <c r="N30" i="1" s="1"/>
  <c r="N35" s="1"/>
  <c r="I5" i="2"/>
  <c r="G5"/>
  <c r="M30" i="1" s="1"/>
  <c r="M35" s="1"/>
  <c r="J115" l="1"/>
  <c r="M101"/>
  <c r="M102" s="1"/>
  <c r="M115" s="1"/>
  <c r="M126"/>
  <c r="M131" s="1"/>
  <c r="N101"/>
  <c r="N102" s="1"/>
  <c r="N126"/>
  <c r="N131" s="1"/>
  <c r="M5" i="9"/>
  <c r="M7" s="1"/>
  <c r="N5"/>
  <c r="N7" s="1"/>
  <c r="O30" i="1"/>
  <c r="O35" s="1"/>
  <c r="N139" l="1"/>
  <c r="N135"/>
  <c r="M139"/>
  <c r="M135"/>
  <c r="O101"/>
  <c r="O102" s="1"/>
  <c r="O126"/>
  <c r="O131" s="1"/>
  <c r="N22" i="9"/>
  <c r="N25" s="1"/>
  <c r="N27"/>
  <c r="M22"/>
  <c r="M25" s="1"/>
  <c r="M27"/>
  <c r="N115" i="1"/>
  <c r="O5" i="9"/>
  <c r="O7" s="1"/>
  <c r="O139" i="1" l="1"/>
  <c r="O135"/>
  <c r="O22" i="9"/>
  <c r="O25" s="1"/>
  <c r="O27"/>
  <c r="O115" i="1"/>
</calcChain>
</file>

<file path=xl/comments1.xml><?xml version="1.0" encoding="utf-8"?>
<comments xmlns="http://schemas.openxmlformats.org/spreadsheetml/2006/main">
  <authors>
    <author>Adam</author>
  </authors>
  <commentList>
    <comment ref="B112" authorId="0">
      <text>
        <r>
          <rPr>
            <b/>
            <sz val="9"/>
            <color indexed="81"/>
            <rFont val="Tahoma"/>
            <family val="2"/>
          </rPr>
          <t>Adam:</t>
        </r>
        <r>
          <rPr>
            <sz val="9"/>
            <color indexed="81"/>
            <rFont val="Tahoma"/>
            <family val="2"/>
          </rPr>
          <t xml:space="preserve">
see bond resolution email
!!!!!!!!!!
</t>
        </r>
      </text>
    </comment>
  </commentList>
</comments>
</file>

<file path=xl/comments2.xml><?xml version="1.0" encoding="utf-8"?>
<comments xmlns="http://schemas.openxmlformats.org/spreadsheetml/2006/main">
  <authors>
    <author>Adam</author>
  </authors>
  <commentList>
    <comment ref="B26" authorId="0">
      <text>
        <r>
          <rPr>
            <b/>
            <sz val="9"/>
            <color indexed="81"/>
            <rFont val="Tahoma"/>
            <family val="2"/>
          </rPr>
          <t>Adam:</t>
        </r>
        <r>
          <rPr>
            <sz val="9"/>
            <color indexed="81"/>
            <rFont val="Tahoma"/>
            <family val="2"/>
          </rPr>
          <t xml:space="preserve">
on schedule 10 - 11,870 per month
</t>
        </r>
      </text>
    </comment>
  </commentList>
</comments>
</file>

<file path=xl/sharedStrings.xml><?xml version="1.0" encoding="utf-8"?>
<sst xmlns="http://schemas.openxmlformats.org/spreadsheetml/2006/main" count="461" uniqueCount="301">
  <si>
    <t>Ordinary Income/Expense</t>
  </si>
  <si>
    <t>Income</t>
  </si>
  <si>
    <t>Capital Grants -</t>
  </si>
  <si>
    <t>Expense</t>
  </si>
  <si>
    <t>Generator Costs</t>
  </si>
  <si>
    <t>Insurance Expense</t>
  </si>
  <si>
    <t>Office Supplies</t>
  </si>
  <si>
    <t>Payroll Expenses</t>
  </si>
  <si>
    <t>Professional Fees</t>
  </si>
  <si>
    <t>Regulation Fees</t>
  </si>
  <si>
    <t>Travel Expense</t>
  </si>
  <si>
    <t>Wastewater</t>
  </si>
  <si>
    <t>Water</t>
  </si>
  <si>
    <t>Other Income/Expense</t>
  </si>
  <si>
    <t>Other Income</t>
  </si>
  <si>
    <t>Other Expense</t>
  </si>
  <si>
    <t xml:space="preserve">Base rate </t>
  </si>
  <si>
    <t xml:space="preserve">Electric usage </t>
  </si>
  <si>
    <t xml:space="preserve">Gross Profit </t>
  </si>
  <si>
    <t xml:space="preserve">Advertising and Promotion </t>
  </si>
  <si>
    <t xml:space="preserve">Automobile Expense </t>
  </si>
  <si>
    <t xml:space="preserve">Bank Service Charges </t>
  </si>
  <si>
    <t xml:space="preserve">Computer and Internet Expenses </t>
  </si>
  <si>
    <t xml:space="preserve">Fuel Delivery Charge </t>
  </si>
  <si>
    <t xml:space="preserve">Oil </t>
  </si>
  <si>
    <t xml:space="preserve">Repairs </t>
  </si>
  <si>
    <t xml:space="preserve">Total Generator Costs </t>
  </si>
  <si>
    <t xml:space="preserve">General Liability Insurance </t>
  </si>
  <si>
    <t xml:space="preserve">Total Insurance Expense </t>
  </si>
  <si>
    <t xml:space="preserve">Mtgs/Travel/CEU Expense </t>
  </si>
  <si>
    <t xml:space="preserve">Forms / Supplies </t>
  </si>
  <si>
    <t xml:space="preserve">Postage and Delivery </t>
  </si>
  <si>
    <t xml:space="preserve">Total Office Supplies </t>
  </si>
  <si>
    <t xml:space="preserve">Fees </t>
  </si>
  <si>
    <t xml:space="preserve">Reimbursements </t>
  </si>
  <si>
    <t xml:space="preserve">Taxes </t>
  </si>
  <si>
    <t xml:space="preserve">Wages </t>
  </si>
  <si>
    <t xml:space="preserve">Workmans Comp </t>
  </si>
  <si>
    <t xml:space="preserve">Total Payroll Expenses </t>
  </si>
  <si>
    <t xml:space="preserve">Accounting </t>
  </si>
  <si>
    <t xml:space="preserve">Audit Fees </t>
  </si>
  <si>
    <t xml:space="preserve">Legal </t>
  </si>
  <si>
    <t xml:space="preserve">Total Professional Fees </t>
  </si>
  <si>
    <t xml:space="preserve">Air Permits </t>
  </si>
  <si>
    <t xml:space="preserve">DEQ Emmissions </t>
  </si>
  <si>
    <t xml:space="preserve">Division of Public Utilities </t>
  </si>
  <si>
    <t xml:space="preserve">Total Regulation Fees </t>
  </si>
  <si>
    <t xml:space="preserve">Rent Expense </t>
  </si>
  <si>
    <t xml:space="preserve">Electrical Service </t>
  </si>
  <si>
    <t xml:space="preserve">Parts </t>
  </si>
  <si>
    <t xml:space="preserve">Repairs and Maintenance - Other </t>
  </si>
  <si>
    <t xml:space="preserve">Total Repairs and Maintenance </t>
  </si>
  <si>
    <t xml:space="preserve">Telephone Expense </t>
  </si>
  <si>
    <t xml:space="preserve">Training </t>
  </si>
  <si>
    <t xml:space="preserve">Maintenance </t>
  </si>
  <si>
    <t xml:space="preserve">Electric </t>
  </si>
  <si>
    <t xml:space="preserve">Labs </t>
  </si>
  <si>
    <t xml:space="preserve">Subscription/Dues </t>
  </si>
  <si>
    <t xml:space="preserve">Total Expense </t>
  </si>
  <si>
    <t xml:space="preserve">Net Ordinary Income </t>
  </si>
  <si>
    <t xml:space="preserve">Additions to Fund Balance </t>
  </si>
  <si>
    <t xml:space="preserve">Total Other Expense </t>
  </si>
  <si>
    <t xml:space="preserve">Net Other Income </t>
  </si>
  <si>
    <t>Interest Earned</t>
  </si>
  <si>
    <t>Fuel</t>
  </si>
  <si>
    <t>Net Income</t>
  </si>
  <si>
    <t>kWH per year</t>
  </si>
  <si>
    <t>residential electric active</t>
  </si>
  <si>
    <t>residential electric inactive</t>
  </si>
  <si>
    <t>Water Rates</t>
  </si>
  <si>
    <t>Residential</t>
  </si>
  <si>
    <t>/month</t>
  </si>
  <si>
    <t>/gallon</t>
  </si>
  <si>
    <t>Commercial</t>
  </si>
  <si>
    <t>/ERU/month</t>
  </si>
  <si>
    <t>Wastewater Rates</t>
  </si>
  <si>
    <t>Solid Waste Rates</t>
  </si>
  <si>
    <t>Electric Rates</t>
  </si>
  <si>
    <t>2010 TSSD</t>
  </si>
  <si>
    <t>2010 TEID</t>
  </si>
  <si>
    <t xml:space="preserve">Adjustments </t>
  </si>
  <si>
    <t>Combined</t>
  </si>
  <si>
    <t>Misc</t>
  </si>
  <si>
    <t>Depreciation</t>
  </si>
  <si>
    <t>2010 Combined</t>
  </si>
  <si>
    <t>2011 TEID</t>
  </si>
  <si>
    <t>2011 TSSD</t>
  </si>
  <si>
    <t>2011 Combined</t>
  </si>
  <si>
    <t>Trustee Compensation</t>
  </si>
  <si>
    <t>2012 TSSD</t>
  </si>
  <si>
    <t>2012 Combined</t>
  </si>
  <si>
    <t>2012 TEID</t>
  </si>
  <si>
    <t xml:space="preserve">Other </t>
  </si>
  <si>
    <t>2013 (budgeted)</t>
  </si>
  <si>
    <t>2014 (predicted)</t>
  </si>
  <si>
    <t>2015 (predicted)</t>
  </si>
  <si>
    <t>2016 (predicted)</t>
  </si>
  <si>
    <t>Annual Fuel Cost</t>
  </si>
  <si>
    <t>Proposed</t>
  </si>
  <si>
    <t>Load (kW)</t>
  </si>
  <si>
    <t>Demand</t>
  </si>
  <si>
    <t>High</t>
  </si>
  <si>
    <t>Medium</t>
  </si>
  <si>
    <t>Low</t>
  </si>
  <si>
    <t>Load</t>
  </si>
  <si>
    <t>Fuel Consumption (GPH)</t>
  </si>
  <si>
    <t>Jan</t>
  </si>
  <si>
    <t>Feb</t>
  </si>
  <si>
    <t>Mar</t>
  </si>
  <si>
    <t>Apr</t>
  </si>
  <si>
    <t>May</t>
  </si>
  <si>
    <t>Jun</t>
  </si>
  <si>
    <t>Jul</t>
  </si>
  <si>
    <t>Aug</t>
  </si>
  <si>
    <t>Sept</t>
  </si>
  <si>
    <t>Oct</t>
  </si>
  <si>
    <t>Nov</t>
  </si>
  <si>
    <t>Dec</t>
  </si>
  <si>
    <t>Total High</t>
  </si>
  <si>
    <t>Total Medium</t>
  </si>
  <si>
    <t>Total Low</t>
  </si>
  <si>
    <t>120-180</t>
  </si>
  <si>
    <t>Very High</t>
  </si>
  <si>
    <t>180+</t>
  </si>
  <si>
    <t>Interest Expense</t>
  </si>
  <si>
    <t>Meals and Entertainment</t>
  </si>
  <si>
    <t>Office Overhead</t>
  </si>
  <si>
    <t>Office Supplies - Other</t>
  </si>
  <si>
    <t>Payroll Expense - Other</t>
  </si>
  <si>
    <t>Meters / Testing</t>
  </si>
  <si>
    <t>Supplies</t>
  </si>
  <si>
    <t xml:space="preserve">Lodging </t>
  </si>
  <si>
    <t xml:space="preserve">Total Travel Expense </t>
  </si>
  <si>
    <t xml:space="preserve">Engineering </t>
  </si>
  <si>
    <t xml:space="preserve">Travel/Mtg/CEU </t>
  </si>
  <si>
    <t xml:space="preserve">Water - Other </t>
  </si>
  <si>
    <t xml:space="preserve">Interest Income </t>
  </si>
  <si>
    <t xml:space="preserve">Total Other Income </t>
  </si>
  <si>
    <t>120 kW Atlas Copco</t>
  </si>
  <si>
    <t>&lt;60</t>
  </si>
  <si>
    <t>60-120</t>
  </si>
  <si>
    <t>Gallons</t>
  </si>
  <si>
    <t>Cost</t>
  </si>
  <si>
    <t>50% x3</t>
  </si>
  <si>
    <t>50% x2</t>
  </si>
  <si>
    <t>50% x1</t>
  </si>
  <si>
    <t>25% x1</t>
  </si>
  <si>
    <t>Base Fee</t>
  </si>
  <si>
    <t>Use Fee</t>
  </si>
  <si>
    <t>per kWH</t>
  </si>
  <si>
    <t>Standby Fee</t>
  </si>
  <si>
    <t>Base Fee - Active (first 10,000 gallons/month)</t>
  </si>
  <si>
    <t>Use Fee (use over 10,000 gallons/month)</t>
  </si>
  <si>
    <t>Stand-By Fee</t>
  </si>
  <si>
    <t xml:space="preserve">Base Fee - Active </t>
  </si>
  <si>
    <t>Base Fee - Active</t>
  </si>
  <si>
    <t>Base Fee - Active (4 cu. yd. container)</t>
  </si>
  <si>
    <t>Base Fee - Active (2 cu. yd. container)</t>
  </si>
  <si>
    <t>Small Commercial (single phase)</t>
  </si>
  <si>
    <t>Electric</t>
  </si>
  <si>
    <t>Solid Waste</t>
  </si>
  <si>
    <t>Annual Revenue</t>
  </si>
  <si>
    <t>Total Revenue Prediction</t>
  </si>
  <si>
    <t>Standby Fees</t>
  </si>
  <si>
    <t>n/a</t>
  </si>
  <si>
    <t>Very High Load (180+ kW)</t>
  </si>
  <si>
    <t>High Load (120-180 kW)</t>
  </si>
  <si>
    <t>Medium Load (60-120 kW)</t>
  </si>
  <si>
    <t>Low Load (&lt;60 kW)</t>
  </si>
  <si>
    <t>Totals</t>
  </si>
  <si>
    <t>Hours Per Month</t>
  </si>
  <si>
    <t>2014 (projected)</t>
  </si>
  <si>
    <t>2015 (projected)</t>
  </si>
  <si>
    <t>2016 (projected)</t>
  </si>
  <si>
    <t>Cost per Gallon (annual average)</t>
  </si>
  <si>
    <t>Total Annual Hours at Each Demand Level</t>
  </si>
  <si>
    <t>2014 Demand and Fuel Use Projections</t>
  </si>
  <si>
    <t>Average GPH (Monthly)</t>
  </si>
  <si>
    <t>Estimated Total Gallons (proposed)</t>
  </si>
  <si>
    <t>Estimated Total Cost (proposed)</t>
  </si>
  <si>
    <t>Total Very High</t>
  </si>
  <si>
    <t>This sheet is used to enter the fuel use of the proposed generator(s) at varying loads.</t>
  </si>
  <si>
    <t>Rates adopted in 2013, presumed effective through 2014</t>
  </si>
  <si>
    <t>2015 predicted rates</t>
  </si>
  <si>
    <t>2016 predicted rates</t>
  </si>
  <si>
    <t>residential base revenue: active customers x base rate x 12</t>
  </si>
  <si>
    <t xml:space="preserve">residential overage fee revenue: </t>
  </si>
  <si>
    <t>commercial base revenue: active customers x base rate x 12</t>
  </si>
  <si>
    <t xml:space="preserve">commercial overage fee revenue: </t>
  </si>
  <si>
    <t>residential standby revenue: standby customers x standby fee x 12</t>
  </si>
  <si>
    <t>combined use fee revenue: kWH per month x kWH charge</t>
  </si>
  <si>
    <t>Operating Grants</t>
  </si>
  <si>
    <t>Net Electric Revenue</t>
  </si>
  <si>
    <t>Net Water Revenue</t>
  </si>
  <si>
    <t>Net Wastewater Revenue</t>
  </si>
  <si>
    <t>Net Solid Waste Revenue</t>
  </si>
  <si>
    <t>Total Electric Revenue</t>
  </si>
  <si>
    <t>Water Revenue</t>
  </si>
  <si>
    <t>Sewer Revenue</t>
  </si>
  <si>
    <t xml:space="preserve">Solid Waste Revenue </t>
  </si>
  <si>
    <t>Service Revenues (excl. electric)</t>
  </si>
  <si>
    <t>Electric Revenue</t>
  </si>
  <si>
    <t xml:space="preserve">Total Revenue </t>
  </si>
  <si>
    <t>Electric Repairs and Maint.</t>
  </si>
  <si>
    <t>Solid Waste Expense</t>
  </si>
  <si>
    <t>Total Solid Waste Expense</t>
  </si>
  <si>
    <t>Wastewater Expense</t>
  </si>
  <si>
    <t>Total Wastewater Expense</t>
  </si>
  <si>
    <t>Water Expense</t>
  </si>
  <si>
    <t>Total Water Expense</t>
  </si>
  <si>
    <t>Net revenue is calculated by taking the revenue for a given service (customer fees) and subtracting the costs directly related to that service</t>
  </si>
  <si>
    <t>commercial electric (small) inactive</t>
  </si>
  <si>
    <t>commercial electric (large) inactive</t>
  </si>
  <si>
    <t>Assume all electric is single phase.  Solid Waste Commercial is assumed to be a 2 yard container.  
Note that the effect of new unified billing rules (requiring owners of properties with utility taps to pay, at a minimum, standby fees for electric, water, and wastewater service) is shown in 2014, even though the actual implementation of the rule began in Sept. 2013.  The unified billing rule adds approximately 95 standby connections.  
If a customer elects to discontinue all utility service from the District, that customer is still obligated to pay standby fees unless the customer pays to have the utility taps/connections physically removed from the property.</t>
  </si>
  <si>
    <t>Debt Service</t>
  </si>
  <si>
    <t xml:space="preserve">Bad Debt Expense </t>
  </si>
  <si>
    <t>Cost to serve water system</t>
  </si>
  <si>
    <t xml:space="preserve">Note 2 - As explained in the notes to the "Assumptions" tab, the effect of unified billing is shown here beginning in 2014.  As the unified billing rules will obligate certain property owners to pay at least standby fees for water, sewer, and electric.  In an attempt to account for any failures to pay by new customers, the bad debt expense has been estimated very generously.  </t>
  </si>
  <si>
    <t>Note 4 - This is the power expense to the water system, as explained in Note 1.</t>
  </si>
  <si>
    <t>(Note 1)</t>
  </si>
  <si>
    <t>(Note 2)</t>
  </si>
  <si>
    <t>(Note 3)</t>
  </si>
  <si>
    <t>(Note 4)</t>
  </si>
  <si>
    <t>(Note 5)</t>
  </si>
  <si>
    <t>(Note 6)</t>
  </si>
  <si>
    <t>Note 6 - $8,000 of annual debt service on the sewer bonds related to the acquisition of TSSD; approximately $35,000 annual debt service on the CIB bonds.</t>
  </si>
  <si>
    <t>Residential
under 2400</t>
  </si>
  <si>
    <t>Residential
under 4800</t>
  </si>
  <si>
    <t>Residential
under 7200</t>
  </si>
  <si>
    <t>Residential
under 9600</t>
  </si>
  <si>
    <t>Residential
under 12000</t>
  </si>
  <si>
    <t>Use Fee (Jun - May only)</t>
  </si>
  <si>
    <t>residential electric active &lt;2400</t>
  </si>
  <si>
    <t>residential electric active &lt;4800</t>
  </si>
  <si>
    <t>residential electric active &lt;7200</t>
  </si>
  <si>
    <t>residential electric active &lt;9600</t>
  </si>
  <si>
    <t>-</t>
  </si>
  <si>
    <t>residential electric active &lt;12000</t>
  </si>
  <si>
    <t>residential base revenue &lt;2400: active customers x base rate x 12</t>
  </si>
  <si>
    <t>residential base revenue &lt;4800: active customers x base rate x 12</t>
  </si>
  <si>
    <t>residential base revenue &lt;7200: active customers x base rate x 12</t>
  </si>
  <si>
    <t>residential base revenue &lt;9600: active customers x base rate x 12</t>
  </si>
  <si>
    <t>residential base revenue &lt;12000: active customers x base rate x 12</t>
  </si>
  <si>
    <t>commercial standby revenue (small): standby customers x standby fee x 12</t>
  </si>
  <si>
    <t>commercial standby revenue (large): standby customers x standby fee x 12</t>
  </si>
  <si>
    <t>Large Commercial Ticaboo Resort</t>
  </si>
  <si>
    <t>Other</t>
  </si>
  <si>
    <t>commercial base revenue (large): Ticaboo Resort x $11,870 x 12</t>
  </si>
  <si>
    <t>commercial base revenue (small): church x $500.00 x 12</t>
  </si>
  <si>
    <t>Note 2: The unified billing rule is expected to add one small commercial customer.</t>
  </si>
  <si>
    <t>Note 1: The LDS church in Ticaboo is the lone small commercial customer of the District and pays $500.00 monthly for electric service.  Assumes a 10% rate reduction after 2014.</t>
  </si>
  <si>
    <t>Note 3: The large commercial customer is Ticaboo Resort, which pays a flat $11,870 per month for electric service.  The annual amount shown here is $11,870 * 12.    Assumes a 10% rate reduction after 2014.</t>
  </si>
  <si>
    <t xml:space="preserve">residential solid waste </t>
  </si>
  <si>
    <t xml:space="preserve">commercial solid waste </t>
  </si>
  <si>
    <t xml:space="preserve">residential wastewater </t>
  </si>
  <si>
    <t xml:space="preserve">commercial wastewater </t>
  </si>
  <si>
    <t xml:space="preserve">commercial water </t>
  </si>
  <si>
    <t xml:space="preserve">residential water </t>
  </si>
  <si>
    <t>Note 1: No distinction made between active and inactive as the monthly base rate for active customers is the same as the monthly standby fee for inactive customers.</t>
  </si>
  <si>
    <t>commercial electric (small) active @ $500 per month</t>
  </si>
  <si>
    <t>commercial electric (large) active @ $11,870 per month</t>
  </si>
  <si>
    <t>Note 4: The calculation of combined use fee revenue is a rough estimate due to the newly implemented electric rate schedules that include a certain amount of electricity in the base rates (like typical water rates) for a set monthly fee.  The use fee revenue here is calculated by taking the estimated total kWH sold for the year, subtracting out an estimated 50,000 kWH used by the water system and not covered by customer payments, subtracting out the 127,200 kWH included in the base rates of the optional electric schedules, and then multiplying by a blended rate of $0.45 per kWH to approximate a use fee revenue number.  2015-2016 use fee revenue is decreased by 10% to reflect lower predicted rates.</t>
  </si>
  <si>
    <t>Note 1: Assuming a 10% electric rate decrease for base fees and use fees after 2014 to pass on fuel savings from new generators.</t>
  </si>
  <si>
    <t>Note 3 - This is an estimate of the salary that will be paid to the District's single part-time employee.</t>
  </si>
  <si>
    <t>Fuel consumption estimates based on a proposed system of multiple 120kW generators, running in parallel as needed.  The District hopes that that final soultion will be even more fuel efficient than this system.</t>
  </si>
  <si>
    <t xml:space="preserve">Note 5 - This is an estimate of depreciation expense.  Assuming $500,000 of new equipment over 30 years ($50,000 salvage value), making $15,000 in additional annual depreciation expense.   The future depreciation amounts were predicted based on the estimate from the 2013 budget plus the additional $20k of annual depreciation from the new power generation equipment.  Note also that the depreciation expense for the combined entity is much higher than the historical depreciation expense as the TSSD capital assets were recorded on TUID books at replacement cost.  </t>
  </si>
  <si>
    <t>Note 1 - The TUID electric system also (necessarily) powers the pumps for the water system.  When TEID and TSSD were separate, TEID would bill TSSD for the power used.  Now that water and power are both provided by TUID, this is akin to an intercompany transaction.  Here, the electric revenue from water system use is shown as a revenue item; assuming that power to the water system is provided at cost.  The cost of providing the power is explained in a later note.  Finally, the water system expenses show a matching expense for power, thus ensuring that analysis of water rates takes in to account the cost of power to run the system and avoiding, to the extent possible, cross-subsidization between the electric system and customers and the water system and customers.  Note that the estimated fuel use already includes the power used by the water system.  
The expense here is calculated based on approximately 75,000 kWH annually to run the two well pumps at $0.34 per kWH.</t>
  </si>
  <si>
    <t>Assume commercial electric is small commercial rates.  Assume all electric is single phase.  Solid Waste Commercial is assumed to be a 2 yard container.  Water fee revenue from use greater than the 10,000 gallons included in the base rate is somewhat unpredictable and thus excluded for purposes of revenue estimates.</t>
  </si>
  <si>
    <t>kWH sold (2012)</t>
  </si>
  <si>
    <t>These columns calculate the hours in a given month that the generator(s) operate at a given load.  By estimating the hours running at a given load, and knowing the fuel consumption for a given load, the total monthly fuel consumption can be estimated.</t>
  </si>
  <si>
    <t>Ticaboo - Financials Tab</t>
  </si>
  <si>
    <t>Ticaboo - Assumptions Tab</t>
  </si>
  <si>
    <t>Ticaboo - Rates Tab</t>
  </si>
  <si>
    <t>Ticaboo - Revenue Estimates Tab</t>
  </si>
  <si>
    <t>TOTAL REVENUE</t>
  </si>
  <si>
    <t>EARNINGS BEFORE DEPREC &amp; INTEREST</t>
  </si>
  <si>
    <t>DEPRECIATION</t>
  </si>
  <si>
    <t>DEBT SERVICE</t>
  </si>
  <si>
    <t>Ticaboo - Net Revenue Calculation Tab</t>
  </si>
  <si>
    <t>NET REVENUE</t>
  </si>
  <si>
    <t>Active Customer</t>
  </si>
  <si>
    <t>Inactive Customer</t>
  </si>
  <si>
    <t xml:space="preserve">DEBT COVERAGE RATIO &gt; 1.25  </t>
  </si>
  <si>
    <t xml:space="preserve">   Electric Expense</t>
  </si>
  <si>
    <t xml:space="preserve">   Water Expense</t>
  </si>
  <si>
    <t xml:space="preserve">   Waste Water Expense</t>
  </si>
  <si>
    <t xml:space="preserve">   Depreciation</t>
  </si>
  <si>
    <t xml:space="preserve">   General &amp; Admin Expense</t>
  </si>
  <si>
    <t xml:space="preserve">   Debt Service</t>
  </si>
  <si>
    <t>Net Income or (Loss)</t>
  </si>
  <si>
    <t xml:space="preserve">   Solid Waste Expense</t>
  </si>
  <si>
    <t xml:space="preserve">   Extraordinary Items</t>
  </si>
  <si>
    <t>Earnings Before Deprec &amp; Interest</t>
  </si>
  <si>
    <t>Debt Coverage Ratio &gt; 1.25</t>
  </si>
  <si>
    <t>DPU ANALYSIS</t>
  </si>
  <si>
    <t>TOTAL COMBINED REVENUE</t>
  </si>
  <si>
    <t>Monthly Customer Bill</t>
  </si>
  <si>
    <t>Annual Customer Bill</t>
  </si>
  <si>
    <t>DPU Exhibit 3</t>
  </si>
  <si>
    <t>DPU Exhibit 1</t>
  </si>
  <si>
    <t>DPU Exhibit 2</t>
  </si>
</sst>
</file>

<file path=xl/styles.xml><?xml version="1.0" encoding="utf-8"?>
<styleSheet xmlns="http://schemas.openxmlformats.org/spreadsheetml/2006/main">
  <numFmts count="6">
    <numFmt numFmtId="8" formatCode="&quot;$&quot;#,##0.00_);[Red]\(&quot;$&quot;#,##0.00\)"/>
    <numFmt numFmtId="44" formatCode="_(&quot;$&quot;* #,##0.00_);_(&quot;$&quot;* \(#,##0.00\);_(&quot;$&quot;* &quot;-&quot;??_);_(@_)"/>
    <numFmt numFmtId="43" formatCode="_(* #,##0.00_);_(* \(#,##0.00\);_(* &quot;-&quot;??_);_(@_)"/>
    <numFmt numFmtId="164" formatCode="_(* #,##0_);_(* \(#,##0\);_(* &quot;-&quot;??_);_(@_)"/>
    <numFmt numFmtId="165" formatCode="&quot;$&quot;#,##0.0000_);[Red]\(&quot;$&quot;#,##0.0000\)"/>
    <numFmt numFmtId="166" formatCode="_(&quot;$&quot;* #,##0_);_(&quot;$&quot;* \(#,##0\);_(&quot;$&quot;* &quot;-&quot;??_);_(@_)"/>
  </numFmts>
  <fonts count="16">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sz val="11"/>
      <color rgb="FFFF0000"/>
      <name val="Calibri"/>
      <family val="2"/>
      <scheme val="minor"/>
    </font>
    <font>
      <i/>
      <sz val="12"/>
      <color theme="1"/>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6"/>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6"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93">
    <xf numFmtId="0" fontId="0" fillId="0" borderId="0" xfId="0"/>
    <xf numFmtId="44" fontId="0" fillId="0" borderId="0" xfId="0" applyNumberFormat="1"/>
    <xf numFmtId="0" fontId="2"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2" applyFont="1" applyBorder="1" applyAlignment="1">
      <alignment horizontal="center"/>
    </xf>
    <xf numFmtId="0" fontId="2" fillId="0" borderId="1" xfId="0" applyFont="1" applyFill="1" applyBorder="1" applyAlignment="1">
      <alignment vertical="center"/>
    </xf>
    <xf numFmtId="0" fontId="2" fillId="0" borderId="1" xfId="0" applyFont="1" applyBorder="1" applyAlignment="1">
      <alignment horizontal="center"/>
    </xf>
    <xf numFmtId="0" fontId="0" fillId="0" borderId="0" xfId="0" applyBorder="1" applyAlignment="1">
      <alignment horizontal="center"/>
    </xf>
    <xf numFmtId="0" fontId="2" fillId="0" borderId="1" xfId="0" applyFont="1" applyBorder="1" applyAlignment="1">
      <alignment vertical="center"/>
    </xf>
    <xf numFmtId="0" fontId="0" fillId="0" borderId="1" xfId="0" applyBorder="1" applyAlignment="1">
      <alignment horizontal="center"/>
    </xf>
    <xf numFmtId="0" fontId="0" fillId="0" borderId="2" xfId="0" applyBorder="1" applyAlignment="1">
      <alignment horizontal="center" vertical="center"/>
    </xf>
    <xf numFmtId="0" fontId="2" fillId="0" borderId="0" xfId="0" applyFont="1" applyFill="1" applyBorder="1" applyAlignment="1">
      <alignment horizontal="center"/>
    </xf>
    <xf numFmtId="0" fontId="0" fillId="0" borderId="0" xfId="0" applyFont="1"/>
    <xf numFmtId="0" fontId="0" fillId="4" borderId="1" xfId="0" applyFill="1" applyBorder="1"/>
    <xf numFmtId="0" fontId="0" fillId="4" borderId="9" xfId="0" applyFill="1" applyBorder="1"/>
    <xf numFmtId="0" fontId="0" fillId="4" borderId="10" xfId="0" applyFill="1" applyBorder="1"/>
    <xf numFmtId="0" fontId="0" fillId="0" borderId="11" xfId="0" applyBorder="1"/>
    <xf numFmtId="0" fontId="0" fillId="0" borderId="13" xfId="0" applyBorder="1"/>
    <xf numFmtId="0" fontId="0" fillId="4" borderId="12" xfId="0" applyFill="1" applyBorder="1"/>
    <xf numFmtId="0" fontId="0" fillId="0" borderId="15" xfId="0" applyBorder="1"/>
    <xf numFmtId="0" fontId="4" fillId="0" borderId="19" xfId="0" applyFont="1" applyFill="1" applyBorder="1"/>
    <xf numFmtId="0" fontId="5" fillId="0" borderId="0" xfId="0" applyFont="1"/>
    <xf numFmtId="0" fontId="4" fillId="4" borderId="11" xfId="0" applyFont="1" applyFill="1" applyBorder="1"/>
    <xf numFmtId="0" fontId="4" fillId="4" borderId="8" xfId="0" applyFont="1" applyFill="1" applyBorder="1"/>
    <xf numFmtId="8" fontId="0" fillId="0" borderId="1" xfId="0" applyNumberFormat="1" applyFont="1" applyBorder="1" applyAlignment="1">
      <alignment horizontal="right" vertical="center" wrapText="1"/>
    </xf>
    <xf numFmtId="0" fontId="0" fillId="0" borderId="12" xfId="0" applyFont="1" applyBorder="1" applyAlignment="1">
      <alignment vertical="center" wrapText="1"/>
    </xf>
    <xf numFmtId="8" fontId="0" fillId="0" borderId="7" xfId="0" applyNumberFormat="1" applyFont="1" applyBorder="1" applyAlignment="1">
      <alignment horizontal="right" vertical="center" wrapText="1"/>
    </xf>
    <xf numFmtId="0" fontId="0" fillId="0" borderId="14" xfId="0" applyFont="1" applyBorder="1" applyAlignment="1">
      <alignment vertical="center" wrapText="1"/>
    </xf>
    <xf numFmtId="0" fontId="0" fillId="0" borderId="29" xfId="0" applyBorder="1" applyAlignment="1">
      <alignment horizontal="left" vertical="center"/>
    </xf>
    <xf numFmtId="0" fontId="0" fillId="0" borderId="11" xfId="0" applyBorder="1" applyAlignment="1">
      <alignment vertical="center"/>
    </xf>
    <xf numFmtId="0" fontId="0" fillId="0" borderId="13" xfId="0" applyBorder="1" applyAlignment="1">
      <alignment vertical="center"/>
    </xf>
    <xf numFmtId="0" fontId="0" fillId="0" borderId="7" xfId="0" applyBorder="1" applyAlignment="1">
      <alignment horizontal="center" vertical="center"/>
    </xf>
    <xf numFmtId="0" fontId="0" fillId="5" borderId="1" xfId="0" applyFill="1" applyBorder="1" applyAlignment="1">
      <alignment horizontal="center" vertical="center"/>
    </xf>
    <xf numFmtId="0" fontId="2" fillId="0" borderId="30" xfId="0" applyFont="1" applyBorder="1"/>
    <xf numFmtId="0" fontId="2" fillId="3" borderId="31" xfId="0" applyNumberFormat="1" applyFont="1" applyFill="1" applyBorder="1" applyAlignment="1">
      <alignment horizontal="center"/>
    </xf>
    <xf numFmtId="0" fontId="2" fillId="4" borderId="31" xfId="0" applyFont="1" applyFill="1" applyBorder="1" applyAlignment="1">
      <alignment horizontal="center"/>
    </xf>
    <xf numFmtId="0" fontId="2" fillId="4" borderId="32" xfId="0" applyFont="1" applyFill="1" applyBorder="1" applyAlignment="1">
      <alignment horizontal="center"/>
    </xf>
    <xf numFmtId="0" fontId="0" fillId="2" borderId="33" xfId="0" applyFill="1" applyBorder="1"/>
    <xf numFmtId="44" fontId="0" fillId="2" borderId="0" xfId="0" applyNumberFormat="1" applyFill="1" applyBorder="1"/>
    <xf numFmtId="44" fontId="0" fillId="2" borderId="34" xfId="0" applyNumberFormat="1" applyFill="1" applyBorder="1"/>
    <xf numFmtId="0" fontId="0" fillId="2" borderId="33" xfId="0" applyFill="1" applyBorder="1" applyAlignment="1">
      <alignment horizontal="left" indent="2"/>
    </xf>
    <xf numFmtId="0" fontId="0" fillId="0" borderId="33" xfId="0" applyBorder="1" applyAlignment="1">
      <alignment horizontal="left" indent="4"/>
    </xf>
    <xf numFmtId="44" fontId="0" fillId="0" borderId="0" xfId="0" applyNumberFormat="1" applyBorder="1"/>
    <xf numFmtId="44" fontId="0" fillId="0" borderId="34" xfId="0" applyNumberFormat="1" applyBorder="1"/>
    <xf numFmtId="0" fontId="0" fillId="2" borderId="33" xfId="0" applyFill="1" applyBorder="1" applyAlignment="1">
      <alignment horizontal="left" indent="4"/>
    </xf>
    <xf numFmtId="0" fontId="0" fillId="0" borderId="33" xfId="0" applyBorder="1" applyAlignment="1">
      <alignment horizontal="left" indent="6"/>
    </xf>
    <xf numFmtId="0" fontId="0" fillId="0" borderId="33" xfId="0" applyBorder="1" applyAlignment="1">
      <alignment horizontal="left" indent="8"/>
    </xf>
    <xf numFmtId="44" fontId="2" fillId="0" borderId="0" xfId="0" applyNumberFormat="1" applyFont="1" applyBorder="1"/>
    <xf numFmtId="44" fontId="2" fillId="0" borderId="34" xfId="0" applyNumberFormat="1" applyFont="1" applyBorder="1"/>
    <xf numFmtId="0" fontId="0" fillId="2" borderId="33" xfId="0" applyFill="1" applyBorder="1" applyAlignment="1">
      <alignment horizontal="left" indent="6"/>
    </xf>
    <xf numFmtId="0" fontId="2" fillId="0" borderId="33" xfId="0" applyFont="1" applyBorder="1" applyAlignment="1">
      <alignment horizontal="left" indent="6"/>
    </xf>
    <xf numFmtId="0" fontId="2" fillId="0" borderId="33" xfId="0" applyFont="1" applyBorder="1" applyAlignment="1">
      <alignment horizontal="left" indent="2"/>
    </xf>
    <xf numFmtId="0" fontId="0" fillId="0" borderId="33" xfId="0" applyBorder="1"/>
    <xf numFmtId="0" fontId="2" fillId="0" borderId="33" xfId="0" applyFont="1" applyBorder="1" applyAlignment="1">
      <alignment horizontal="left" indent="4"/>
    </xf>
    <xf numFmtId="0" fontId="2" fillId="0" borderId="35" xfId="0" applyFont="1" applyBorder="1"/>
    <xf numFmtId="44" fontId="2" fillId="0" borderId="6" xfId="0" applyNumberFormat="1" applyFont="1" applyBorder="1"/>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5" borderId="1" xfId="0" applyFill="1" applyBorder="1" applyAlignment="1">
      <alignment horizontal="center"/>
    </xf>
    <xf numFmtId="44" fontId="0" fillId="5" borderId="1" xfId="0" applyNumberFormat="1" applyFill="1" applyBorder="1" applyAlignment="1">
      <alignment horizontal="center"/>
    </xf>
    <xf numFmtId="0" fontId="2" fillId="5" borderId="1" xfId="0" applyFont="1" applyFill="1" applyBorder="1" applyAlignment="1">
      <alignment horizontal="center"/>
    </xf>
    <xf numFmtId="44" fontId="2" fillId="5" borderId="1" xfId="1" applyFont="1" applyFill="1" applyBorder="1" applyAlignment="1">
      <alignment horizontal="center"/>
    </xf>
    <xf numFmtId="0" fontId="0" fillId="0" borderId="0" xfId="0" applyFont="1" applyAlignment="1">
      <alignment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Fill="1" applyBorder="1" applyAlignment="1">
      <alignment vertical="center" wrapText="1"/>
    </xf>
    <xf numFmtId="44" fontId="2" fillId="0" borderId="1" xfId="0" applyNumberFormat="1" applyFont="1" applyFill="1" applyBorder="1" applyAlignment="1">
      <alignment horizontal="center"/>
    </xf>
    <xf numFmtId="164" fontId="2" fillId="0" borderId="1" xfId="3" applyNumberFormat="1" applyFont="1" applyFill="1" applyBorder="1" applyAlignment="1">
      <alignment horizontal="center"/>
    </xf>
    <xf numFmtId="165" fontId="0" fillId="0" borderId="1" xfId="0" applyNumberFormat="1" applyFont="1" applyBorder="1" applyAlignment="1">
      <alignment horizontal="right" vertical="center" wrapText="1"/>
    </xf>
    <xf numFmtId="0" fontId="0" fillId="0" borderId="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44" fontId="0" fillId="0" borderId="0" xfId="0" applyNumberFormat="1" applyFill="1" applyBorder="1"/>
    <xf numFmtId="0" fontId="0" fillId="0" borderId="29" xfId="0" applyBorder="1"/>
    <xf numFmtId="8" fontId="0" fillId="6" borderId="9" xfId="0" applyNumberFormat="1" applyFont="1" applyFill="1" applyBorder="1" applyAlignment="1">
      <alignment horizontal="center" vertical="center" wrapText="1"/>
    </xf>
    <xf numFmtId="8" fontId="0" fillId="6" borderId="10" xfId="0" applyNumberFormat="1" applyFont="1" applyFill="1" applyBorder="1" applyAlignment="1">
      <alignment vertical="center" wrapText="1"/>
    </xf>
    <xf numFmtId="8" fontId="0" fillId="6" borderId="48" xfId="0" applyNumberFormat="1" applyFont="1" applyFill="1" applyBorder="1" applyAlignment="1">
      <alignment horizontal="center" vertical="center" wrapText="1"/>
    </xf>
    <xf numFmtId="0" fontId="0" fillId="0" borderId="8" xfId="0" applyBorder="1"/>
    <xf numFmtId="164" fontId="0" fillId="7" borderId="1" xfId="3" applyNumberFormat="1" applyFont="1" applyFill="1" applyBorder="1"/>
    <xf numFmtId="8" fontId="0" fillId="7" borderId="1" xfId="0" applyNumberFormat="1" applyFill="1" applyBorder="1"/>
    <xf numFmtId="8" fontId="0" fillId="7" borderId="12" xfId="0" applyNumberFormat="1" applyFill="1" applyBorder="1"/>
    <xf numFmtId="8" fontId="0" fillId="7" borderId="2" xfId="0" applyNumberFormat="1" applyFill="1" applyBorder="1"/>
    <xf numFmtId="8" fontId="0" fillId="7" borderId="41" xfId="0" applyNumberFormat="1" applyFill="1" applyBorder="1"/>
    <xf numFmtId="8" fontId="0" fillId="7" borderId="7" xfId="0" applyNumberFormat="1" applyFill="1" applyBorder="1"/>
    <xf numFmtId="8" fontId="0" fillId="7" borderId="14" xfId="0" applyNumberFormat="1" applyFill="1" applyBorder="1"/>
    <xf numFmtId="0" fontId="0" fillId="7" borderId="1" xfId="0" applyFill="1" applyBorder="1"/>
    <xf numFmtId="0" fontId="0" fillId="7" borderId="12" xfId="0" applyFill="1" applyBorder="1"/>
    <xf numFmtId="8" fontId="0" fillId="7" borderId="9" xfId="0" applyNumberFormat="1" applyFill="1" applyBorder="1"/>
    <xf numFmtId="8" fontId="0" fillId="7" borderId="10" xfId="0" applyNumberFormat="1" applyFill="1" applyBorder="1"/>
    <xf numFmtId="8" fontId="0" fillId="7" borderId="16" xfId="0" applyNumberFormat="1" applyFill="1" applyBorder="1"/>
    <xf numFmtId="8" fontId="0" fillId="7" borderId="17" xfId="0" applyNumberFormat="1" applyFill="1" applyBorder="1"/>
    <xf numFmtId="8" fontId="4" fillId="7" borderId="23" xfId="0" applyNumberFormat="1" applyFont="1" applyFill="1" applyBorder="1"/>
    <xf numFmtId="8" fontId="4" fillId="7" borderId="22" xfId="0" applyNumberFormat="1" applyFont="1" applyFill="1" applyBorder="1"/>
    <xf numFmtId="8" fontId="4" fillId="7" borderId="21" xfId="0" applyNumberFormat="1" applyFont="1" applyFill="1" applyBorder="1"/>
    <xf numFmtId="44" fontId="0" fillId="7" borderId="1" xfId="1" applyNumberFormat="1" applyFont="1" applyFill="1" applyBorder="1"/>
    <xf numFmtId="8" fontId="0" fillId="7" borderId="1" xfId="0" applyNumberFormat="1" applyFont="1" applyFill="1" applyBorder="1" applyAlignment="1">
      <alignment horizontal="right" vertical="center" wrapText="1"/>
    </xf>
    <xf numFmtId="165" fontId="0" fillId="7" borderId="1" xfId="0" applyNumberFormat="1" applyFont="1" applyFill="1" applyBorder="1" applyAlignment="1">
      <alignment horizontal="right" vertical="center" wrapText="1"/>
    </xf>
    <xf numFmtId="8" fontId="0" fillId="7" borderId="7" xfId="0" applyNumberFormat="1" applyFont="1" applyFill="1" applyBorder="1" applyAlignment="1">
      <alignment horizontal="right" vertical="center" wrapText="1"/>
    </xf>
    <xf numFmtId="8" fontId="0" fillId="7" borderId="0" xfId="0" applyNumberFormat="1" applyFill="1" applyBorder="1"/>
    <xf numFmtId="8" fontId="0" fillId="7" borderId="34" xfId="0" applyNumberFormat="1" applyFill="1" applyBorder="1"/>
    <xf numFmtId="44" fontId="2" fillId="7" borderId="0" xfId="0" applyNumberFormat="1" applyFont="1" applyFill="1" applyBorder="1"/>
    <xf numFmtId="44" fontId="2" fillId="7" borderId="34" xfId="0" applyNumberFormat="1" applyFont="1" applyFill="1" applyBorder="1"/>
    <xf numFmtId="8" fontId="2" fillId="7" borderId="0" xfId="0" applyNumberFormat="1" applyFont="1" applyFill="1" applyBorder="1"/>
    <xf numFmtId="8" fontId="2" fillId="7" borderId="34" xfId="0" applyNumberFormat="1" applyFont="1" applyFill="1" applyBorder="1"/>
    <xf numFmtId="44" fontId="0" fillId="7" borderId="0" xfId="0" applyNumberFormat="1" applyFill="1" applyBorder="1"/>
    <xf numFmtId="44" fontId="0" fillId="7" borderId="34" xfId="0" applyNumberFormat="1" applyFill="1" applyBorder="1"/>
    <xf numFmtId="44" fontId="0" fillId="7" borderId="12" xfId="1" applyNumberFormat="1" applyFont="1" applyFill="1" applyBorder="1"/>
    <xf numFmtId="0" fontId="0" fillId="0" borderId="0" xfId="0" applyAlignment="1">
      <alignment horizontal="center" vertical="center" wrapText="1"/>
    </xf>
    <xf numFmtId="166" fontId="0" fillId="7" borderId="1" xfId="1" applyNumberFormat="1" applyFont="1" applyFill="1" applyBorder="1"/>
    <xf numFmtId="166" fontId="0" fillId="7" borderId="12" xfId="1" applyNumberFormat="1" applyFont="1" applyFill="1" applyBorder="1"/>
    <xf numFmtId="0" fontId="0" fillId="0" borderId="0" xfId="0" applyAlignment="1">
      <alignment horizontal="left" indent="1"/>
    </xf>
    <xf numFmtId="0" fontId="0" fillId="0" borderId="11" xfId="0" applyBorder="1" applyAlignment="1">
      <alignment horizontal="left" indent="2"/>
    </xf>
    <xf numFmtId="0" fontId="2" fillId="0" borderId="22" xfId="0" applyNumberFormat="1" applyFont="1" applyBorder="1" applyAlignment="1">
      <alignment horizontal="center" vertical="center" wrapText="1"/>
    </xf>
    <xf numFmtId="0" fontId="2" fillId="3" borderId="22" xfId="0" applyNumberFormat="1"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49" xfId="0" applyFont="1" applyFill="1" applyBorder="1" applyAlignment="1">
      <alignment horizontal="center" vertical="center" wrapText="1"/>
    </xf>
    <xf numFmtId="166" fontId="2" fillId="7" borderId="16" xfId="1" applyNumberFormat="1" applyFont="1" applyFill="1" applyBorder="1"/>
    <xf numFmtId="166" fontId="2" fillId="7" borderId="17" xfId="1" applyNumberFormat="1" applyFont="1" applyFill="1" applyBorder="1"/>
    <xf numFmtId="0" fontId="2" fillId="0" borderId="15" xfId="0" applyFont="1" applyBorder="1" applyAlignment="1">
      <alignment horizontal="left" indent="1"/>
    </xf>
    <xf numFmtId="0" fontId="3" fillId="6" borderId="19" xfId="0" applyFont="1" applyFill="1" applyBorder="1" applyAlignment="1">
      <alignment horizontal="center" vertical="center" wrapText="1"/>
    </xf>
    <xf numFmtId="0" fontId="0" fillId="0" borderId="11" xfId="0" applyFill="1" applyBorder="1"/>
    <xf numFmtId="44" fontId="0" fillId="0" borderId="1" xfId="1" applyFont="1" applyFill="1" applyBorder="1"/>
    <xf numFmtId="44" fontId="0" fillId="0" borderId="12" xfId="1" applyFont="1" applyFill="1" applyBorder="1"/>
    <xf numFmtId="0" fontId="0" fillId="0" borderId="1" xfId="0" applyFill="1" applyBorder="1"/>
    <xf numFmtId="0" fontId="0" fillId="0" borderId="12" xfId="0" applyFill="1" applyBorder="1"/>
    <xf numFmtId="0" fontId="2" fillId="8" borderId="31" xfId="0" applyFont="1" applyFill="1" applyBorder="1" applyAlignment="1">
      <alignment horizontal="center"/>
    </xf>
    <xf numFmtId="0" fontId="2" fillId="8" borderId="31" xfId="0" applyNumberFormat="1" applyFont="1" applyFill="1" applyBorder="1" applyAlignment="1">
      <alignment horizontal="center"/>
    </xf>
    <xf numFmtId="0" fontId="2" fillId="8" borderId="22" xfId="0" applyFont="1" applyFill="1" applyBorder="1" applyAlignment="1">
      <alignment horizontal="center" vertical="center" wrapText="1"/>
    </xf>
    <xf numFmtId="0" fontId="2" fillId="8" borderId="22" xfId="0" applyNumberFormat="1" applyFont="1" applyFill="1" applyBorder="1" applyAlignment="1">
      <alignment horizontal="center" vertical="center" wrapText="1"/>
    </xf>
    <xf numFmtId="0" fontId="2" fillId="0" borderId="33" xfId="0" applyFont="1" applyFill="1" applyBorder="1"/>
    <xf numFmtId="0" fontId="0" fillId="0" borderId="1" xfId="0" applyBorder="1" applyAlignment="1">
      <alignment horizontal="center" vertical="center"/>
    </xf>
    <xf numFmtId="0" fontId="0" fillId="0" borderId="0" xfId="0" applyFont="1" applyAlignment="1">
      <alignment horizontal="center"/>
    </xf>
    <xf numFmtId="164" fontId="0" fillId="7" borderId="12" xfId="3" applyNumberFormat="1" applyFont="1" applyFill="1" applyBorder="1"/>
    <xf numFmtId="44" fontId="0" fillId="0" borderId="34" xfId="0" applyNumberFormat="1" applyFill="1" applyBorder="1"/>
    <xf numFmtId="0" fontId="0" fillId="0" borderId="33" xfId="0" applyFont="1" applyBorder="1" applyAlignment="1">
      <alignment horizontal="left" indent="4"/>
    </xf>
    <xf numFmtId="44" fontId="0" fillId="0" borderId="0" xfId="0" applyNumberFormat="1" applyFont="1" applyBorder="1"/>
    <xf numFmtId="0" fontId="0" fillId="0" borderId="0" xfId="0" applyAlignment="1">
      <alignment horizontal="left" vertical="center"/>
    </xf>
    <xf numFmtId="0" fontId="8" fillId="0" borderId="0" xfId="0" applyFont="1"/>
    <xf numFmtId="0" fontId="9" fillId="0" borderId="0" xfId="0" applyFont="1"/>
    <xf numFmtId="44" fontId="8" fillId="0" borderId="0" xfId="0" applyNumberFormat="1" applyFont="1" applyFill="1" applyBorder="1"/>
    <xf numFmtId="0" fontId="8" fillId="0" borderId="0" xfId="0" applyFont="1" applyAlignment="1">
      <alignment horizontal="left" vertical="center"/>
    </xf>
    <xf numFmtId="0" fontId="0" fillId="0" borderId="1" xfId="0" applyFill="1" applyBorder="1" applyAlignment="1">
      <alignment horizontal="center"/>
    </xf>
    <xf numFmtId="0" fontId="0" fillId="0" borderId="12" xfId="0" applyFill="1" applyBorder="1" applyAlignment="1">
      <alignment horizontal="center"/>
    </xf>
    <xf numFmtId="0" fontId="0" fillId="0" borderId="7" xfId="0" applyFill="1" applyBorder="1" applyAlignment="1">
      <alignment horizontal="center"/>
    </xf>
    <xf numFmtId="0" fontId="0" fillId="0" borderId="14" xfId="0" applyFill="1" applyBorder="1" applyAlignment="1">
      <alignment horizontal="center"/>
    </xf>
    <xf numFmtId="8" fontId="0" fillId="7" borderId="50" xfId="0" applyNumberFormat="1" applyFill="1" applyBorder="1"/>
    <xf numFmtId="8" fontId="0" fillId="7" borderId="51" xfId="0" applyNumberFormat="1" applyFill="1" applyBorder="1"/>
    <xf numFmtId="0" fontId="0" fillId="0" borderId="13" xfId="0" applyFill="1" applyBorder="1"/>
    <xf numFmtId="0" fontId="0" fillId="5"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44" fontId="10" fillId="0" borderId="0" xfId="0" applyNumberFormat="1" applyFont="1" applyBorder="1"/>
    <xf numFmtId="0" fontId="4" fillId="4" borderId="25" xfId="0" applyFont="1" applyFill="1" applyBorder="1" applyAlignment="1"/>
    <xf numFmtId="0" fontId="4" fillId="4" borderId="5" xfId="0" applyFont="1" applyFill="1" applyBorder="1" applyAlignment="1"/>
    <xf numFmtId="0" fontId="4" fillId="4" borderId="26" xfId="0" applyFont="1" applyFill="1" applyBorder="1" applyAlignment="1"/>
    <xf numFmtId="44" fontId="2" fillId="7" borderId="6" xfId="0" applyNumberFormat="1" applyFont="1" applyFill="1" applyBorder="1"/>
    <xf numFmtId="44" fontId="2" fillId="7" borderId="36" xfId="0" applyNumberFormat="1" applyFont="1" applyFill="1" applyBorder="1"/>
    <xf numFmtId="0" fontId="0" fillId="0" borderId="33" xfId="0" applyFill="1" applyBorder="1" applyAlignment="1">
      <alignment horizontal="left" indent="6"/>
    </xf>
    <xf numFmtId="44" fontId="2" fillId="0" borderId="6" xfId="0" applyNumberFormat="1" applyFont="1" applyFill="1" applyBorder="1"/>
    <xf numFmtId="44" fontId="8" fillId="0" borderId="0" xfId="0" applyNumberFormat="1" applyFont="1"/>
    <xf numFmtId="44" fontId="9" fillId="0" borderId="0" xfId="0" applyNumberFormat="1" applyFont="1"/>
    <xf numFmtId="44" fontId="2" fillId="0" borderId="0" xfId="0" applyNumberFormat="1" applyFont="1" applyFill="1" applyBorder="1"/>
    <xf numFmtId="0" fontId="0" fillId="9" borderId="0" xfId="0" applyFill="1"/>
    <xf numFmtId="166" fontId="0" fillId="9" borderId="0" xfId="0" applyNumberFormat="1" applyFill="1"/>
    <xf numFmtId="164" fontId="0" fillId="9" borderId="0" xfId="3" applyNumberFormat="1" applyFont="1" applyFill="1"/>
    <xf numFmtId="164" fontId="0" fillId="9" borderId="0" xfId="0" applyNumberFormat="1" applyFill="1"/>
    <xf numFmtId="0" fontId="0" fillId="9" borderId="0" xfId="0" applyFont="1" applyFill="1" applyAlignment="1">
      <alignment horizontal="center"/>
    </xf>
    <xf numFmtId="8" fontId="0" fillId="9" borderId="0" xfId="0" applyNumberFormat="1" applyFont="1" applyFill="1" applyAlignment="1">
      <alignment horizontal="center"/>
    </xf>
    <xf numFmtId="44" fontId="0" fillId="9" borderId="0" xfId="1" applyFont="1" applyFill="1" applyAlignment="1">
      <alignment horizontal="center"/>
    </xf>
    <xf numFmtId="8" fontId="2" fillId="9" borderId="1" xfId="0" applyNumberFormat="1" applyFont="1" applyFill="1" applyBorder="1" applyAlignment="1">
      <alignment horizontal="center" vertical="center" wrapText="1"/>
    </xf>
    <xf numFmtId="0" fontId="0" fillId="9" borderId="1" xfId="0" applyFill="1" applyBorder="1" applyAlignment="1">
      <alignment horizontal="center"/>
    </xf>
    <xf numFmtId="0" fontId="0" fillId="9" borderId="12" xfId="0" applyFill="1" applyBorder="1" applyAlignment="1">
      <alignment horizontal="center"/>
    </xf>
    <xf numFmtId="43" fontId="0" fillId="9" borderId="0" xfId="3" applyFont="1" applyFill="1"/>
    <xf numFmtId="44" fontId="12" fillId="0" borderId="0" xfId="0" applyNumberFormat="1" applyFont="1" applyBorder="1"/>
    <xf numFmtId="44" fontId="14" fillId="0" borderId="0" xfId="0" applyNumberFormat="1" applyFont="1" applyBorder="1"/>
    <xf numFmtId="44" fontId="0" fillId="9" borderId="0" xfId="0" applyNumberFormat="1" applyFill="1"/>
    <xf numFmtId="0" fontId="2" fillId="9" borderId="42" xfId="0" applyFont="1" applyFill="1" applyBorder="1" applyAlignment="1">
      <alignment horizontal="right"/>
    </xf>
    <xf numFmtId="44" fontId="2" fillId="9" borderId="42" xfId="0" applyNumberFormat="1" applyFont="1" applyFill="1" applyBorder="1" applyAlignment="1">
      <alignment horizontal="right"/>
    </xf>
    <xf numFmtId="43" fontId="0" fillId="9" borderId="42" xfId="3" applyFont="1" applyFill="1" applyBorder="1"/>
    <xf numFmtId="0" fontId="2" fillId="9" borderId="0" xfId="0" applyFont="1" applyFill="1"/>
    <xf numFmtId="44" fontId="2" fillId="9" borderId="0" xfId="0" applyNumberFormat="1" applyFont="1" applyFill="1"/>
    <xf numFmtId="43" fontId="2" fillId="9" borderId="0" xfId="3" applyFont="1" applyFill="1"/>
    <xf numFmtId="0" fontId="0" fillId="0" borderId="0" xfId="0" applyFill="1" applyBorder="1" applyAlignment="1">
      <alignment vertical="center" wrapText="1"/>
    </xf>
    <xf numFmtId="0" fontId="0" fillId="9" borderId="0" xfId="0" applyFont="1" applyFill="1"/>
    <xf numFmtId="0" fontId="0" fillId="9" borderId="0" xfId="0" applyFill="1" applyAlignment="1">
      <alignment horizontal="right"/>
    </xf>
    <xf numFmtId="0" fontId="15" fillId="0" borderId="0" xfId="0" applyFont="1" applyAlignment="1">
      <alignment horizontal="right"/>
    </xf>
    <xf numFmtId="44" fontId="12" fillId="0" borderId="0" xfId="0" applyNumberFormat="1" applyFont="1" applyFill="1" applyBorder="1"/>
    <xf numFmtId="44" fontId="12" fillId="0" borderId="34" xfId="0" applyNumberFormat="1" applyFont="1" applyFill="1" applyBorder="1"/>
    <xf numFmtId="44" fontId="2" fillId="0" borderId="34" xfId="0" applyNumberFormat="1" applyFont="1" applyFill="1" applyBorder="1"/>
    <xf numFmtId="44" fontId="0" fillId="0" borderId="0" xfId="0" applyNumberFormat="1" applyFont="1" applyFill="1" applyBorder="1"/>
    <xf numFmtId="44" fontId="0" fillId="0" borderId="34" xfId="0" applyNumberFormat="1" applyFont="1" applyFill="1" applyBorder="1"/>
    <xf numFmtId="44" fontId="0" fillId="8" borderId="0" xfId="0" applyNumberFormat="1" applyFill="1" applyBorder="1"/>
    <xf numFmtId="44" fontId="0" fillId="8" borderId="34" xfId="0" applyNumberFormat="1" applyFill="1" applyBorder="1"/>
    <xf numFmtId="44" fontId="0" fillId="9" borderId="0" xfId="0" applyNumberFormat="1" applyFill="1" applyBorder="1"/>
    <xf numFmtId="44" fontId="0" fillId="9" borderId="34" xfId="0" applyNumberFormat="1" applyFill="1" applyBorder="1"/>
    <xf numFmtId="0" fontId="13" fillId="9" borderId="31" xfId="0" applyFont="1" applyFill="1" applyBorder="1" applyAlignment="1">
      <alignment horizontal="center"/>
    </xf>
    <xf numFmtId="0" fontId="13" fillId="0" borderId="6" xfId="0" applyFont="1" applyBorder="1" applyAlignment="1">
      <alignment horizontal="center"/>
    </xf>
    <xf numFmtId="0" fontId="0" fillId="6" borderId="35" xfId="0" applyFill="1" applyBorder="1" applyAlignment="1">
      <alignment vertical="center" wrapText="1"/>
    </xf>
    <xf numFmtId="0" fontId="0" fillId="6" borderId="6" xfId="0" applyFill="1" applyBorder="1" applyAlignment="1">
      <alignment vertical="center" wrapText="1"/>
    </xf>
    <xf numFmtId="0" fontId="0" fillId="6" borderId="36" xfId="0" applyFill="1" applyBorder="1" applyAlignment="1">
      <alignment vertical="center" wrapText="1"/>
    </xf>
    <xf numFmtId="0" fontId="0" fillId="0" borderId="43"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6" borderId="43" xfId="0" applyFill="1" applyBorder="1" applyAlignment="1">
      <alignment vertical="center" wrapText="1"/>
    </xf>
    <xf numFmtId="0" fontId="0" fillId="6" borderId="20" xfId="0" applyFill="1" applyBorder="1" applyAlignment="1">
      <alignment vertical="center" wrapText="1"/>
    </xf>
    <xf numFmtId="0" fontId="0" fillId="6" borderId="21" xfId="0" applyFill="1" applyBorder="1" applyAlignment="1">
      <alignment vertical="center" wrapText="1"/>
    </xf>
    <xf numFmtId="0" fontId="0" fillId="6" borderId="33" xfId="0" applyFill="1" applyBorder="1" applyAlignment="1">
      <alignment vertical="center" wrapText="1"/>
    </xf>
    <xf numFmtId="0" fontId="0" fillId="6" borderId="0" xfId="0" applyFill="1" applyBorder="1" applyAlignment="1">
      <alignment vertical="center" wrapText="1"/>
    </xf>
    <xf numFmtId="0" fontId="0" fillId="6" borderId="34" xfId="0" applyFill="1" applyBorder="1" applyAlignment="1">
      <alignment vertical="center" wrapText="1"/>
    </xf>
    <xf numFmtId="0" fontId="2" fillId="4" borderId="44" xfId="0" applyFont="1" applyFill="1" applyBorder="1" applyAlignment="1">
      <alignment horizontal="left"/>
    </xf>
    <xf numFmtId="0" fontId="2" fillId="4" borderId="42" xfId="0" applyFont="1" applyFill="1" applyBorder="1" applyAlignment="1">
      <alignment horizontal="left"/>
    </xf>
    <xf numFmtId="0" fontId="2" fillId="4" borderId="45" xfId="0" applyFont="1" applyFill="1" applyBorder="1" applyAlignment="1">
      <alignment horizontal="left"/>
    </xf>
    <xf numFmtId="0" fontId="0" fillId="0" borderId="43"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2" fillId="6" borderId="25" xfId="0" applyFont="1" applyFill="1" applyBorder="1" applyAlignment="1">
      <alignment horizontal="center"/>
    </xf>
    <xf numFmtId="0" fontId="2" fillId="6" borderId="5" xfId="0" applyFont="1" applyFill="1" applyBorder="1" applyAlignment="1">
      <alignment horizontal="center"/>
    </xf>
    <xf numFmtId="0" fontId="2" fillId="6" borderId="26" xfId="0" applyFont="1" applyFill="1" applyBorder="1" applyAlignment="1">
      <alignment horizontal="center"/>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0" xfId="0" applyFill="1" applyBorder="1" applyAlignment="1">
      <alignment horizontal="left" vertical="center" wrapText="1"/>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0" fillId="0" borderId="6" xfId="0" applyFill="1" applyBorder="1" applyAlignment="1">
      <alignment horizontal="left" vertical="center" wrapText="1"/>
    </xf>
    <xf numFmtId="0" fontId="0" fillId="0" borderId="36" xfId="0" applyFill="1" applyBorder="1" applyAlignment="1">
      <alignment horizontal="left" vertical="center" wrapText="1"/>
    </xf>
    <xf numFmtId="0" fontId="13" fillId="0" borderId="6" xfId="0" applyFont="1" applyBorder="1" applyAlignment="1">
      <alignment horizontal="center" wrapText="1"/>
    </xf>
    <xf numFmtId="0" fontId="11" fillId="4" borderId="5" xfId="0" applyFont="1" applyFill="1" applyBorder="1" applyAlignment="1">
      <alignment horizontal="center" vertical="center"/>
    </xf>
    <xf numFmtId="0" fontId="0" fillId="4" borderId="24" xfId="0" applyFont="1" applyFill="1" applyBorder="1" applyAlignment="1">
      <alignment horizontal="center" wrapText="1"/>
    </xf>
    <xf numFmtId="0" fontId="0" fillId="4" borderId="46" xfId="0" applyFont="1" applyFill="1" applyBorder="1" applyAlignment="1">
      <alignment horizontal="center" wrapText="1"/>
    </xf>
    <xf numFmtId="0" fontId="0" fillId="0" borderId="4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5" xfId="0" applyFont="1" applyBorder="1" applyAlignment="1">
      <alignment horizontal="center" vertical="center" wrapText="1"/>
    </xf>
    <xf numFmtId="0" fontId="4" fillId="4" borderId="11" xfId="0" applyFont="1" applyFill="1" applyBorder="1" applyAlignment="1">
      <alignment horizontal="left" vertical="center"/>
    </xf>
    <xf numFmtId="0" fontId="4" fillId="4" borderId="1" xfId="0" applyFont="1" applyFill="1" applyBorder="1" applyAlignment="1">
      <alignment horizontal="left" vertical="center"/>
    </xf>
    <xf numFmtId="0" fontId="4" fillId="4" borderId="12" xfId="0" applyFont="1" applyFill="1" applyBorder="1" applyAlignment="1">
      <alignment horizontal="left" vertical="center"/>
    </xf>
    <xf numFmtId="0" fontId="0" fillId="6" borderId="30" xfId="0" applyFill="1" applyBorder="1" applyAlignment="1">
      <alignment horizontal="left" vertical="center" wrapText="1"/>
    </xf>
    <xf numFmtId="0" fontId="0" fillId="6" borderId="31" xfId="0" applyFill="1" applyBorder="1" applyAlignment="1">
      <alignment horizontal="left" vertical="center" wrapText="1"/>
    </xf>
    <xf numFmtId="0" fontId="0" fillId="6" borderId="32" xfId="0" applyFill="1" applyBorder="1" applyAlignment="1">
      <alignment horizontal="left" vertical="center" wrapText="1"/>
    </xf>
    <xf numFmtId="0" fontId="0" fillId="6" borderId="33" xfId="0" applyFill="1" applyBorder="1" applyAlignment="1">
      <alignment horizontal="left" vertical="center" wrapText="1"/>
    </xf>
    <xf numFmtId="0" fontId="0" fillId="6" borderId="0" xfId="0" applyFill="1" applyBorder="1" applyAlignment="1">
      <alignment horizontal="left" vertical="center" wrapText="1"/>
    </xf>
    <xf numFmtId="0" fontId="0" fillId="6" borderId="34" xfId="0" applyFill="1" applyBorder="1" applyAlignment="1">
      <alignment horizontal="left" vertical="center" wrapText="1"/>
    </xf>
    <xf numFmtId="0" fontId="0" fillId="6" borderId="35" xfId="0" applyFill="1" applyBorder="1" applyAlignment="1">
      <alignment horizontal="left" vertical="center" wrapText="1"/>
    </xf>
    <xf numFmtId="0" fontId="0" fillId="6" borderId="6" xfId="0" applyFill="1" applyBorder="1" applyAlignment="1">
      <alignment horizontal="left" vertical="center" wrapText="1"/>
    </xf>
    <xf numFmtId="0" fontId="0" fillId="6" borderId="36" xfId="0" applyFill="1" applyBorder="1" applyAlignment="1">
      <alignment horizontal="left" vertical="center" wrapText="1"/>
    </xf>
    <xf numFmtId="0" fontId="0" fillId="6" borderId="43" xfId="0" applyFill="1" applyBorder="1" applyAlignment="1">
      <alignment horizontal="left" vertical="center" wrapText="1"/>
    </xf>
    <xf numFmtId="0" fontId="0" fillId="6" borderId="20" xfId="0" applyFill="1" applyBorder="1" applyAlignment="1">
      <alignment horizontal="left" vertical="center" wrapText="1"/>
    </xf>
    <xf numFmtId="0" fontId="0" fillId="6" borderId="21" xfId="0" applyFill="1" applyBorder="1" applyAlignment="1">
      <alignment horizontal="left" vertical="center" wrapText="1"/>
    </xf>
    <xf numFmtId="0" fontId="0" fillId="6" borderId="43"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4" borderId="27" xfId="0" applyFill="1" applyBorder="1" applyAlignment="1">
      <alignment horizontal="center" vertical="center"/>
    </xf>
    <xf numFmtId="0" fontId="0" fillId="4" borderId="29" xfId="0" applyFill="1" applyBorder="1" applyAlignment="1">
      <alignment horizontal="center" vertical="center"/>
    </xf>
    <xf numFmtId="0" fontId="0" fillId="4" borderId="28" xfId="0" applyFill="1" applyBorder="1" applyAlignment="1">
      <alignment horizontal="center" vertical="center"/>
    </xf>
    <xf numFmtId="0" fontId="0" fillId="4" borderId="2"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 xfId="0" applyFill="1" applyBorder="1" applyAlignment="1">
      <alignment horizont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0" fillId="4" borderId="1" xfId="0" applyFill="1" applyBorder="1" applyAlignment="1">
      <alignment horizont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3" xfId="0" applyFill="1" applyBorder="1" applyAlignment="1">
      <alignment vertical="center"/>
    </xf>
    <xf numFmtId="0" fontId="0" fillId="0" borderId="4"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1" xfId="0" applyFont="1" applyFill="1" applyBorder="1" applyAlignment="1">
      <alignment horizontal="right" vertical="center"/>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2" fillId="4" borderId="3" xfId="0" applyFont="1" applyFill="1" applyBorder="1" applyAlignment="1">
      <alignment horizontal="center"/>
    </xf>
    <xf numFmtId="0" fontId="2" fillId="4" borderId="5" xfId="0" applyFont="1" applyFill="1" applyBorder="1" applyAlignment="1">
      <alignment horizontal="center"/>
    </xf>
    <xf numFmtId="0" fontId="0" fillId="0" borderId="1" xfId="0" applyBorder="1" applyAlignment="1">
      <alignment horizontal="center" vertic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6" tint="-0.249977111117893"/>
  </sheetPr>
  <dimension ref="B1:P139"/>
  <sheetViews>
    <sheetView view="pageBreakPreview" zoomScale="80" zoomScaleNormal="85" zoomScaleSheetLayoutView="80" zoomScalePageLayoutView="55" workbookViewId="0">
      <pane ySplit="3" topLeftCell="A118" activePane="bottomLeft" state="frozen"/>
      <selection pane="bottomLeft" activeCell="Q38" sqref="Q38"/>
    </sheetView>
  </sheetViews>
  <sheetFormatPr defaultRowHeight="15"/>
  <cols>
    <col min="1" max="1" width="2.42578125" customWidth="1"/>
    <col min="2" max="2" width="36.85546875" customWidth="1"/>
    <col min="3" max="4" width="17.140625" style="1" hidden="1" customWidth="1"/>
    <col min="5" max="5" width="17.140625" customWidth="1"/>
    <col min="6" max="7" width="17.140625" style="1" hidden="1" customWidth="1"/>
    <col min="8" max="8" width="17.140625" customWidth="1"/>
    <col min="9" max="10" width="17.140625" style="1" hidden="1" customWidth="1"/>
    <col min="11" max="15" width="17.140625" style="1" customWidth="1"/>
    <col min="16" max="16" width="12.5703125" style="145" customWidth="1"/>
  </cols>
  <sheetData>
    <row r="1" spans="2:16" ht="20.25" customHeight="1">
      <c r="P1" s="194" t="s">
        <v>299</v>
      </c>
    </row>
    <row r="2" spans="2:16" ht="25.5" customHeight="1" thickBot="1">
      <c r="B2" s="205" t="s">
        <v>270</v>
      </c>
      <c r="C2" s="205"/>
      <c r="D2" s="205"/>
      <c r="E2" s="205"/>
      <c r="F2" s="205"/>
      <c r="G2" s="205"/>
      <c r="H2" s="205"/>
      <c r="I2" s="205"/>
      <c r="J2" s="205"/>
      <c r="K2" s="205"/>
      <c r="L2" s="205"/>
      <c r="M2" s="205"/>
      <c r="N2" s="205"/>
      <c r="O2" s="205"/>
    </row>
    <row r="3" spans="2:16" s="2" customFormat="1">
      <c r="B3" s="37"/>
      <c r="C3" s="134" t="s">
        <v>79</v>
      </c>
      <c r="D3" s="134" t="s">
        <v>78</v>
      </c>
      <c r="E3" s="133" t="s">
        <v>84</v>
      </c>
      <c r="F3" s="134" t="s">
        <v>85</v>
      </c>
      <c r="G3" s="134" t="s">
        <v>86</v>
      </c>
      <c r="H3" s="133" t="s">
        <v>87</v>
      </c>
      <c r="I3" s="134" t="s">
        <v>91</v>
      </c>
      <c r="J3" s="134" t="s">
        <v>89</v>
      </c>
      <c r="K3" s="134" t="s">
        <v>90</v>
      </c>
      <c r="L3" s="38" t="s">
        <v>93</v>
      </c>
      <c r="M3" s="39" t="s">
        <v>94</v>
      </c>
      <c r="N3" s="39" t="s">
        <v>95</v>
      </c>
      <c r="O3" s="40" t="s">
        <v>96</v>
      </c>
      <c r="P3" s="146"/>
    </row>
    <row r="4" spans="2:16">
      <c r="B4" s="41" t="s">
        <v>0</v>
      </c>
      <c r="C4" s="42"/>
      <c r="D4" s="42"/>
      <c r="E4" s="42"/>
      <c r="F4" s="42"/>
      <c r="G4" s="42"/>
      <c r="H4" s="42"/>
      <c r="I4" s="42"/>
      <c r="J4" s="42"/>
      <c r="K4" s="42"/>
      <c r="L4" s="42"/>
      <c r="M4" s="42"/>
      <c r="N4" s="42"/>
      <c r="O4" s="43"/>
    </row>
    <row r="5" spans="2:16">
      <c r="B5" s="44" t="s">
        <v>1</v>
      </c>
      <c r="C5" s="42"/>
      <c r="D5" s="42"/>
      <c r="E5" s="42"/>
      <c r="F5" s="42"/>
      <c r="G5" s="42"/>
      <c r="H5" s="42"/>
      <c r="I5" s="42"/>
      <c r="J5" s="42"/>
      <c r="K5" s="42"/>
      <c r="L5" s="42"/>
      <c r="M5" s="42"/>
      <c r="N5" s="42"/>
      <c r="O5" s="43"/>
    </row>
    <row r="6" spans="2:16">
      <c r="B6" s="45" t="s">
        <v>2</v>
      </c>
      <c r="C6" s="46">
        <v>586200</v>
      </c>
      <c r="D6" s="46"/>
      <c r="E6" s="80">
        <f t="shared" ref="E6:E66" si="0">C6+D6</f>
        <v>586200</v>
      </c>
      <c r="F6" s="80"/>
      <c r="G6" s="80">
        <v>15000</v>
      </c>
      <c r="H6" s="80">
        <f t="shared" ref="H6:H65" si="1">F6+G6</f>
        <v>15000</v>
      </c>
      <c r="I6" s="46"/>
      <c r="J6" s="46"/>
      <c r="K6" s="46">
        <v>0</v>
      </c>
      <c r="L6" s="46">
        <v>0</v>
      </c>
      <c r="M6" s="46">
        <v>0</v>
      </c>
      <c r="N6" s="46">
        <v>0</v>
      </c>
      <c r="O6" s="47">
        <v>0</v>
      </c>
    </row>
    <row r="7" spans="2:16">
      <c r="B7" s="48" t="s">
        <v>200</v>
      </c>
      <c r="C7" s="42"/>
      <c r="D7" s="42"/>
      <c r="E7" s="42"/>
      <c r="F7" s="42"/>
      <c r="G7" s="42"/>
      <c r="H7" s="42"/>
      <c r="I7" s="42"/>
      <c r="J7" s="42"/>
      <c r="K7" s="42"/>
      <c r="L7" s="42"/>
      <c r="M7" s="42"/>
      <c r="N7" s="42"/>
      <c r="O7" s="43"/>
    </row>
    <row r="8" spans="2:16">
      <c r="B8" s="49" t="s">
        <v>80</v>
      </c>
      <c r="C8" s="46"/>
      <c r="D8" s="46"/>
      <c r="E8" s="46">
        <f t="shared" si="0"/>
        <v>0</v>
      </c>
      <c r="F8" s="46"/>
      <c r="G8" s="46"/>
      <c r="H8" s="46">
        <f t="shared" si="1"/>
        <v>0</v>
      </c>
      <c r="I8" s="46"/>
      <c r="J8" s="46"/>
      <c r="K8" s="46">
        <v>0</v>
      </c>
      <c r="L8" s="46">
        <v>0</v>
      </c>
      <c r="M8" s="46">
        <v>0</v>
      </c>
      <c r="N8" s="46">
        <v>0</v>
      </c>
      <c r="O8" s="47">
        <v>0</v>
      </c>
    </row>
    <row r="9" spans="2:16">
      <c r="B9" s="50" t="s">
        <v>197</v>
      </c>
      <c r="C9" s="46">
        <v>0</v>
      </c>
      <c r="D9" s="46"/>
      <c r="E9" s="46"/>
      <c r="F9" s="46"/>
      <c r="G9" s="46"/>
      <c r="H9" s="46"/>
      <c r="I9" s="46"/>
      <c r="J9" s="46"/>
      <c r="K9" s="46"/>
      <c r="L9" s="46">
        <v>59944</v>
      </c>
      <c r="M9" s="106">
        <f>'Revenue Estimates'!C22</f>
        <v>36972</v>
      </c>
      <c r="N9" s="106">
        <f>'Revenue Estimates'!D22</f>
        <v>33180</v>
      </c>
      <c r="O9" s="107">
        <f>'Revenue Estimates'!E22</f>
        <v>33180</v>
      </c>
    </row>
    <row r="10" spans="2:16">
      <c r="B10" s="50" t="s">
        <v>198</v>
      </c>
      <c r="C10" s="46">
        <v>0</v>
      </c>
      <c r="D10" s="46"/>
      <c r="E10" s="46"/>
      <c r="F10" s="46"/>
      <c r="G10" s="46"/>
      <c r="H10" s="46"/>
      <c r="I10" s="46"/>
      <c r="J10" s="46"/>
      <c r="K10" s="46"/>
      <c r="L10" s="46">
        <v>42486</v>
      </c>
      <c r="M10" s="106">
        <f>'Revenue Estimates'!C26</f>
        <v>26544</v>
      </c>
      <c r="N10" s="106">
        <f>'Revenue Estimates'!D26</f>
        <v>26544</v>
      </c>
      <c r="O10" s="107">
        <f>'Revenue Estimates'!E26</f>
        <v>26544</v>
      </c>
    </row>
    <row r="11" spans="2:16">
      <c r="B11" s="50" t="s">
        <v>199</v>
      </c>
      <c r="C11" s="46">
        <v>0</v>
      </c>
      <c r="D11" s="46"/>
      <c r="E11" s="46"/>
      <c r="F11" s="46"/>
      <c r="G11" s="46"/>
      <c r="H11" s="46"/>
      <c r="I11" s="46"/>
      <c r="J11" s="46"/>
      <c r="K11" s="46"/>
      <c r="L11" s="46">
        <v>19306</v>
      </c>
      <c r="M11" s="106">
        <f>'Revenue Estimates'!C30</f>
        <v>19200</v>
      </c>
      <c r="N11" s="106">
        <f>'Revenue Estimates'!D30</f>
        <v>19200</v>
      </c>
      <c r="O11" s="107">
        <f>'Revenue Estimates'!E30</f>
        <v>19200</v>
      </c>
    </row>
    <row r="12" spans="2:16">
      <c r="B12" s="54" t="s">
        <v>81</v>
      </c>
      <c r="C12" s="51">
        <f t="shared" ref="C12:I12" si="2">SUM(C9:C11)</f>
        <v>0</v>
      </c>
      <c r="D12" s="51">
        <v>138073</v>
      </c>
      <c r="E12" s="51">
        <f t="shared" si="0"/>
        <v>138073</v>
      </c>
      <c r="F12" s="51">
        <f t="shared" si="2"/>
        <v>0</v>
      </c>
      <c r="G12" s="51">
        <v>118901</v>
      </c>
      <c r="H12" s="51">
        <f t="shared" si="1"/>
        <v>118901</v>
      </c>
      <c r="I12" s="51">
        <f t="shared" si="2"/>
        <v>0</v>
      </c>
      <c r="J12" s="51">
        <v>77397</v>
      </c>
      <c r="K12" s="51">
        <f t="shared" ref="K12" si="3">I12+J12</f>
        <v>77397</v>
      </c>
      <c r="L12" s="51">
        <f>SUM(L9:L11)</f>
        <v>121736</v>
      </c>
      <c r="M12" s="108">
        <f>SUM(M9:M11)</f>
        <v>82716</v>
      </c>
      <c r="N12" s="108">
        <f t="shared" ref="N12:O12" si="4">SUM(N9:N11)</f>
        <v>78924</v>
      </c>
      <c r="O12" s="109">
        <f t="shared" si="4"/>
        <v>78924</v>
      </c>
    </row>
    <row r="13" spans="2:16">
      <c r="B13" s="53" t="s">
        <v>201</v>
      </c>
      <c r="C13" s="42"/>
      <c r="D13" s="42"/>
      <c r="E13" s="42"/>
      <c r="F13" s="42"/>
      <c r="G13" s="42"/>
      <c r="H13" s="42"/>
      <c r="I13" s="42"/>
      <c r="J13" s="42"/>
      <c r="K13" s="42"/>
      <c r="L13" s="42"/>
      <c r="M13" s="42"/>
      <c r="N13" s="42"/>
      <c r="O13" s="43"/>
    </row>
    <row r="14" spans="2:16">
      <c r="B14" s="50" t="s">
        <v>80</v>
      </c>
      <c r="C14" s="46"/>
      <c r="D14" s="46"/>
      <c r="E14" s="46"/>
      <c r="F14" s="46"/>
      <c r="G14" s="46"/>
      <c r="H14" s="46"/>
      <c r="I14" s="46"/>
      <c r="J14" s="46"/>
      <c r="K14" s="46"/>
      <c r="L14" s="160"/>
      <c r="M14" s="195">
        <v>25000</v>
      </c>
      <c r="N14" s="195">
        <v>25000</v>
      </c>
      <c r="O14" s="196">
        <v>25000</v>
      </c>
      <c r="P14" s="145" t="s">
        <v>219</v>
      </c>
    </row>
    <row r="15" spans="2:16">
      <c r="B15" s="50" t="s">
        <v>16</v>
      </c>
      <c r="C15" s="46"/>
      <c r="D15" s="46"/>
      <c r="E15" s="46"/>
      <c r="F15" s="46"/>
      <c r="G15" s="46"/>
      <c r="H15" s="46"/>
      <c r="I15" s="46"/>
      <c r="J15" s="46"/>
      <c r="K15" s="46"/>
      <c r="L15" s="46">
        <v>63360</v>
      </c>
      <c r="M15" s="46"/>
      <c r="N15" s="46"/>
      <c r="O15" s="47"/>
    </row>
    <row r="16" spans="2:16">
      <c r="B16" s="50" t="s">
        <v>17</v>
      </c>
      <c r="C16" s="46"/>
      <c r="D16" s="46"/>
      <c r="E16" s="46"/>
      <c r="F16" s="46"/>
      <c r="G16" s="46"/>
      <c r="H16" s="46"/>
      <c r="I16" s="46"/>
      <c r="J16" s="46"/>
      <c r="K16" s="46"/>
      <c r="L16" s="46">
        <v>186640</v>
      </c>
      <c r="M16" s="46"/>
      <c r="N16" s="46"/>
      <c r="O16" s="47"/>
    </row>
    <row r="17" spans="2:16">
      <c r="B17" s="50" t="s">
        <v>163</v>
      </c>
      <c r="C17" s="46"/>
      <c r="D17" s="46"/>
      <c r="E17" s="46"/>
      <c r="F17" s="46"/>
      <c r="G17" s="46"/>
      <c r="H17" s="46"/>
      <c r="I17" s="46"/>
      <c r="J17" s="46"/>
      <c r="K17" s="46"/>
      <c r="L17" s="46"/>
      <c r="M17" s="46"/>
      <c r="N17" s="46"/>
      <c r="O17" s="47"/>
    </row>
    <row r="18" spans="2:16" s="2" customFormat="1">
      <c r="B18" s="54" t="s">
        <v>196</v>
      </c>
      <c r="C18" s="51">
        <v>193498</v>
      </c>
      <c r="D18" s="51">
        <f t="shared" ref="D18:J18" si="5">SUM(D15:D16)</f>
        <v>0</v>
      </c>
      <c r="E18" s="51">
        <f t="shared" si="0"/>
        <v>193498</v>
      </c>
      <c r="F18" s="51">
        <v>251506</v>
      </c>
      <c r="G18" s="51"/>
      <c r="H18" s="51">
        <f t="shared" si="1"/>
        <v>251506</v>
      </c>
      <c r="I18" s="51">
        <v>322694</v>
      </c>
      <c r="J18" s="51">
        <f t="shared" si="5"/>
        <v>0</v>
      </c>
      <c r="K18" s="51">
        <f t="shared" ref="K18:K20" si="6">I18+J18</f>
        <v>322694</v>
      </c>
      <c r="L18" s="51">
        <f>SUM(L15:L16)</f>
        <v>250000</v>
      </c>
      <c r="M18" s="110">
        <f>'Revenue Estimates'!C16+M14</f>
        <v>381376</v>
      </c>
      <c r="N18" s="110">
        <f>'Revenue Estimates'!D16+N14</f>
        <v>348300.4</v>
      </c>
      <c r="O18" s="111">
        <f>'Revenue Estimates'!E16+O14</f>
        <v>348300.4</v>
      </c>
      <c r="P18" s="146"/>
    </row>
    <row r="19" spans="2:16">
      <c r="B19" s="49" t="s">
        <v>191</v>
      </c>
      <c r="C19" s="46">
        <v>25000</v>
      </c>
      <c r="D19" s="46">
        <v>818857</v>
      </c>
      <c r="E19" s="80">
        <f t="shared" si="0"/>
        <v>843857</v>
      </c>
      <c r="F19" s="46"/>
      <c r="G19" s="46"/>
      <c r="H19" s="46">
        <f t="shared" si="1"/>
        <v>0</v>
      </c>
      <c r="I19" s="46"/>
      <c r="J19" s="46"/>
      <c r="K19" s="46">
        <f t="shared" si="6"/>
        <v>0</v>
      </c>
      <c r="L19" s="46"/>
      <c r="M19" s="46">
        <v>0</v>
      </c>
      <c r="N19" s="46">
        <v>0</v>
      </c>
      <c r="O19" s="47">
        <v>0</v>
      </c>
    </row>
    <row r="20" spans="2:16">
      <c r="B20" s="49" t="s">
        <v>82</v>
      </c>
      <c r="C20" s="46">
        <v>55</v>
      </c>
      <c r="D20" s="46">
        <v>89</v>
      </c>
      <c r="E20" s="46">
        <f t="shared" si="0"/>
        <v>144</v>
      </c>
      <c r="F20" s="46">
        <v>15</v>
      </c>
      <c r="G20" s="46">
        <f>8140+508</f>
        <v>8648</v>
      </c>
      <c r="H20" s="46">
        <f t="shared" si="1"/>
        <v>8663</v>
      </c>
      <c r="I20" s="46">
        <v>6</v>
      </c>
      <c r="J20" s="46">
        <v>30</v>
      </c>
      <c r="K20" s="46">
        <f t="shared" si="6"/>
        <v>36</v>
      </c>
      <c r="L20" s="46"/>
      <c r="M20" s="46">
        <v>0</v>
      </c>
      <c r="N20" s="46">
        <v>0</v>
      </c>
      <c r="O20" s="47">
        <v>0</v>
      </c>
    </row>
    <row r="21" spans="2:16" s="2" customFormat="1">
      <c r="B21" s="55" t="s">
        <v>202</v>
      </c>
      <c r="C21" s="51">
        <f t="shared" ref="C21:K21" si="7">SUM(C18,C12,C6,C8,C19,C20)</f>
        <v>804753</v>
      </c>
      <c r="D21" s="51">
        <f t="shared" si="7"/>
        <v>957019</v>
      </c>
      <c r="E21" s="51">
        <f t="shared" si="0"/>
        <v>1761772</v>
      </c>
      <c r="F21" s="51">
        <f t="shared" si="7"/>
        <v>251521</v>
      </c>
      <c r="G21" s="51">
        <f t="shared" si="7"/>
        <v>142549</v>
      </c>
      <c r="H21" s="51">
        <f t="shared" si="7"/>
        <v>394070</v>
      </c>
      <c r="I21" s="51">
        <f t="shared" si="7"/>
        <v>322700</v>
      </c>
      <c r="J21" s="51">
        <f t="shared" si="7"/>
        <v>77427</v>
      </c>
      <c r="K21" s="51">
        <f t="shared" si="7"/>
        <v>400127</v>
      </c>
      <c r="L21" s="51">
        <f>SUM(L18,L12,L6,L8,L19,L20)</f>
        <v>371736</v>
      </c>
      <c r="M21" s="110">
        <f>SUM(M18,M12,M6,M8,M19,M20)</f>
        <v>464092</v>
      </c>
      <c r="N21" s="108">
        <f t="shared" ref="N21:O21" si="8">SUM(N18,N12,N6,N8,N19,N20)</f>
        <v>427224.4</v>
      </c>
      <c r="O21" s="109">
        <f t="shared" si="8"/>
        <v>427224.4</v>
      </c>
      <c r="P21" s="146"/>
    </row>
    <row r="22" spans="2:16" s="2" customFormat="1">
      <c r="B22" s="137" t="s">
        <v>18</v>
      </c>
      <c r="C22" s="51">
        <f t="shared" ref="C22" si="9">C21</f>
        <v>804753</v>
      </c>
      <c r="D22" s="51">
        <f t="shared" ref="D22" si="10">D21</f>
        <v>957019</v>
      </c>
      <c r="E22" s="51">
        <f t="shared" ref="E22" si="11">E21</f>
        <v>1761772</v>
      </c>
      <c r="F22" s="51">
        <f t="shared" ref="F22" si="12">F21</f>
        <v>251521</v>
      </c>
      <c r="G22" s="51">
        <f>G21</f>
        <v>142549</v>
      </c>
      <c r="H22" s="51">
        <f t="shared" ref="H22:K22" si="13">H21</f>
        <v>394070</v>
      </c>
      <c r="I22" s="51">
        <f t="shared" si="13"/>
        <v>322700</v>
      </c>
      <c r="J22" s="51">
        <f t="shared" si="13"/>
        <v>77427</v>
      </c>
      <c r="K22" s="51">
        <f t="shared" si="13"/>
        <v>400127</v>
      </c>
      <c r="L22" s="51">
        <f>L21</f>
        <v>371736</v>
      </c>
      <c r="M22" s="108">
        <f>M21</f>
        <v>464092</v>
      </c>
      <c r="N22" s="108">
        <f t="shared" ref="N22:O22" si="14">N21</f>
        <v>427224.4</v>
      </c>
      <c r="O22" s="109">
        <f t="shared" si="14"/>
        <v>427224.4</v>
      </c>
      <c r="P22" s="146"/>
    </row>
    <row r="23" spans="2:16">
      <c r="B23" s="44" t="s">
        <v>3</v>
      </c>
      <c r="C23" s="42"/>
      <c r="D23" s="42"/>
      <c r="E23" s="42">
        <f t="shared" si="0"/>
        <v>0</v>
      </c>
      <c r="F23" s="42"/>
      <c r="G23" s="42"/>
      <c r="H23" s="42">
        <f t="shared" si="1"/>
        <v>0</v>
      </c>
      <c r="I23" s="42"/>
      <c r="J23" s="42"/>
      <c r="K23" s="42"/>
      <c r="L23" s="42"/>
      <c r="M23" s="42"/>
      <c r="N23" s="42"/>
      <c r="O23" s="43"/>
    </row>
    <row r="24" spans="2:16">
      <c r="B24" s="45" t="s">
        <v>19</v>
      </c>
      <c r="C24" s="46">
        <v>360</v>
      </c>
      <c r="D24" s="46">
        <v>320</v>
      </c>
      <c r="E24" s="46">
        <f t="shared" si="0"/>
        <v>680</v>
      </c>
      <c r="F24" s="46"/>
      <c r="G24" s="46">
        <v>500</v>
      </c>
      <c r="H24" s="46">
        <f t="shared" si="1"/>
        <v>500</v>
      </c>
      <c r="I24" s="46"/>
      <c r="J24" s="46"/>
      <c r="K24" s="46">
        <f t="shared" ref="K24:K35" si="15">I24+J24</f>
        <v>0</v>
      </c>
      <c r="L24" s="46">
        <v>64</v>
      </c>
      <c r="M24" s="46">
        <v>500</v>
      </c>
      <c r="N24" s="46">
        <v>500</v>
      </c>
      <c r="O24" s="47">
        <v>500</v>
      </c>
    </row>
    <row r="25" spans="2:16">
      <c r="B25" s="45" t="s">
        <v>20</v>
      </c>
      <c r="C25" s="46"/>
      <c r="D25" s="46"/>
      <c r="E25" s="46">
        <f t="shared" si="0"/>
        <v>0</v>
      </c>
      <c r="F25" s="46"/>
      <c r="G25" s="46"/>
      <c r="H25" s="46">
        <f t="shared" si="1"/>
        <v>0</v>
      </c>
      <c r="I25" s="46"/>
      <c r="J25" s="46"/>
      <c r="K25" s="46">
        <f t="shared" si="15"/>
        <v>0</v>
      </c>
      <c r="L25" s="46">
        <v>528</v>
      </c>
      <c r="M25" s="46">
        <v>500</v>
      </c>
      <c r="N25" s="46">
        <v>500</v>
      </c>
      <c r="O25" s="47">
        <v>500</v>
      </c>
    </row>
    <row r="26" spans="2:16">
      <c r="B26" s="45" t="s">
        <v>215</v>
      </c>
      <c r="C26" s="46">
        <v>6078</v>
      </c>
      <c r="D26" s="46">
        <v>3145</v>
      </c>
      <c r="E26" s="80">
        <f t="shared" si="0"/>
        <v>9223</v>
      </c>
      <c r="F26" s="80">
        <v>3035</v>
      </c>
      <c r="G26" s="80"/>
      <c r="H26" s="80">
        <f t="shared" si="1"/>
        <v>3035</v>
      </c>
      <c r="I26" s="80"/>
      <c r="J26" s="80"/>
      <c r="K26" s="80">
        <f t="shared" si="15"/>
        <v>0</v>
      </c>
      <c r="L26" s="80">
        <v>0</v>
      </c>
      <c r="M26" s="200">
        <v>6000</v>
      </c>
      <c r="N26" s="200">
        <v>6000</v>
      </c>
      <c r="O26" s="201">
        <v>6000</v>
      </c>
      <c r="P26" s="145" t="s">
        <v>220</v>
      </c>
    </row>
    <row r="27" spans="2:16">
      <c r="B27" s="45" t="s">
        <v>21</v>
      </c>
      <c r="C27" s="46">
        <v>10</v>
      </c>
      <c r="D27" s="46">
        <v>254</v>
      </c>
      <c r="E27" s="46">
        <f t="shared" si="0"/>
        <v>264</v>
      </c>
      <c r="F27" s="46">
        <v>27</v>
      </c>
      <c r="G27" s="46">
        <v>116</v>
      </c>
      <c r="H27" s="46">
        <f t="shared" si="1"/>
        <v>143</v>
      </c>
      <c r="I27" s="46"/>
      <c r="J27" s="46"/>
      <c r="K27" s="46">
        <f t="shared" si="15"/>
        <v>0</v>
      </c>
      <c r="L27" s="46">
        <v>110</v>
      </c>
      <c r="M27" s="46">
        <v>100</v>
      </c>
      <c r="N27" s="46">
        <v>100</v>
      </c>
      <c r="O27" s="47">
        <v>100</v>
      </c>
    </row>
    <row r="28" spans="2:16">
      <c r="B28" s="45" t="s">
        <v>22</v>
      </c>
      <c r="C28" s="46"/>
      <c r="D28" s="46"/>
      <c r="E28" s="46">
        <f t="shared" si="0"/>
        <v>0</v>
      </c>
      <c r="F28" s="46"/>
      <c r="G28" s="46"/>
      <c r="H28" s="46">
        <f t="shared" si="1"/>
        <v>0</v>
      </c>
      <c r="I28" s="46"/>
      <c r="J28" s="46"/>
      <c r="K28" s="46">
        <f t="shared" si="15"/>
        <v>0</v>
      </c>
      <c r="L28" s="46">
        <v>808</v>
      </c>
      <c r="M28" s="46">
        <v>800</v>
      </c>
      <c r="N28" s="46">
        <v>800</v>
      </c>
      <c r="O28" s="47">
        <v>800</v>
      </c>
    </row>
    <row r="29" spans="2:16">
      <c r="B29" s="48" t="s">
        <v>4</v>
      </c>
      <c r="C29" s="42"/>
      <c r="D29" s="42"/>
      <c r="E29" s="42"/>
      <c r="F29" s="42"/>
      <c r="G29" s="42"/>
      <c r="H29" s="42"/>
      <c r="I29" s="42"/>
      <c r="J29" s="42"/>
      <c r="K29" s="42"/>
      <c r="L29" s="42"/>
      <c r="M29" s="42"/>
      <c r="N29" s="42"/>
      <c r="O29" s="43"/>
    </row>
    <row r="30" spans="2:16">
      <c r="B30" s="49" t="s">
        <v>64</v>
      </c>
      <c r="C30" s="46"/>
      <c r="D30" s="46"/>
      <c r="E30" s="46"/>
      <c r="F30" s="46"/>
      <c r="G30" s="46"/>
      <c r="H30" s="46"/>
      <c r="I30" s="46"/>
      <c r="J30" s="46"/>
      <c r="K30" s="46"/>
      <c r="L30" s="202">
        <v>213200</v>
      </c>
      <c r="M30" s="80">
        <f>'Assumptions - DPU 3'!G5</f>
        <v>215542.35000000003</v>
      </c>
      <c r="N30" s="80">
        <f>'Assumptions - DPU 3'!H5</f>
        <v>218416.24800000002</v>
      </c>
      <c r="O30" s="141">
        <f>'Assumptions - DPU 3'!I5</f>
        <v>221290.14600000004</v>
      </c>
    </row>
    <row r="31" spans="2:16">
      <c r="B31" s="49" t="s">
        <v>23</v>
      </c>
      <c r="C31" s="46"/>
      <c r="D31" s="46"/>
      <c r="E31" s="46"/>
      <c r="F31" s="46"/>
      <c r="G31" s="46"/>
      <c r="H31" s="46"/>
      <c r="I31" s="46"/>
      <c r="J31" s="46"/>
      <c r="K31" s="46"/>
      <c r="L31" s="80">
        <v>600</v>
      </c>
      <c r="M31" s="80">
        <v>600</v>
      </c>
      <c r="N31" s="80">
        <v>600</v>
      </c>
      <c r="O31" s="141">
        <v>600</v>
      </c>
    </row>
    <row r="32" spans="2:16">
      <c r="B32" s="49" t="s">
        <v>24</v>
      </c>
      <c r="C32" s="46"/>
      <c r="D32" s="46"/>
      <c r="E32" s="46"/>
      <c r="F32" s="46"/>
      <c r="G32" s="46"/>
      <c r="H32" s="46"/>
      <c r="I32" s="46"/>
      <c r="J32" s="46"/>
      <c r="K32" s="46"/>
      <c r="L32" s="80">
        <v>3500</v>
      </c>
      <c r="M32" s="80">
        <v>3500</v>
      </c>
      <c r="N32" s="80">
        <v>3500</v>
      </c>
      <c r="O32" s="141">
        <v>3500</v>
      </c>
    </row>
    <row r="33" spans="2:16">
      <c r="B33" s="49" t="s">
        <v>216</v>
      </c>
      <c r="C33" s="46"/>
      <c r="D33" s="46"/>
      <c r="E33" s="46"/>
      <c r="F33" s="46"/>
      <c r="G33" s="46"/>
      <c r="H33" s="46"/>
      <c r="I33" s="46"/>
      <c r="J33" s="46"/>
      <c r="K33" s="46"/>
      <c r="L33" s="80">
        <v>0</v>
      </c>
      <c r="M33" s="80"/>
      <c r="N33" s="80"/>
      <c r="O33" s="141"/>
    </row>
    <row r="34" spans="2:16">
      <c r="B34" s="49" t="s">
        <v>25</v>
      </c>
      <c r="C34" s="46"/>
      <c r="D34" s="46"/>
      <c r="E34" s="46"/>
      <c r="F34" s="46"/>
      <c r="G34" s="46"/>
      <c r="H34" s="46"/>
      <c r="I34" s="46"/>
      <c r="J34" s="46"/>
      <c r="K34" s="46"/>
      <c r="L34" s="80">
        <v>4000</v>
      </c>
      <c r="M34" s="80">
        <v>4000</v>
      </c>
      <c r="N34" s="80">
        <v>4000</v>
      </c>
      <c r="O34" s="141">
        <v>4000</v>
      </c>
    </row>
    <row r="35" spans="2:16" s="2" customFormat="1">
      <c r="B35" s="57" t="s">
        <v>26</v>
      </c>
      <c r="C35" s="51">
        <v>175511</v>
      </c>
      <c r="D35" s="51">
        <f t="shared" ref="D35:J35" si="16">SUM(D30:D34)</f>
        <v>0</v>
      </c>
      <c r="E35" s="170">
        <f t="shared" si="0"/>
        <v>175511</v>
      </c>
      <c r="F35" s="170">
        <v>229678</v>
      </c>
      <c r="G35" s="170"/>
      <c r="H35" s="170">
        <f t="shared" si="1"/>
        <v>229678</v>
      </c>
      <c r="I35" s="170">
        <v>263629</v>
      </c>
      <c r="J35" s="170">
        <f t="shared" si="16"/>
        <v>0</v>
      </c>
      <c r="K35" s="170">
        <f t="shared" si="15"/>
        <v>263629</v>
      </c>
      <c r="L35" s="170">
        <f>SUM(L30:L34)</f>
        <v>221300</v>
      </c>
      <c r="M35" s="170">
        <f>SUM(M30:M34)</f>
        <v>223642.35000000003</v>
      </c>
      <c r="N35" s="170">
        <f t="shared" ref="N35:O35" si="17">SUM(N30:N34)</f>
        <v>226516.24800000002</v>
      </c>
      <c r="O35" s="197">
        <f t="shared" si="17"/>
        <v>229390.14600000004</v>
      </c>
      <c r="P35" s="146"/>
    </row>
    <row r="36" spans="2:16">
      <c r="B36" s="48" t="s">
        <v>5</v>
      </c>
      <c r="C36" s="42"/>
      <c r="D36" s="42"/>
      <c r="E36" s="42"/>
      <c r="F36" s="42"/>
      <c r="G36" s="42"/>
      <c r="H36" s="42"/>
      <c r="I36" s="42"/>
      <c r="J36" s="42"/>
      <c r="K36" s="42"/>
      <c r="L36" s="42"/>
      <c r="M36" s="42"/>
      <c r="N36" s="42"/>
      <c r="O36" s="43"/>
    </row>
    <row r="37" spans="2:16">
      <c r="B37" s="49" t="s">
        <v>27</v>
      </c>
      <c r="C37" s="46">
        <v>9750</v>
      </c>
      <c r="D37" s="46">
        <v>2789</v>
      </c>
      <c r="E37" s="46">
        <f t="shared" si="0"/>
        <v>12539</v>
      </c>
      <c r="F37" s="46">
        <v>9750</v>
      </c>
      <c r="G37" s="46">
        <v>3189</v>
      </c>
      <c r="H37" s="46">
        <f t="shared" si="1"/>
        <v>12939</v>
      </c>
      <c r="I37" s="46">
        <v>12413</v>
      </c>
      <c r="J37" s="46"/>
      <c r="K37" s="46"/>
      <c r="L37" s="46">
        <v>12940</v>
      </c>
      <c r="M37" s="46">
        <v>12940</v>
      </c>
      <c r="N37" s="46">
        <v>12940</v>
      </c>
      <c r="O37" s="47">
        <v>12940</v>
      </c>
    </row>
    <row r="38" spans="2:16" s="2" customFormat="1">
      <c r="B38" s="57" t="s">
        <v>28</v>
      </c>
      <c r="C38" s="51">
        <f t="shared" ref="C38:K38" si="18">C37</f>
        <v>9750</v>
      </c>
      <c r="D38" s="51">
        <f t="shared" si="18"/>
        <v>2789</v>
      </c>
      <c r="E38" s="51">
        <f t="shared" si="18"/>
        <v>12539</v>
      </c>
      <c r="F38" s="51">
        <f t="shared" si="18"/>
        <v>9750</v>
      </c>
      <c r="G38" s="51">
        <f t="shared" si="18"/>
        <v>3189</v>
      </c>
      <c r="H38" s="51">
        <f t="shared" si="18"/>
        <v>12939</v>
      </c>
      <c r="I38" s="51">
        <f t="shared" si="18"/>
        <v>12413</v>
      </c>
      <c r="J38" s="51">
        <f t="shared" si="18"/>
        <v>0</v>
      </c>
      <c r="K38" s="51">
        <f t="shared" si="18"/>
        <v>0</v>
      </c>
      <c r="L38" s="51">
        <f>L37</f>
        <v>12940</v>
      </c>
      <c r="M38" s="108">
        <f>M37</f>
        <v>12940</v>
      </c>
      <c r="N38" s="108">
        <f t="shared" ref="N38:O38" si="19">N37</f>
        <v>12940</v>
      </c>
      <c r="O38" s="197">
        <f t="shared" si="19"/>
        <v>12940</v>
      </c>
      <c r="P38" s="146"/>
    </row>
    <row r="39" spans="2:16">
      <c r="B39" s="45" t="s">
        <v>124</v>
      </c>
      <c r="C39" s="46"/>
      <c r="D39" s="46"/>
      <c r="E39" s="46">
        <f t="shared" si="0"/>
        <v>0</v>
      </c>
      <c r="F39" s="46">
        <v>115</v>
      </c>
      <c r="G39" s="46"/>
      <c r="H39" s="46">
        <f t="shared" si="1"/>
        <v>115</v>
      </c>
      <c r="I39" s="46"/>
      <c r="J39" s="46"/>
      <c r="K39" s="46">
        <f t="shared" ref="K39:K46" si="20">I39+J39</f>
        <v>0</v>
      </c>
      <c r="L39" s="46">
        <v>0</v>
      </c>
      <c r="M39" s="80">
        <v>0</v>
      </c>
      <c r="N39" s="80">
        <v>0</v>
      </c>
      <c r="O39" s="141">
        <v>0</v>
      </c>
    </row>
    <row r="40" spans="2:16">
      <c r="B40" s="45" t="s">
        <v>125</v>
      </c>
      <c r="C40" s="46"/>
      <c r="D40" s="46"/>
      <c r="E40" s="46">
        <f t="shared" si="0"/>
        <v>0</v>
      </c>
      <c r="F40" s="46"/>
      <c r="G40" s="46"/>
      <c r="H40" s="46">
        <f t="shared" si="1"/>
        <v>0</v>
      </c>
      <c r="I40" s="46"/>
      <c r="J40" s="46"/>
      <c r="K40" s="46">
        <f t="shared" si="20"/>
        <v>0</v>
      </c>
      <c r="L40" s="46">
        <v>0</v>
      </c>
      <c r="M40" s="80">
        <v>0</v>
      </c>
      <c r="N40" s="80">
        <v>0</v>
      </c>
      <c r="O40" s="141">
        <v>0</v>
      </c>
    </row>
    <row r="41" spans="2:16">
      <c r="B41" s="45" t="s">
        <v>29</v>
      </c>
      <c r="C41" s="46">
        <v>600</v>
      </c>
      <c r="D41" s="46"/>
      <c r="E41" s="46">
        <f t="shared" si="0"/>
        <v>600</v>
      </c>
      <c r="F41" s="46">
        <v>5482</v>
      </c>
      <c r="G41" s="46"/>
      <c r="H41" s="46">
        <f t="shared" si="1"/>
        <v>5482</v>
      </c>
      <c r="I41" s="46"/>
      <c r="J41" s="46"/>
      <c r="K41" s="46">
        <f t="shared" si="20"/>
        <v>0</v>
      </c>
      <c r="L41" s="46">
        <v>1070</v>
      </c>
      <c r="M41" s="46">
        <v>1000</v>
      </c>
      <c r="N41" s="46">
        <v>1000</v>
      </c>
      <c r="O41" s="47">
        <v>1000</v>
      </c>
    </row>
    <row r="42" spans="2:16">
      <c r="B42" s="45" t="s">
        <v>126</v>
      </c>
      <c r="C42" s="46"/>
      <c r="D42" s="46"/>
      <c r="E42" s="46">
        <f t="shared" si="0"/>
        <v>0</v>
      </c>
      <c r="F42" s="46"/>
      <c r="G42" s="46"/>
      <c r="H42" s="46">
        <f t="shared" si="1"/>
        <v>0</v>
      </c>
      <c r="I42" s="46"/>
      <c r="J42" s="46"/>
      <c r="K42" s="46">
        <f t="shared" si="20"/>
        <v>0</v>
      </c>
      <c r="L42" s="46">
        <v>0</v>
      </c>
      <c r="M42" s="46">
        <v>0</v>
      </c>
      <c r="N42" s="46">
        <v>0</v>
      </c>
      <c r="O42" s="47">
        <v>0</v>
      </c>
    </row>
    <row r="43" spans="2:16">
      <c r="B43" s="45" t="s">
        <v>6</v>
      </c>
      <c r="C43" s="46"/>
      <c r="D43" s="46"/>
      <c r="E43" s="46">
        <f t="shared" si="0"/>
        <v>0</v>
      </c>
      <c r="F43" s="46"/>
      <c r="G43" s="46"/>
      <c r="H43" s="46">
        <f t="shared" si="1"/>
        <v>0</v>
      </c>
      <c r="I43" s="46"/>
      <c r="J43" s="46"/>
      <c r="K43" s="46">
        <f t="shared" si="20"/>
        <v>0</v>
      </c>
      <c r="L43" s="46"/>
      <c r="M43" s="46">
        <v>0</v>
      </c>
      <c r="N43" s="46">
        <v>0</v>
      </c>
      <c r="O43" s="47">
        <v>0</v>
      </c>
    </row>
    <row r="44" spans="2:16">
      <c r="B44" s="49" t="s">
        <v>30</v>
      </c>
      <c r="C44" s="46"/>
      <c r="D44" s="46"/>
      <c r="E44" s="46">
        <f t="shared" si="0"/>
        <v>0</v>
      </c>
      <c r="F44" s="160"/>
      <c r="G44" s="160"/>
      <c r="H44" s="160">
        <f t="shared" si="1"/>
        <v>0</v>
      </c>
      <c r="I44" s="46"/>
      <c r="J44" s="46"/>
      <c r="K44" s="46">
        <f t="shared" si="20"/>
        <v>0</v>
      </c>
      <c r="L44" s="46">
        <v>500</v>
      </c>
      <c r="M44" s="46">
        <v>500</v>
      </c>
      <c r="N44" s="46">
        <v>500</v>
      </c>
      <c r="O44" s="47">
        <v>500</v>
      </c>
    </row>
    <row r="45" spans="2:16">
      <c r="B45" s="49" t="s">
        <v>31</v>
      </c>
      <c r="C45" s="46">
        <v>322</v>
      </c>
      <c r="D45" s="46"/>
      <c r="E45" s="46">
        <f t="shared" si="0"/>
        <v>322</v>
      </c>
      <c r="F45" s="182">
        <v>404</v>
      </c>
      <c r="G45" s="182"/>
      <c r="H45" s="182">
        <f t="shared" si="1"/>
        <v>404</v>
      </c>
      <c r="I45" s="46"/>
      <c r="J45" s="46"/>
      <c r="K45" s="46">
        <f t="shared" si="20"/>
        <v>0</v>
      </c>
      <c r="L45" s="46">
        <v>672</v>
      </c>
      <c r="M45" s="46">
        <v>750</v>
      </c>
      <c r="N45" s="46">
        <v>750</v>
      </c>
      <c r="O45" s="47">
        <v>750</v>
      </c>
    </row>
    <row r="46" spans="2:16">
      <c r="B46" s="49" t="s">
        <v>127</v>
      </c>
      <c r="C46" s="46">
        <v>1747</v>
      </c>
      <c r="D46" s="46">
        <v>1981</v>
      </c>
      <c r="E46" s="46">
        <f t="shared" si="0"/>
        <v>3728</v>
      </c>
      <c r="F46" s="182">
        <v>1431</v>
      </c>
      <c r="G46" s="182">
        <v>1029</v>
      </c>
      <c r="H46" s="182">
        <f t="shared" si="1"/>
        <v>2460</v>
      </c>
      <c r="I46" s="46">
        <v>10624</v>
      </c>
      <c r="J46" s="46">
        <v>2472</v>
      </c>
      <c r="K46" s="46">
        <f t="shared" si="20"/>
        <v>13096</v>
      </c>
      <c r="L46" s="46">
        <v>0</v>
      </c>
      <c r="M46" s="46">
        <v>0</v>
      </c>
      <c r="N46" s="46">
        <v>0</v>
      </c>
      <c r="O46" s="47">
        <v>0</v>
      </c>
    </row>
    <row r="47" spans="2:16" s="2" customFormat="1">
      <c r="B47" s="57" t="s">
        <v>32</v>
      </c>
      <c r="C47" s="51">
        <f t="shared" ref="C47:K47" si="21">SUM(C44:C46)</f>
        <v>2069</v>
      </c>
      <c r="D47" s="51">
        <f t="shared" si="21"/>
        <v>1981</v>
      </c>
      <c r="E47" s="51">
        <f t="shared" si="21"/>
        <v>4050</v>
      </c>
      <c r="F47" s="183">
        <f t="shared" si="21"/>
        <v>1835</v>
      </c>
      <c r="G47" s="183">
        <f t="shared" si="21"/>
        <v>1029</v>
      </c>
      <c r="H47" s="183">
        <f t="shared" si="21"/>
        <v>2864</v>
      </c>
      <c r="I47" s="51">
        <f t="shared" si="21"/>
        <v>10624</v>
      </c>
      <c r="J47" s="51">
        <f t="shared" si="21"/>
        <v>2472</v>
      </c>
      <c r="K47" s="51">
        <f t="shared" si="21"/>
        <v>13096</v>
      </c>
      <c r="L47" s="51">
        <f>SUM(L44:L46)</f>
        <v>1172</v>
      </c>
      <c r="M47" s="108">
        <f>SUM(M44:M46)</f>
        <v>1250</v>
      </c>
      <c r="N47" s="108">
        <f t="shared" ref="N47:O47" si="22">SUM(N44:N46)</f>
        <v>1250</v>
      </c>
      <c r="O47" s="109">
        <f t="shared" si="22"/>
        <v>1250</v>
      </c>
      <c r="P47" s="146"/>
    </row>
    <row r="48" spans="2:16">
      <c r="B48" s="45" t="s">
        <v>15</v>
      </c>
      <c r="C48" s="46"/>
      <c r="D48" s="46"/>
      <c r="E48" s="46"/>
      <c r="F48" s="182"/>
      <c r="G48" s="182">
        <v>6323</v>
      </c>
      <c r="H48" s="182">
        <f>+G48</f>
        <v>6323</v>
      </c>
      <c r="I48" s="46">
        <v>3837</v>
      </c>
      <c r="J48" s="46"/>
      <c r="K48" s="46">
        <f t="shared" ref="K48:K56" si="23">I48+J48</f>
        <v>3837</v>
      </c>
      <c r="L48" s="46">
        <v>0</v>
      </c>
      <c r="M48" s="46">
        <v>0</v>
      </c>
      <c r="N48" s="46">
        <v>0</v>
      </c>
      <c r="O48" s="47">
        <v>0</v>
      </c>
    </row>
    <row r="49" spans="2:16">
      <c r="B49" s="48" t="s">
        <v>7</v>
      </c>
      <c r="C49" s="42"/>
      <c r="D49" s="42"/>
      <c r="E49" s="42"/>
      <c r="F49" s="42"/>
      <c r="G49" s="42"/>
      <c r="H49" s="42"/>
      <c r="I49" s="42"/>
      <c r="J49" s="42"/>
      <c r="K49" s="42"/>
      <c r="L49" s="42"/>
      <c r="M49" s="42"/>
      <c r="N49" s="42"/>
      <c r="O49" s="43"/>
    </row>
    <row r="50" spans="2:16">
      <c r="B50" s="49" t="s">
        <v>33</v>
      </c>
      <c r="C50" s="46"/>
      <c r="D50" s="46"/>
      <c r="E50" s="46">
        <f t="shared" si="0"/>
        <v>0</v>
      </c>
      <c r="F50" s="46"/>
      <c r="G50" s="46"/>
      <c r="H50" s="46">
        <f t="shared" si="1"/>
        <v>0</v>
      </c>
      <c r="I50" s="46"/>
      <c r="J50" s="46"/>
      <c r="K50" s="46">
        <f t="shared" si="23"/>
        <v>0</v>
      </c>
      <c r="L50" s="46">
        <v>492</v>
      </c>
      <c r="M50" s="46">
        <v>500</v>
      </c>
      <c r="N50" s="46">
        <v>500</v>
      </c>
      <c r="O50" s="47">
        <v>500</v>
      </c>
    </row>
    <row r="51" spans="2:16">
      <c r="B51" s="49" t="s">
        <v>34</v>
      </c>
      <c r="C51" s="46"/>
      <c r="D51" s="46"/>
      <c r="E51" s="46">
        <f t="shared" si="0"/>
        <v>0</v>
      </c>
      <c r="F51" s="46"/>
      <c r="G51" s="46"/>
      <c r="H51" s="46">
        <f t="shared" si="1"/>
        <v>0</v>
      </c>
      <c r="I51" s="46"/>
      <c r="J51" s="46"/>
      <c r="K51" s="46">
        <f t="shared" si="23"/>
        <v>0</v>
      </c>
      <c r="L51" s="46">
        <v>1826</v>
      </c>
      <c r="M51" s="46">
        <v>2000</v>
      </c>
      <c r="N51" s="46">
        <v>2000</v>
      </c>
      <c r="O51" s="47">
        <v>2000</v>
      </c>
    </row>
    <row r="52" spans="2:16">
      <c r="B52" s="49" t="s">
        <v>35</v>
      </c>
      <c r="C52" s="46"/>
      <c r="D52" s="46"/>
      <c r="E52" s="46">
        <f t="shared" si="0"/>
        <v>0</v>
      </c>
      <c r="F52" s="46"/>
      <c r="G52" s="46"/>
      <c r="H52" s="46">
        <f t="shared" si="1"/>
        <v>0</v>
      </c>
      <c r="I52" s="46"/>
      <c r="J52" s="46"/>
      <c r="K52" s="46">
        <f t="shared" si="23"/>
        <v>0</v>
      </c>
      <c r="L52" s="80">
        <v>1306</v>
      </c>
      <c r="M52" s="80">
        <v>1500</v>
      </c>
      <c r="N52" s="80">
        <v>1500</v>
      </c>
      <c r="O52" s="141">
        <v>1500</v>
      </c>
    </row>
    <row r="53" spans="2:16">
      <c r="B53" s="49" t="s">
        <v>36</v>
      </c>
      <c r="C53" s="46"/>
      <c r="D53" s="46">
        <v>8950</v>
      </c>
      <c r="E53" s="46">
        <f t="shared" si="0"/>
        <v>8950</v>
      </c>
      <c r="F53" s="46"/>
      <c r="G53" s="46"/>
      <c r="H53" s="46">
        <f>F53+G53</f>
        <v>0</v>
      </c>
      <c r="I53" s="46"/>
      <c r="J53" s="46"/>
      <c r="K53" s="46">
        <f t="shared" si="23"/>
        <v>0</v>
      </c>
      <c r="L53" s="80">
        <v>15360</v>
      </c>
      <c r="M53" s="80">
        <v>15500</v>
      </c>
      <c r="N53" s="80">
        <v>16000</v>
      </c>
      <c r="O53" s="141">
        <v>16500</v>
      </c>
      <c r="P53" s="145" t="s">
        <v>221</v>
      </c>
    </row>
    <row r="54" spans="2:16">
      <c r="B54" s="49" t="s">
        <v>88</v>
      </c>
      <c r="C54" s="46"/>
      <c r="D54" s="46"/>
      <c r="E54" s="46"/>
      <c r="F54" s="46"/>
      <c r="G54" s="46">
        <v>5000</v>
      </c>
      <c r="H54" s="46">
        <f>+G54</f>
        <v>5000</v>
      </c>
      <c r="I54" s="46"/>
      <c r="J54" s="46">
        <v>5000</v>
      </c>
      <c r="K54" s="46">
        <f t="shared" si="23"/>
        <v>5000</v>
      </c>
      <c r="L54" s="80">
        <v>0</v>
      </c>
      <c r="M54" s="80">
        <v>0</v>
      </c>
      <c r="N54" s="80">
        <v>0</v>
      </c>
      <c r="O54" s="141">
        <v>0</v>
      </c>
    </row>
    <row r="55" spans="2:16">
      <c r="B55" s="49" t="s">
        <v>128</v>
      </c>
      <c r="C55" s="46"/>
      <c r="D55" s="46">
        <f>6859+1419</f>
        <v>8278</v>
      </c>
      <c r="E55" s="46">
        <f t="shared" si="0"/>
        <v>8278</v>
      </c>
      <c r="F55" s="46"/>
      <c r="G55" s="46">
        <v>18482</v>
      </c>
      <c r="H55" s="46">
        <f t="shared" si="1"/>
        <v>18482</v>
      </c>
      <c r="I55" s="46">
        <v>11210</v>
      </c>
      <c r="J55" s="46">
        <v>14363</v>
      </c>
      <c r="K55" s="46">
        <f t="shared" si="23"/>
        <v>25573</v>
      </c>
      <c r="L55" s="46">
        <v>0</v>
      </c>
      <c r="M55" s="46">
        <v>0</v>
      </c>
      <c r="N55" s="46">
        <v>0</v>
      </c>
      <c r="O55" s="47">
        <v>0</v>
      </c>
    </row>
    <row r="56" spans="2:16">
      <c r="B56" s="49" t="s">
        <v>37</v>
      </c>
      <c r="C56" s="46"/>
      <c r="D56" s="46">
        <v>408</v>
      </c>
      <c r="E56" s="46">
        <f t="shared" si="0"/>
        <v>408</v>
      </c>
      <c r="F56" s="46"/>
      <c r="G56" s="46"/>
      <c r="H56" s="46">
        <f t="shared" si="1"/>
        <v>0</v>
      </c>
      <c r="I56" s="46"/>
      <c r="J56" s="46"/>
      <c r="K56" s="46">
        <f t="shared" si="23"/>
        <v>0</v>
      </c>
      <c r="L56" s="46">
        <v>408</v>
      </c>
      <c r="M56" s="46">
        <v>500</v>
      </c>
      <c r="N56" s="46">
        <v>500</v>
      </c>
      <c r="O56" s="47">
        <v>500</v>
      </c>
    </row>
    <row r="57" spans="2:16" s="2" customFormat="1">
      <c r="B57" s="57" t="s">
        <v>38</v>
      </c>
      <c r="C57" s="51">
        <f t="shared" ref="C57:K57" si="24">SUM(C50:C56)</f>
        <v>0</v>
      </c>
      <c r="D57" s="51">
        <f t="shared" si="24"/>
        <v>17636</v>
      </c>
      <c r="E57" s="51">
        <f t="shared" si="0"/>
        <v>17636</v>
      </c>
      <c r="F57" s="51">
        <f t="shared" si="24"/>
        <v>0</v>
      </c>
      <c r="G57" s="51">
        <f t="shared" si="24"/>
        <v>23482</v>
      </c>
      <c r="H57" s="51">
        <f t="shared" si="24"/>
        <v>23482</v>
      </c>
      <c r="I57" s="51">
        <f t="shared" si="24"/>
        <v>11210</v>
      </c>
      <c r="J57" s="51">
        <f t="shared" si="24"/>
        <v>19363</v>
      </c>
      <c r="K57" s="51">
        <f t="shared" si="24"/>
        <v>30573</v>
      </c>
      <c r="L57" s="51">
        <f>SUM(L50:L56)</f>
        <v>19392</v>
      </c>
      <c r="M57" s="108">
        <f t="shared" ref="M57" si="25">SUM(M50:M56)</f>
        <v>20000</v>
      </c>
      <c r="N57" s="108">
        <f t="shared" ref="N57" si="26">SUM(N50:N56)</f>
        <v>20500</v>
      </c>
      <c r="O57" s="109">
        <f t="shared" ref="O57" si="27">SUM(O50:O56)</f>
        <v>21000</v>
      </c>
      <c r="P57" s="146"/>
    </row>
    <row r="58" spans="2:16">
      <c r="B58" s="48" t="s">
        <v>8</v>
      </c>
      <c r="C58" s="42"/>
      <c r="D58" s="42"/>
      <c r="E58" s="42"/>
      <c r="F58" s="42"/>
      <c r="G58" s="42"/>
      <c r="H58" s="42"/>
      <c r="I58" s="42"/>
      <c r="J58" s="42"/>
      <c r="K58" s="42"/>
      <c r="L58" s="42"/>
      <c r="M58" s="42"/>
      <c r="N58" s="42"/>
      <c r="O58" s="43"/>
    </row>
    <row r="59" spans="2:16">
      <c r="B59" s="49" t="s">
        <v>39</v>
      </c>
      <c r="C59" s="46"/>
      <c r="D59" s="46"/>
      <c r="E59" s="46">
        <f t="shared" si="0"/>
        <v>0</v>
      </c>
      <c r="F59" s="46"/>
      <c r="G59" s="46"/>
      <c r="H59" s="46">
        <f t="shared" si="1"/>
        <v>0</v>
      </c>
      <c r="I59" s="46"/>
      <c r="J59" s="46"/>
      <c r="K59" s="46">
        <f t="shared" ref="K59:K62" si="28">I59+J59</f>
        <v>0</v>
      </c>
      <c r="L59" s="46">
        <v>5400</v>
      </c>
      <c r="M59" s="46">
        <v>5000</v>
      </c>
      <c r="N59" s="46">
        <v>5000</v>
      </c>
      <c r="O59" s="47">
        <v>5000</v>
      </c>
    </row>
    <row r="60" spans="2:16">
      <c r="B60" s="49" t="s">
        <v>40</v>
      </c>
      <c r="C60" s="46"/>
      <c r="D60" s="46"/>
      <c r="E60" s="46">
        <f t="shared" si="0"/>
        <v>0</v>
      </c>
      <c r="F60" s="46"/>
      <c r="G60" s="46"/>
      <c r="H60" s="46">
        <f t="shared" si="1"/>
        <v>0</v>
      </c>
      <c r="I60" s="46"/>
      <c r="J60" s="46"/>
      <c r="K60" s="46">
        <f t="shared" si="28"/>
        <v>0</v>
      </c>
      <c r="L60" s="46">
        <v>7200</v>
      </c>
      <c r="M60" s="46">
        <v>7000</v>
      </c>
      <c r="N60" s="46">
        <v>7000</v>
      </c>
      <c r="O60" s="47">
        <v>7000</v>
      </c>
    </row>
    <row r="61" spans="2:16">
      <c r="B61" s="49" t="s">
        <v>41</v>
      </c>
      <c r="C61" s="46"/>
      <c r="D61" s="46"/>
      <c r="E61" s="46">
        <f t="shared" si="0"/>
        <v>0</v>
      </c>
      <c r="F61" s="46"/>
      <c r="G61" s="46"/>
      <c r="H61" s="46">
        <f t="shared" si="1"/>
        <v>0</v>
      </c>
      <c r="I61" s="46"/>
      <c r="J61" s="46"/>
      <c r="K61" s="46">
        <f t="shared" si="28"/>
        <v>0</v>
      </c>
      <c r="L61" s="46">
        <v>10000</v>
      </c>
      <c r="M61" s="46">
        <v>10000</v>
      </c>
      <c r="N61" s="46">
        <v>7000</v>
      </c>
      <c r="O61" s="47">
        <v>7000</v>
      </c>
    </row>
    <row r="62" spans="2:16" s="2" customFormat="1">
      <c r="B62" s="57" t="s">
        <v>42</v>
      </c>
      <c r="C62" s="51">
        <v>21699</v>
      </c>
      <c r="D62" s="51">
        <v>243</v>
      </c>
      <c r="E62" s="170">
        <f t="shared" si="0"/>
        <v>21942</v>
      </c>
      <c r="F62" s="170">
        <v>25587</v>
      </c>
      <c r="G62" s="170">
        <v>12220</v>
      </c>
      <c r="H62" s="170">
        <f t="shared" si="1"/>
        <v>37807</v>
      </c>
      <c r="I62" s="170">
        <v>44699</v>
      </c>
      <c r="J62" s="170">
        <v>3263</v>
      </c>
      <c r="K62" s="170">
        <f t="shared" si="28"/>
        <v>47962</v>
      </c>
      <c r="L62" s="170">
        <f>SUM(L59:L61)</f>
        <v>22600</v>
      </c>
      <c r="M62" s="170">
        <f t="shared" ref="M62:O62" si="29">SUM(M59:M61)</f>
        <v>22000</v>
      </c>
      <c r="N62" s="170">
        <f t="shared" si="29"/>
        <v>19000</v>
      </c>
      <c r="O62" s="197">
        <f t="shared" si="29"/>
        <v>19000</v>
      </c>
      <c r="P62" s="146"/>
    </row>
    <row r="63" spans="2:16">
      <c r="B63" s="48" t="s">
        <v>9</v>
      </c>
      <c r="C63" s="42"/>
      <c r="D63" s="42"/>
      <c r="E63" s="42"/>
      <c r="F63" s="42"/>
      <c r="G63" s="42"/>
      <c r="H63" s="42"/>
      <c r="I63" s="42"/>
      <c r="J63" s="42"/>
      <c r="K63" s="42"/>
      <c r="L63" s="42"/>
      <c r="M63" s="42"/>
      <c r="N63" s="42"/>
      <c r="O63" s="43"/>
    </row>
    <row r="64" spans="2:16">
      <c r="B64" s="49" t="s">
        <v>43</v>
      </c>
      <c r="C64" s="46"/>
      <c r="D64" s="46"/>
      <c r="E64" s="46">
        <f t="shared" si="0"/>
        <v>0</v>
      </c>
      <c r="F64" s="46"/>
      <c r="G64" s="46"/>
      <c r="H64" s="46">
        <f t="shared" si="1"/>
        <v>0</v>
      </c>
      <c r="I64" s="46"/>
      <c r="J64" s="46"/>
      <c r="K64" s="46">
        <f t="shared" ref="K64:K66" si="30">I64+J64</f>
        <v>0</v>
      </c>
      <c r="L64" s="80">
        <v>3700</v>
      </c>
      <c r="M64" s="80">
        <v>4000</v>
      </c>
      <c r="N64" s="80">
        <v>4000</v>
      </c>
      <c r="O64" s="141">
        <v>4000</v>
      </c>
    </row>
    <row r="65" spans="2:16">
      <c r="B65" s="49" t="s">
        <v>44</v>
      </c>
      <c r="C65" s="46"/>
      <c r="D65" s="46"/>
      <c r="E65" s="46">
        <f t="shared" si="0"/>
        <v>0</v>
      </c>
      <c r="F65" s="46"/>
      <c r="G65" s="46"/>
      <c r="H65" s="46">
        <f t="shared" si="1"/>
        <v>0</v>
      </c>
      <c r="I65" s="46"/>
      <c r="J65" s="46"/>
      <c r="K65" s="46">
        <f t="shared" si="30"/>
        <v>0</v>
      </c>
      <c r="L65" s="80">
        <v>4126</v>
      </c>
      <c r="M65" s="80">
        <v>4000</v>
      </c>
      <c r="N65" s="80">
        <v>4000</v>
      </c>
      <c r="O65" s="141">
        <v>4000</v>
      </c>
    </row>
    <row r="66" spans="2:16">
      <c r="B66" s="49" t="s">
        <v>45</v>
      </c>
      <c r="C66" s="46"/>
      <c r="D66" s="46"/>
      <c r="E66" s="46">
        <f t="shared" si="0"/>
        <v>0</v>
      </c>
      <c r="F66" s="46"/>
      <c r="G66" s="46"/>
      <c r="H66" s="46">
        <f t="shared" ref="H66:H115" si="31">F66+G66</f>
        <v>0</v>
      </c>
      <c r="I66" s="46"/>
      <c r="J66" s="46"/>
      <c r="K66" s="46">
        <f t="shared" si="30"/>
        <v>0</v>
      </c>
      <c r="L66" s="80">
        <v>540</v>
      </c>
      <c r="M66" s="80">
        <v>500</v>
      </c>
      <c r="N66" s="80">
        <v>500</v>
      </c>
      <c r="O66" s="141">
        <v>500</v>
      </c>
    </row>
    <row r="67" spans="2:16" s="2" customFormat="1">
      <c r="B67" s="57" t="s">
        <v>46</v>
      </c>
      <c r="C67" s="51">
        <v>3719</v>
      </c>
      <c r="D67" s="51"/>
      <c r="E67" s="51">
        <f t="shared" ref="E67:E115" si="32">C67+D67</f>
        <v>3719</v>
      </c>
      <c r="F67" s="51">
        <v>3633</v>
      </c>
      <c r="G67" s="51"/>
      <c r="H67" s="51">
        <f t="shared" si="31"/>
        <v>3633</v>
      </c>
      <c r="I67" s="51">
        <f t="shared" ref="I67:K67" si="33">SUM(I64:I66)</f>
        <v>0</v>
      </c>
      <c r="J67" s="51">
        <f t="shared" si="33"/>
        <v>0</v>
      </c>
      <c r="K67" s="51">
        <f t="shared" si="33"/>
        <v>0</v>
      </c>
      <c r="L67" s="170">
        <f>SUM(L64:L66)</f>
        <v>8366</v>
      </c>
      <c r="M67" s="170">
        <f t="shared" ref="M67" si="34">SUM(M64:M66)</f>
        <v>8500</v>
      </c>
      <c r="N67" s="170">
        <f t="shared" ref="N67" si="35">SUM(N64:N66)</f>
        <v>8500</v>
      </c>
      <c r="O67" s="197">
        <f t="shared" ref="O67" si="36">SUM(O64:O66)</f>
        <v>8500</v>
      </c>
      <c r="P67" s="146"/>
    </row>
    <row r="68" spans="2:16">
      <c r="B68" s="45" t="s">
        <v>47</v>
      </c>
      <c r="C68" s="46"/>
      <c r="D68" s="46"/>
      <c r="E68" s="46">
        <f t="shared" si="32"/>
        <v>0</v>
      </c>
      <c r="F68" s="46"/>
      <c r="G68" s="46"/>
      <c r="H68" s="46">
        <f t="shared" si="31"/>
        <v>0</v>
      </c>
      <c r="I68" s="46"/>
      <c r="J68" s="46"/>
      <c r="K68" s="46">
        <f t="shared" ref="K68:K73" si="37">I68+J68</f>
        <v>0</v>
      </c>
      <c r="L68" s="202"/>
      <c r="M68" s="80">
        <v>13200</v>
      </c>
      <c r="N68" s="80">
        <v>13201</v>
      </c>
      <c r="O68" s="141">
        <v>13202</v>
      </c>
    </row>
    <row r="69" spans="2:16">
      <c r="B69" s="48" t="s">
        <v>203</v>
      </c>
      <c r="C69" s="42"/>
      <c r="D69" s="42"/>
      <c r="E69" s="42"/>
      <c r="F69" s="42"/>
      <c r="G69" s="42"/>
      <c r="H69" s="42"/>
      <c r="I69" s="42"/>
      <c r="J69" s="42"/>
      <c r="K69" s="42"/>
      <c r="L69" s="42"/>
      <c r="M69" s="42"/>
      <c r="N69" s="42"/>
      <c r="O69" s="43"/>
    </row>
    <row r="70" spans="2:16">
      <c r="B70" s="49" t="s">
        <v>48</v>
      </c>
      <c r="C70" s="46"/>
      <c r="D70" s="46"/>
      <c r="E70" s="46">
        <f t="shared" si="32"/>
        <v>0</v>
      </c>
      <c r="F70" s="46"/>
      <c r="G70" s="46"/>
      <c r="H70" s="46">
        <f t="shared" si="31"/>
        <v>0</v>
      </c>
      <c r="I70" s="46"/>
      <c r="J70" s="46"/>
      <c r="K70" s="46">
        <f t="shared" si="37"/>
        <v>0</v>
      </c>
      <c r="L70" s="46">
        <v>280</v>
      </c>
      <c r="M70" s="46">
        <v>300</v>
      </c>
      <c r="N70" s="46">
        <v>300</v>
      </c>
      <c r="O70" s="47">
        <v>300</v>
      </c>
    </row>
    <row r="71" spans="2:16">
      <c r="B71" s="49" t="s">
        <v>129</v>
      </c>
      <c r="C71" s="46"/>
      <c r="D71" s="46"/>
      <c r="E71" s="46">
        <f t="shared" si="32"/>
        <v>0</v>
      </c>
      <c r="F71" s="46"/>
      <c r="G71" s="46"/>
      <c r="H71" s="46">
        <f t="shared" si="31"/>
        <v>0</v>
      </c>
      <c r="I71" s="46"/>
      <c r="J71" s="46"/>
      <c r="K71" s="46">
        <f t="shared" si="37"/>
        <v>0</v>
      </c>
      <c r="L71" s="46">
        <v>0</v>
      </c>
      <c r="M71" s="46">
        <v>0</v>
      </c>
      <c r="N71" s="46">
        <v>0</v>
      </c>
      <c r="O71" s="47">
        <v>0</v>
      </c>
    </row>
    <row r="72" spans="2:16">
      <c r="B72" s="49" t="s">
        <v>49</v>
      </c>
      <c r="C72" s="46"/>
      <c r="D72" s="46"/>
      <c r="E72" s="46">
        <f t="shared" si="32"/>
        <v>0</v>
      </c>
      <c r="F72" s="46"/>
      <c r="G72" s="46"/>
      <c r="H72" s="46">
        <f t="shared" si="31"/>
        <v>0</v>
      </c>
      <c r="I72" s="46"/>
      <c r="J72" s="46"/>
      <c r="K72" s="46">
        <f t="shared" si="37"/>
        <v>0</v>
      </c>
      <c r="L72" s="46">
        <v>272</v>
      </c>
      <c r="M72" s="46">
        <v>300</v>
      </c>
      <c r="N72" s="46">
        <v>300</v>
      </c>
      <c r="O72" s="47">
        <v>300</v>
      </c>
    </row>
    <row r="73" spans="2:16">
      <c r="B73" s="49" t="s">
        <v>50</v>
      </c>
      <c r="C73" s="46">
        <v>6796</v>
      </c>
      <c r="D73" s="46"/>
      <c r="E73" s="46">
        <f t="shared" si="32"/>
        <v>6796</v>
      </c>
      <c r="F73" s="46">
        <v>459</v>
      </c>
      <c r="G73" s="46"/>
      <c r="H73" s="46">
        <f t="shared" si="31"/>
        <v>459</v>
      </c>
      <c r="I73" s="46">
        <v>9517</v>
      </c>
      <c r="J73" s="46"/>
      <c r="K73" s="46">
        <f t="shared" si="37"/>
        <v>9517</v>
      </c>
      <c r="L73" s="46">
        <v>5000</v>
      </c>
      <c r="M73" s="202">
        <v>5000</v>
      </c>
      <c r="N73" s="202">
        <v>5000</v>
      </c>
      <c r="O73" s="203">
        <v>5000</v>
      </c>
    </row>
    <row r="74" spans="2:16" s="2" customFormat="1">
      <c r="B74" s="57" t="s">
        <v>51</v>
      </c>
      <c r="C74" s="51">
        <f t="shared" ref="C74:F74" si="38">SUM(C70:C73)</f>
        <v>6796</v>
      </c>
      <c r="D74" s="51">
        <f t="shared" si="38"/>
        <v>0</v>
      </c>
      <c r="E74" s="170">
        <f t="shared" si="32"/>
        <v>6796</v>
      </c>
      <c r="F74" s="170">
        <f t="shared" si="38"/>
        <v>459</v>
      </c>
      <c r="G74" s="170">
        <f t="shared" ref="G74" si="39">SUM(G70:G73)</f>
        <v>0</v>
      </c>
      <c r="H74" s="170">
        <f t="shared" si="31"/>
        <v>459</v>
      </c>
      <c r="I74" s="170">
        <f>SUM(I70:I73)</f>
        <v>9517</v>
      </c>
      <c r="J74" s="170">
        <f t="shared" ref="J74:K74" si="40">SUM(J70:J73)</f>
        <v>0</v>
      </c>
      <c r="K74" s="170">
        <f t="shared" si="40"/>
        <v>9517</v>
      </c>
      <c r="L74" s="170">
        <f>SUM(L70:L73)</f>
        <v>5552</v>
      </c>
      <c r="M74" s="170">
        <f t="shared" ref="M74" si="41">SUM(M70:M73)</f>
        <v>5600</v>
      </c>
      <c r="N74" s="170">
        <f t="shared" ref="N74" si="42">SUM(N70:N73)</f>
        <v>5600</v>
      </c>
      <c r="O74" s="197">
        <f t="shared" ref="O74" si="43">SUM(O70:O73)</f>
        <v>5600</v>
      </c>
      <c r="P74" s="146"/>
    </row>
    <row r="75" spans="2:16">
      <c r="B75" s="45" t="s">
        <v>130</v>
      </c>
      <c r="C75" s="46"/>
      <c r="D75" s="46"/>
      <c r="E75" s="46">
        <f t="shared" si="32"/>
        <v>0</v>
      </c>
      <c r="F75" s="46"/>
      <c r="G75" s="46"/>
      <c r="H75" s="46">
        <f t="shared" si="31"/>
        <v>0</v>
      </c>
      <c r="I75" s="46"/>
      <c r="J75" s="46"/>
      <c r="K75" s="46">
        <f t="shared" ref="K75:K82" si="44">I75+J75</f>
        <v>0</v>
      </c>
      <c r="L75" s="46">
        <v>0</v>
      </c>
      <c r="M75" s="46"/>
      <c r="N75" s="46"/>
      <c r="O75" s="47"/>
    </row>
    <row r="76" spans="2:16">
      <c r="B76" s="45" t="s">
        <v>52</v>
      </c>
      <c r="C76" s="46">
        <v>52</v>
      </c>
      <c r="D76" s="46"/>
      <c r="E76" s="46">
        <f t="shared" si="32"/>
        <v>52</v>
      </c>
      <c r="F76" s="46">
        <v>277</v>
      </c>
      <c r="G76" s="46"/>
      <c r="H76" s="46">
        <f t="shared" si="31"/>
        <v>277</v>
      </c>
      <c r="I76" s="46"/>
      <c r="J76" s="46"/>
      <c r="K76" s="46">
        <f t="shared" si="44"/>
        <v>0</v>
      </c>
      <c r="L76" s="46">
        <v>298</v>
      </c>
      <c r="M76" s="46">
        <v>300</v>
      </c>
      <c r="N76" s="46">
        <v>300</v>
      </c>
      <c r="O76" s="47">
        <v>300</v>
      </c>
    </row>
    <row r="77" spans="2:16">
      <c r="B77" s="45" t="s">
        <v>53</v>
      </c>
      <c r="C77" s="46"/>
      <c r="D77" s="46"/>
      <c r="E77" s="46">
        <f t="shared" si="32"/>
        <v>0</v>
      </c>
      <c r="F77" s="46"/>
      <c r="G77" s="46"/>
      <c r="H77" s="46">
        <f t="shared" si="31"/>
        <v>0</v>
      </c>
      <c r="I77" s="46"/>
      <c r="J77" s="46"/>
      <c r="K77" s="46">
        <f t="shared" si="44"/>
        <v>0</v>
      </c>
      <c r="L77" s="46">
        <v>960</v>
      </c>
      <c r="M77" s="46">
        <v>1000</v>
      </c>
      <c r="N77" s="46">
        <v>1000</v>
      </c>
      <c r="O77" s="47">
        <v>1000</v>
      </c>
    </row>
    <row r="78" spans="2:16">
      <c r="B78" s="48" t="s">
        <v>10</v>
      </c>
      <c r="C78" s="42"/>
      <c r="D78" s="42"/>
      <c r="E78" s="42"/>
      <c r="F78" s="42"/>
      <c r="G78" s="42"/>
      <c r="H78" s="42"/>
      <c r="I78" s="42"/>
      <c r="J78" s="42"/>
      <c r="K78" s="42"/>
      <c r="L78" s="42"/>
      <c r="M78" s="42"/>
      <c r="N78" s="42"/>
      <c r="O78" s="43"/>
    </row>
    <row r="79" spans="2:16">
      <c r="B79" s="49" t="s">
        <v>131</v>
      </c>
      <c r="C79" s="46"/>
      <c r="D79" s="46"/>
      <c r="E79" s="46">
        <f t="shared" si="32"/>
        <v>0</v>
      </c>
      <c r="F79" s="46"/>
      <c r="G79" s="46"/>
      <c r="H79" s="46">
        <f t="shared" si="31"/>
        <v>0</v>
      </c>
      <c r="I79" s="46"/>
      <c r="J79" s="46"/>
      <c r="K79" s="46">
        <f t="shared" si="44"/>
        <v>0</v>
      </c>
      <c r="L79" s="46">
        <v>0</v>
      </c>
      <c r="M79" s="46">
        <v>0</v>
      </c>
      <c r="N79" s="46">
        <v>0</v>
      </c>
      <c r="O79" s="47">
        <v>0</v>
      </c>
    </row>
    <row r="80" spans="2:16" s="2" customFormat="1">
      <c r="B80" s="57" t="s">
        <v>132</v>
      </c>
      <c r="C80" s="51"/>
      <c r="D80" s="51"/>
      <c r="E80" s="51">
        <f t="shared" si="32"/>
        <v>0</v>
      </c>
      <c r="F80" s="51"/>
      <c r="G80" s="51"/>
      <c r="H80" s="51">
        <f t="shared" si="31"/>
        <v>0</v>
      </c>
      <c r="I80" s="51"/>
      <c r="J80" s="51"/>
      <c r="K80" s="51">
        <f t="shared" si="44"/>
        <v>0</v>
      </c>
      <c r="L80" s="51">
        <f>L79</f>
        <v>0</v>
      </c>
      <c r="M80" s="51">
        <f t="shared" ref="M80" si="45">M79</f>
        <v>0</v>
      </c>
      <c r="N80" s="51">
        <f t="shared" ref="N80" si="46">N79</f>
        <v>0</v>
      </c>
      <c r="O80" s="52">
        <f t="shared" ref="O80" si="47">O79</f>
        <v>0</v>
      </c>
      <c r="P80" s="146"/>
    </row>
    <row r="81" spans="2:16">
      <c r="B81" s="48" t="s">
        <v>204</v>
      </c>
      <c r="C81" s="42"/>
      <c r="D81" s="42"/>
      <c r="E81" s="42"/>
      <c r="F81" s="42"/>
      <c r="G81" s="42"/>
      <c r="H81" s="42"/>
      <c r="I81" s="42"/>
      <c r="J81" s="42"/>
      <c r="K81" s="42"/>
      <c r="L81" s="42"/>
      <c r="M81" s="42"/>
      <c r="N81" s="42"/>
      <c r="O81" s="43"/>
    </row>
    <row r="82" spans="2:16">
      <c r="B82" s="49" t="s">
        <v>54</v>
      </c>
      <c r="C82" s="46"/>
      <c r="D82" s="46"/>
      <c r="E82" s="46">
        <f t="shared" si="32"/>
        <v>0</v>
      </c>
      <c r="F82" s="46"/>
      <c r="G82" s="46"/>
      <c r="H82" s="46">
        <f t="shared" si="31"/>
        <v>0</v>
      </c>
      <c r="I82" s="46"/>
      <c r="J82" s="46"/>
      <c r="K82" s="46">
        <f t="shared" si="44"/>
        <v>0</v>
      </c>
      <c r="L82" s="46">
        <v>0</v>
      </c>
      <c r="M82" s="46">
        <v>0</v>
      </c>
      <c r="N82" s="46">
        <v>0</v>
      </c>
      <c r="O82" s="47">
        <v>0</v>
      </c>
    </row>
    <row r="83" spans="2:16">
      <c r="B83" s="49" t="s">
        <v>92</v>
      </c>
      <c r="C83" s="46"/>
      <c r="D83" s="46">
        <v>8700</v>
      </c>
      <c r="E83" s="46">
        <f t="shared" ref="E83" si="48">C83+D83</f>
        <v>8700</v>
      </c>
      <c r="F83" s="46"/>
      <c r="G83" s="46">
        <v>497</v>
      </c>
      <c r="H83" s="46">
        <f t="shared" ref="H83" si="49">F83+G83</f>
        <v>497</v>
      </c>
      <c r="I83" s="46"/>
      <c r="J83" s="46"/>
      <c r="K83" s="46">
        <f t="shared" ref="K83" si="50">I83+J83</f>
        <v>0</v>
      </c>
      <c r="L83" s="46">
        <v>112</v>
      </c>
      <c r="M83" s="46">
        <v>2000</v>
      </c>
      <c r="N83" s="46">
        <v>2000</v>
      </c>
      <c r="O83" s="47">
        <v>2000</v>
      </c>
    </row>
    <row r="84" spans="2:16" s="2" customFormat="1">
      <c r="B84" s="57" t="s">
        <v>205</v>
      </c>
      <c r="C84" s="51">
        <f>SUM(C82:C83)</f>
        <v>0</v>
      </c>
      <c r="D84" s="51">
        <f>SUM(D82:D83)</f>
        <v>8700</v>
      </c>
      <c r="E84" s="51">
        <f>SUM(E82:E83)</f>
        <v>8700</v>
      </c>
      <c r="F84" s="51">
        <f t="shared" ref="F84:O84" si="51">SUM(F82:F83)</f>
        <v>0</v>
      </c>
      <c r="G84" s="51">
        <f t="shared" si="51"/>
        <v>497</v>
      </c>
      <c r="H84" s="51">
        <f t="shared" si="51"/>
        <v>497</v>
      </c>
      <c r="I84" s="51">
        <f t="shared" si="51"/>
        <v>0</v>
      </c>
      <c r="J84" s="51">
        <f t="shared" si="51"/>
        <v>0</v>
      </c>
      <c r="K84" s="51">
        <f t="shared" si="51"/>
        <v>0</v>
      </c>
      <c r="L84" s="170">
        <f t="shared" si="51"/>
        <v>112</v>
      </c>
      <c r="M84" s="108">
        <f t="shared" si="51"/>
        <v>2000</v>
      </c>
      <c r="N84" s="108">
        <f t="shared" si="51"/>
        <v>2000</v>
      </c>
      <c r="O84" s="109">
        <f t="shared" si="51"/>
        <v>2000</v>
      </c>
      <c r="P84" s="146"/>
    </row>
    <row r="85" spans="2:16">
      <c r="B85" s="48" t="s">
        <v>206</v>
      </c>
      <c r="C85" s="42"/>
      <c r="D85" s="42"/>
      <c r="E85" s="42"/>
      <c r="F85" s="42"/>
      <c r="G85" s="42"/>
      <c r="H85" s="42"/>
      <c r="I85" s="42"/>
      <c r="J85" s="42"/>
      <c r="K85" s="42"/>
      <c r="L85" s="42"/>
      <c r="M85" s="42"/>
      <c r="N85" s="42"/>
      <c r="O85" s="43"/>
    </row>
    <row r="86" spans="2:16">
      <c r="B86" s="49" t="s">
        <v>133</v>
      </c>
      <c r="C86" s="46"/>
      <c r="D86" s="46">
        <v>6239</v>
      </c>
      <c r="E86" s="46">
        <f t="shared" si="32"/>
        <v>6239</v>
      </c>
      <c r="F86" s="46"/>
      <c r="G86" s="46">
        <v>16175</v>
      </c>
      <c r="H86" s="46">
        <f t="shared" si="31"/>
        <v>16175</v>
      </c>
      <c r="I86" s="46"/>
      <c r="J86" s="46">
        <v>1116</v>
      </c>
      <c r="K86" s="46">
        <f t="shared" ref="K86:K88" si="52">I86+J86</f>
        <v>1116</v>
      </c>
      <c r="L86" s="46">
        <v>0</v>
      </c>
      <c r="M86" s="46">
        <v>0</v>
      </c>
      <c r="N86" s="46">
        <v>0</v>
      </c>
      <c r="O86" s="47">
        <v>0</v>
      </c>
    </row>
    <row r="87" spans="2:16">
      <c r="B87" s="49" t="s">
        <v>57</v>
      </c>
      <c r="C87" s="46"/>
      <c r="D87" s="46"/>
      <c r="E87" s="46">
        <f t="shared" si="32"/>
        <v>0</v>
      </c>
      <c r="F87" s="46"/>
      <c r="G87" s="46"/>
      <c r="H87" s="46">
        <f t="shared" si="31"/>
        <v>0</v>
      </c>
      <c r="I87" s="46"/>
      <c r="J87" s="46"/>
      <c r="K87" s="46">
        <f t="shared" si="52"/>
        <v>0</v>
      </c>
      <c r="L87" s="46">
        <v>0</v>
      </c>
      <c r="M87" s="46">
        <v>0</v>
      </c>
      <c r="N87" s="46">
        <v>0</v>
      </c>
      <c r="O87" s="47">
        <v>0</v>
      </c>
    </row>
    <row r="88" spans="2:16">
      <c r="B88" s="49" t="s">
        <v>246</v>
      </c>
      <c r="C88" s="46"/>
      <c r="D88" s="46"/>
      <c r="E88" s="46">
        <f t="shared" si="32"/>
        <v>0</v>
      </c>
      <c r="F88" s="46"/>
      <c r="G88" s="46"/>
      <c r="H88" s="46">
        <f t="shared" si="31"/>
        <v>0</v>
      </c>
      <c r="I88" s="46"/>
      <c r="J88" s="46"/>
      <c r="K88" s="46">
        <f t="shared" si="52"/>
        <v>0</v>
      </c>
      <c r="L88" s="80">
        <v>0</v>
      </c>
      <c r="M88" s="46">
        <v>500</v>
      </c>
      <c r="N88" s="46">
        <v>500</v>
      </c>
      <c r="O88" s="47">
        <v>500</v>
      </c>
    </row>
    <row r="89" spans="2:16" s="2" customFormat="1">
      <c r="B89" s="57" t="s">
        <v>207</v>
      </c>
      <c r="C89" s="51">
        <f t="shared" ref="C89" si="53">SUM(C85:C88)</f>
        <v>0</v>
      </c>
      <c r="D89" s="51">
        <f t="shared" ref="D89" si="54">SUM(D85:D88)</f>
        <v>6239</v>
      </c>
      <c r="E89" s="51">
        <f>SUM(E86:E88)</f>
        <v>6239</v>
      </c>
      <c r="F89" s="51">
        <f t="shared" ref="F89:O89" si="55">SUM(F86:F88)</f>
        <v>0</v>
      </c>
      <c r="G89" s="51">
        <f t="shared" si="55"/>
        <v>16175</v>
      </c>
      <c r="H89" s="51">
        <f t="shared" si="55"/>
        <v>16175</v>
      </c>
      <c r="I89" s="51">
        <f t="shared" si="55"/>
        <v>0</v>
      </c>
      <c r="J89" s="51">
        <f t="shared" si="55"/>
        <v>1116</v>
      </c>
      <c r="K89" s="51">
        <f t="shared" si="55"/>
        <v>1116</v>
      </c>
      <c r="L89" s="170">
        <f t="shared" si="55"/>
        <v>0</v>
      </c>
      <c r="M89" s="108">
        <f t="shared" si="55"/>
        <v>500</v>
      </c>
      <c r="N89" s="108">
        <f t="shared" si="55"/>
        <v>500</v>
      </c>
      <c r="O89" s="109">
        <f t="shared" si="55"/>
        <v>500</v>
      </c>
      <c r="P89" s="146"/>
    </row>
    <row r="90" spans="2:16">
      <c r="B90" s="48" t="s">
        <v>208</v>
      </c>
      <c r="C90" s="42"/>
      <c r="D90" s="42"/>
      <c r="E90" s="42"/>
      <c r="F90" s="42"/>
      <c r="G90" s="42"/>
      <c r="H90" s="42"/>
      <c r="I90" s="42"/>
      <c r="J90" s="42"/>
      <c r="K90" s="42"/>
      <c r="L90" s="42"/>
      <c r="M90" s="42"/>
      <c r="N90" s="42"/>
      <c r="O90" s="43"/>
    </row>
    <row r="91" spans="2:16">
      <c r="B91" s="49" t="s">
        <v>55</v>
      </c>
      <c r="C91" s="46"/>
      <c r="D91" s="46"/>
      <c r="E91" s="46">
        <f t="shared" si="32"/>
        <v>0</v>
      </c>
      <c r="F91" s="46"/>
      <c r="G91" s="46"/>
      <c r="H91" s="46">
        <f t="shared" si="31"/>
        <v>0</v>
      </c>
      <c r="I91" s="46"/>
      <c r="J91" s="46"/>
      <c r="K91" s="46">
        <f t="shared" ref="K91:K100" si="56">I91+J91</f>
        <v>0</v>
      </c>
      <c r="L91" s="80">
        <v>52870</v>
      </c>
      <c r="M91" s="80">
        <v>25000</v>
      </c>
      <c r="N91" s="80">
        <v>25000</v>
      </c>
      <c r="O91" s="141">
        <v>25000</v>
      </c>
      <c r="P91" s="145" t="s">
        <v>222</v>
      </c>
    </row>
    <row r="92" spans="2:16">
      <c r="B92" s="49" t="s">
        <v>30</v>
      </c>
      <c r="C92" s="46"/>
      <c r="D92" s="46"/>
      <c r="E92" s="46">
        <f t="shared" si="32"/>
        <v>0</v>
      </c>
      <c r="F92" s="46"/>
      <c r="G92" s="46"/>
      <c r="H92" s="46">
        <f t="shared" si="31"/>
        <v>0</v>
      </c>
      <c r="I92" s="46"/>
      <c r="J92" s="46"/>
      <c r="K92" s="46">
        <f t="shared" si="56"/>
        <v>0</v>
      </c>
      <c r="L92" s="46">
        <v>0</v>
      </c>
      <c r="M92" s="80">
        <v>0</v>
      </c>
      <c r="N92" s="80">
        <v>0</v>
      </c>
      <c r="O92" s="141">
        <v>0</v>
      </c>
      <c r="P92" s="147"/>
    </row>
    <row r="93" spans="2:16">
      <c r="B93" s="49" t="s">
        <v>56</v>
      </c>
      <c r="C93" s="46"/>
      <c r="D93" s="46"/>
      <c r="E93" s="46">
        <f t="shared" si="32"/>
        <v>0</v>
      </c>
      <c r="F93" s="46"/>
      <c r="G93" s="46"/>
      <c r="H93" s="46">
        <f t="shared" si="31"/>
        <v>0</v>
      </c>
      <c r="I93" s="46"/>
      <c r="J93" s="46"/>
      <c r="K93" s="46">
        <f t="shared" si="56"/>
        <v>0</v>
      </c>
      <c r="L93" s="46">
        <v>712</v>
      </c>
      <c r="M93" s="46">
        <v>750</v>
      </c>
      <c r="N93" s="46">
        <v>750</v>
      </c>
      <c r="O93" s="47">
        <v>750</v>
      </c>
    </row>
    <row r="94" spans="2:16">
      <c r="B94" s="49" t="s">
        <v>54</v>
      </c>
      <c r="C94" s="46"/>
      <c r="D94" s="46"/>
      <c r="E94" s="46">
        <f t="shared" si="32"/>
        <v>0</v>
      </c>
      <c r="F94" s="46"/>
      <c r="G94" s="46"/>
      <c r="H94" s="46">
        <f t="shared" si="31"/>
        <v>0</v>
      </c>
      <c r="I94" s="46"/>
      <c r="J94" s="46"/>
      <c r="K94" s="46">
        <f t="shared" si="56"/>
        <v>0</v>
      </c>
      <c r="L94" s="46">
        <v>0</v>
      </c>
      <c r="M94" s="46">
        <v>0</v>
      </c>
      <c r="N94" s="46">
        <v>0</v>
      </c>
      <c r="O94" s="47">
        <v>0</v>
      </c>
    </row>
    <row r="95" spans="2:16">
      <c r="B95" s="49" t="s">
        <v>25</v>
      </c>
      <c r="C95" s="46"/>
      <c r="D95" s="46"/>
      <c r="E95" s="46">
        <f t="shared" si="32"/>
        <v>0</v>
      </c>
      <c r="F95" s="46"/>
      <c r="G95" s="46"/>
      <c r="H95" s="46">
        <f t="shared" si="31"/>
        <v>0</v>
      </c>
      <c r="I95" s="46"/>
      <c r="J95" s="46"/>
      <c r="K95" s="46">
        <f t="shared" si="56"/>
        <v>0</v>
      </c>
      <c r="L95" s="46">
        <v>1554</v>
      </c>
      <c r="M95" s="46">
        <v>1500</v>
      </c>
      <c r="N95" s="46">
        <v>1500</v>
      </c>
      <c r="O95" s="47">
        <v>1500</v>
      </c>
    </row>
    <row r="96" spans="2:16">
      <c r="B96" s="49" t="s">
        <v>57</v>
      </c>
      <c r="C96" s="46"/>
      <c r="D96" s="46"/>
      <c r="E96" s="46">
        <f t="shared" si="32"/>
        <v>0</v>
      </c>
      <c r="F96" s="46"/>
      <c r="G96" s="46"/>
      <c r="H96" s="46">
        <f t="shared" si="31"/>
        <v>0</v>
      </c>
      <c r="I96" s="46"/>
      <c r="J96" s="46"/>
      <c r="K96" s="46">
        <f t="shared" si="56"/>
        <v>0</v>
      </c>
      <c r="L96" s="46">
        <v>328</v>
      </c>
      <c r="M96" s="46">
        <v>328</v>
      </c>
      <c r="N96" s="46">
        <v>328</v>
      </c>
      <c r="O96" s="47">
        <v>328</v>
      </c>
    </row>
    <row r="97" spans="2:16">
      <c r="B97" s="49" t="s">
        <v>134</v>
      </c>
      <c r="C97" s="46"/>
      <c r="D97" s="46"/>
      <c r="E97" s="46">
        <f t="shared" si="32"/>
        <v>0</v>
      </c>
      <c r="F97" s="46"/>
      <c r="G97" s="46"/>
      <c r="H97" s="46">
        <f t="shared" si="31"/>
        <v>0</v>
      </c>
      <c r="I97" s="46"/>
      <c r="J97" s="46"/>
      <c r="K97" s="46">
        <f t="shared" si="56"/>
        <v>0</v>
      </c>
      <c r="L97" s="46">
        <v>0</v>
      </c>
      <c r="M97" s="46">
        <v>0</v>
      </c>
      <c r="N97" s="46">
        <v>0</v>
      </c>
      <c r="O97" s="47">
        <v>0</v>
      </c>
    </row>
    <row r="98" spans="2:16">
      <c r="B98" s="49" t="s">
        <v>135</v>
      </c>
      <c r="C98" s="46"/>
      <c r="D98" s="46">
        <v>37917</v>
      </c>
      <c r="E98" s="46">
        <f t="shared" si="32"/>
        <v>37917</v>
      </c>
      <c r="F98" s="46"/>
      <c r="G98" s="46">
        <v>67491</v>
      </c>
      <c r="H98" s="46">
        <f t="shared" si="31"/>
        <v>67491</v>
      </c>
      <c r="I98" s="46"/>
      <c r="J98" s="46">
        <v>32236</v>
      </c>
      <c r="K98" s="46">
        <f t="shared" si="56"/>
        <v>32236</v>
      </c>
      <c r="L98" s="46">
        <v>0</v>
      </c>
      <c r="M98" s="46">
        <v>0</v>
      </c>
      <c r="N98" s="46">
        <v>0</v>
      </c>
      <c r="O98" s="47">
        <v>0</v>
      </c>
    </row>
    <row r="99" spans="2:16" s="2" customFormat="1">
      <c r="B99" s="57" t="s">
        <v>209</v>
      </c>
      <c r="C99" s="51">
        <f t="shared" ref="C99:K99" si="57">SUM(C91:C98)</f>
        <v>0</v>
      </c>
      <c r="D99" s="51">
        <f t="shared" si="57"/>
        <v>37917</v>
      </c>
      <c r="E99" s="51">
        <f t="shared" si="57"/>
        <v>37917</v>
      </c>
      <c r="F99" s="51">
        <f t="shared" si="57"/>
        <v>0</v>
      </c>
      <c r="G99" s="51">
        <f>SUM(G91:G98)</f>
        <v>67491</v>
      </c>
      <c r="H99" s="51">
        <f t="shared" si="57"/>
        <v>67491</v>
      </c>
      <c r="I99" s="51">
        <f t="shared" si="57"/>
        <v>0</v>
      </c>
      <c r="J99" s="51">
        <f t="shared" si="57"/>
        <v>32236</v>
      </c>
      <c r="K99" s="51">
        <f t="shared" si="57"/>
        <v>32236</v>
      </c>
      <c r="L99" s="170">
        <f>SUM(L91:L98)</f>
        <v>55464</v>
      </c>
      <c r="M99" s="108">
        <f t="shared" ref="M99:O99" si="58">SUM(M91:M98)</f>
        <v>27578</v>
      </c>
      <c r="N99" s="108">
        <f t="shared" si="58"/>
        <v>27578</v>
      </c>
      <c r="O99" s="109">
        <f t="shared" si="58"/>
        <v>27578</v>
      </c>
      <c r="P99" s="146"/>
    </row>
    <row r="100" spans="2:16" s="16" customFormat="1">
      <c r="B100" s="142" t="s">
        <v>83</v>
      </c>
      <c r="C100" s="143">
        <v>29310</v>
      </c>
      <c r="D100" s="143">
        <v>2992</v>
      </c>
      <c r="E100" s="198">
        <f t="shared" si="32"/>
        <v>32302</v>
      </c>
      <c r="F100" s="198">
        <v>29310</v>
      </c>
      <c r="G100" s="198">
        <v>5259</v>
      </c>
      <c r="H100" s="198">
        <f t="shared" si="31"/>
        <v>34569</v>
      </c>
      <c r="I100" s="198">
        <v>122596</v>
      </c>
      <c r="J100" s="198">
        <v>12659</v>
      </c>
      <c r="K100" s="198">
        <f t="shared" si="56"/>
        <v>135255</v>
      </c>
      <c r="L100" s="198">
        <v>135000</v>
      </c>
      <c r="M100" s="198">
        <v>150000</v>
      </c>
      <c r="N100" s="198">
        <v>150000</v>
      </c>
      <c r="O100" s="199">
        <v>150000</v>
      </c>
      <c r="P100" s="145" t="s">
        <v>223</v>
      </c>
    </row>
    <row r="101" spans="2:16" s="2" customFormat="1">
      <c r="B101" s="55" t="s">
        <v>58</v>
      </c>
      <c r="C101" s="51">
        <f t="shared" ref="C101:D101" si="59">SUM(C99,C89,C84,C80,C77,C76,C75,C74,C68,C67,C62,C57,C47,C42,C41,C40,C39,C38,C35,C28,C27,C26,C25,C24,C100,C48)</f>
        <v>255954</v>
      </c>
      <c r="D101" s="51">
        <f t="shared" si="59"/>
        <v>82216</v>
      </c>
      <c r="E101" s="51">
        <f>SUM(E99,E89,E84,E80,E77,E76,E75,E74,E68,E67,E62,E57,E47,E42,E41,E40,E39,E38,E35,E28,E27,E26,E25,E24,E100,E48)</f>
        <v>338170</v>
      </c>
      <c r="F101" s="51">
        <f t="shared" ref="F101:G101" si="60">SUM(F99,F89,F84,F80,F77,F76,F75,F74,F68,F67,F62,F57,F47,F42,F41,F40,F39,F38,F35,F28,F27,F26,F25,F24,F100,F48)</f>
        <v>309188</v>
      </c>
      <c r="G101" s="51">
        <f t="shared" si="60"/>
        <v>136281</v>
      </c>
      <c r="H101" s="51">
        <f>SUM(H99,H89,H84,H80,H77,H76,H75,H74,H68,H67,H62,H57,H47,H42,H41,H40,H39,H38,H35,H28,H27,H26,H25,H24,H100,H48)</f>
        <v>445469</v>
      </c>
      <c r="I101" s="51">
        <f t="shared" ref="I101:J101" si="61">SUM(I99,I89,I84,I80,I77,I76,I75,I74,I68,I67,I62,I57,I47,I42,I41,I40,I39,I38,I35,I28,I27,I26,I25,I24,I100,I48)</f>
        <v>478525</v>
      </c>
      <c r="J101" s="51">
        <f t="shared" si="61"/>
        <v>71109</v>
      </c>
      <c r="K101" s="51">
        <f>SUM(K99,K89,K84,K80,K77,K76,K75,K74,K68,K67,K62,K57,K47,K42,K41,K40,K39,K38,K35,K28,K27,K26,K25,K24,K100,K48)</f>
        <v>537221</v>
      </c>
      <c r="L101" s="51">
        <f>SUM(L99,L89,L84,L80,L77,L76,L75,L74,L68,L67,L62,L57,L47,L42,L41,L40,L39,L38,L35,L28,L27,L26,L25,L24,L100)</f>
        <v>485736</v>
      </c>
      <c r="M101" s="108">
        <f>SUM(M99,M89,M84,M80,M77,M76,M75,M74,M68,M67,M62,M57,M47,M42,M41,M40,M39,M38,M35,M28,M27,M26,M25,M24,M100)</f>
        <v>497410.35000000003</v>
      </c>
      <c r="N101" s="108">
        <f>SUM(N99,N89,N84,N80,N77,N76,N75,N74,N68,N67,N62,N57,N47,N42,N41,N40,N39,N38,N35,N28,N27,N26,N25,N24,N100)</f>
        <v>497785.24800000002</v>
      </c>
      <c r="O101" s="109">
        <f>SUM(O99,O89,O84,O80,O77,O76,O75,O74,O68,O67,O62,O57,O47,O42,O41,O40,O39,O38,O35,O28,O27,O26,O25,O24,O100)</f>
        <v>501160.14600000007</v>
      </c>
      <c r="P101" s="169"/>
    </row>
    <row r="102" spans="2:16">
      <c r="B102" s="56" t="s">
        <v>59</v>
      </c>
      <c r="C102" s="46">
        <f t="shared" ref="C102:H102" si="62">C21-C101</f>
        <v>548799</v>
      </c>
      <c r="D102" s="46">
        <f t="shared" si="62"/>
        <v>874803</v>
      </c>
      <c r="E102" s="51">
        <f t="shared" si="62"/>
        <v>1423602</v>
      </c>
      <c r="F102" s="51">
        <f t="shared" si="62"/>
        <v>-57667</v>
      </c>
      <c r="G102" s="51">
        <f t="shared" si="62"/>
        <v>6268</v>
      </c>
      <c r="H102" s="51">
        <f t="shared" si="62"/>
        <v>-51399</v>
      </c>
      <c r="I102" s="51">
        <f t="shared" ref="I102" si="63">G102+H102</f>
        <v>-45131</v>
      </c>
      <c r="J102" s="51">
        <f t="shared" ref="J102" si="64">H102+I102</f>
        <v>-96530</v>
      </c>
      <c r="K102" s="51">
        <f>K21-K101</f>
        <v>-137094</v>
      </c>
      <c r="L102" s="51">
        <f>L21-L101</f>
        <v>-114000</v>
      </c>
      <c r="M102" s="108">
        <f>M22-M101</f>
        <v>-33318.350000000035</v>
      </c>
      <c r="N102" s="108">
        <f>N21-N101</f>
        <v>-70560.847999999998</v>
      </c>
      <c r="O102" s="109">
        <f>O21-O101</f>
        <v>-73935.746000000043</v>
      </c>
    </row>
    <row r="103" spans="2:16">
      <c r="B103" s="44" t="s">
        <v>13</v>
      </c>
      <c r="C103" s="42"/>
      <c r="D103" s="42"/>
      <c r="E103" s="42">
        <f t="shared" si="32"/>
        <v>0</v>
      </c>
      <c r="F103" s="42"/>
      <c r="G103" s="42"/>
      <c r="H103" s="42">
        <f t="shared" si="31"/>
        <v>0</v>
      </c>
      <c r="I103" s="42"/>
      <c r="J103" s="42"/>
      <c r="K103" s="42"/>
      <c r="L103" s="42"/>
      <c r="M103" s="42"/>
      <c r="N103" s="42"/>
      <c r="O103" s="43"/>
    </row>
    <row r="104" spans="2:16">
      <c r="B104" s="44" t="s">
        <v>14</v>
      </c>
      <c r="C104" s="42"/>
      <c r="D104" s="42"/>
      <c r="E104" s="42"/>
      <c r="F104" s="42"/>
      <c r="G104" s="42"/>
      <c r="H104" s="42"/>
      <c r="I104" s="42"/>
      <c r="J104" s="42"/>
      <c r="K104" s="42"/>
      <c r="L104" s="42"/>
      <c r="M104" s="42"/>
      <c r="N104" s="42"/>
      <c r="O104" s="43"/>
    </row>
    <row r="105" spans="2:16">
      <c r="B105" s="49" t="s">
        <v>63</v>
      </c>
      <c r="C105" s="46"/>
      <c r="D105" s="46"/>
      <c r="E105" s="46">
        <f t="shared" si="32"/>
        <v>0</v>
      </c>
      <c r="F105" s="46"/>
      <c r="G105" s="46"/>
      <c r="H105" s="46">
        <f t="shared" si="31"/>
        <v>0</v>
      </c>
      <c r="I105" s="46"/>
      <c r="J105" s="46"/>
      <c r="K105" s="46"/>
      <c r="L105" s="46">
        <v>0</v>
      </c>
      <c r="M105" s="46">
        <v>0</v>
      </c>
      <c r="N105" s="46">
        <v>0</v>
      </c>
      <c r="O105" s="47">
        <v>0</v>
      </c>
    </row>
    <row r="106" spans="2:16">
      <c r="B106" s="49" t="s">
        <v>136</v>
      </c>
      <c r="C106" s="46"/>
      <c r="D106" s="46"/>
      <c r="E106" s="46">
        <f t="shared" si="32"/>
        <v>0</v>
      </c>
      <c r="F106" s="46"/>
      <c r="G106" s="46"/>
      <c r="H106" s="46">
        <f t="shared" si="31"/>
        <v>0</v>
      </c>
      <c r="I106" s="46"/>
      <c r="J106" s="46"/>
      <c r="K106" s="46"/>
      <c r="L106" s="46">
        <v>0</v>
      </c>
      <c r="M106" s="46">
        <v>0</v>
      </c>
      <c r="N106" s="46">
        <v>0</v>
      </c>
      <c r="O106" s="47">
        <v>0</v>
      </c>
    </row>
    <row r="107" spans="2:16">
      <c r="B107" s="49" t="s">
        <v>92</v>
      </c>
      <c r="C107" s="46"/>
      <c r="D107" s="46"/>
      <c r="E107" s="46">
        <f t="shared" si="32"/>
        <v>0</v>
      </c>
      <c r="F107" s="46"/>
      <c r="G107" s="46"/>
      <c r="H107" s="46">
        <f t="shared" si="31"/>
        <v>0</v>
      </c>
      <c r="I107" s="46">
        <v>1792241</v>
      </c>
      <c r="J107" s="46"/>
      <c r="K107" s="46"/>
      <c r="L107" s="46">
        <v>0</v>
      </c>
      <c r="M107" s="46">
        <v>0</v>
      </c>
      <c r="N107" s="46">
        <v>0</v>
      </c>
      <c r="O107" s="47">
        <v>0</v>
      </c>
    </row>
    <row r="108" spans="2:16" s="2" customFormat="1">
      <c r="B108" s="57" t="s">
        <v>137</v>
      </c>
      <c r="C108" s="51">
        <f t="shared" ref="C108:D108" si="65">SUM(C105:C107)</f>
        <v>0</v>
      </c>
      <c r="D108" s="51">
        <f t="shared" si="65"/>
        <v>0</v>
      </c>
      <c r="E108" s="51">
        <f t="shared" si="32"/>
        <v>0</v>
      </c>
      <c r="F108" s="51">
        <f t="shared" ref="F108:G108" si="66">SUM(F105:F107)</f>
        <v>0</v>
      </c>
      <c r="G108" s="51">
        <f t="shared" si="66"/>
        <v>0</v>
      </c>
      <c r="H108" s="51">
        <f t="shared" si="31"/>
        <v>0</v>
      </c>
      <c r="I108" s="51">
        <f>SUM(I105:I107)</f>
        <v>1792241</v>
      </c>
      <c r="J108" s="51">
        <f t="shared" ref="J108:K108" si="67">SUM(J105:J107)</f>
        <v>0</v>
      </c>
      <c r="K108" s="51">
        <f t="shared" si="67"/>
        <v>0</v>
      </c>
      <c r="L108" s="51">
        <v>0</v>
      </c>
      <c r="M108" s="108">
        <v>0</v>
      </c>
      <c r="N108" s="108">
        <v>0</v>
      </c>
      <c r="O108" s="109">
        <v>0</v>
      </c>
      <c r="P108" s="146"/>
    </row>
    <row r="109" spans="2:16">
      <c r="B109" s="48" t="s">
        <v>15</v>
      </c>
      <c r="C109" s="42"/>
      <c r="D109" s="42"/>
      <c r="E109" s="42"/>
      <c r="F109" s="42"/>
      <c r="G109" s="42"/>
      <c r="H109" s="42"/>
      <c r="I109" s="42"/>
      <c r="J109" s="42"/>
      <c r="K109" s="42"/>
      <c r="L109" s="42"/>
      <c r="M109" s="42"/>
      <c r="N109" s="42"/>
      <c r="O109" s="43"/>
    </row>
    <row r="110" spans="2:16">
      <c r="B110" s="49" t="s">
        <v>214</v>
      </c>
      <c r="C110" s="46"/>
      <c r="D110" s="46"/>
      <c r="E110" s="46">
        <f t="shared" si="32"/>
        <v>0</v>
      </c>
      <c r="F110" s="46"/>
      <c r="G110" s="46"/>
      <c r="H110" s="46">
        <f t="shared" si="31"/>
        <v>0</v>
      </c>
      <c r="I110" s="46"/>
      <c r="J110" s="46"/>
      <c r="K110" s="46">
        <v>0</v>
      </c>
      <c r="L110" s="46">
        <v>16000</v>
      </c>
      <c r="M110" s="46">
        <f>25000+16000</f>
        <v>41000</v>
      </c>
      <c r="N110" s="46">
        <f t="shared" ref="N110:O110" si="68">25000+16000</f>
        <v>41000</v>
      </c>
      <c r="O110" s="47">
        <f t="shared" si="68"/>
        <v>41000</v>
      </c>
      <c r="P110" s="145" t="s">
        <v>224</v>
      </c>
    </row>
    <row r="111" spans="2:16">
      <c r="B111" s="49" t="s">
        <v>15</v>
      </c>
      <c r="C111" s="46"/>
      <c r="D111" s="46"/>
      <c r="E111" s="46">
        <v>0</v>
      </c>
      <c r="F111" s="46"/>
      <c r="G111" s="46"/>
      <c r="H111" s="46">
        <v>0</v>
      </c>
      <c r="I111" s="46"/>
      <c r="J111" s="46"/>
      <c r="K111" s="46">
        <v>0</v>
      </c>
      <c r="L111" s="46">
        <v>0</v>
      </c>
      <c r="M111" s="46">
        <v>0</v>
      </c>
      <c r="N111" s="46">
        <v>0</v>
      </c>
      <c r="O111" s="47">
        <v>0</v>
      </c>
    </row>
    <row r="112" spans="2:16">
      <c r="B112" s="166" t="s">
        <v>60</v>
      </c>
      <c r="C112" s="80"/>
      <c r="D112" s="80"/>
      <c r="E112" s="80">
        <f t="shared" si="32"/>
        <v>0</v>
      </c>
      <c r="F112" s="80"/>
      <c r="G112" s="80"/>
      <c r="H112" s="80">
        <f t="shared" si="31"/>
        <v>0</v>
      </c>
      <c r="I112" s="80"/>
      <c r="J112" s="80"/>
      <c r="K112" s="80">
        <v>0</v>
      </c>
      <c r="L112" s="80">
        <v>0</v>
      </c>
      <c r="M112" s="80">
        <v>0</v>
      </c>
      <c r="N112" s="80">
        <v>0</v>
      </c>
      <c r="O112" s="141">
        <v>0</v>
      </c>
    </row>
    <row r="113" spans="2:16" s="2" customFormat="1" ht="14.25" customHeight="1">
      <c r="B113" s="57" t="s">
        <v>61</v>
      </c>
      <c r="C113" s="51"/>
      <c r="D113" s="51"/>
      <c r="E113" s="51">
        <f t="shared" si="32"/>
        <v>0</v>
      </c>
      <c r="F113" s="51"/>
      <c r="G113" s="51"/>
      <c r="H113" s="51">
        <f t="shared" si="31"/>
        <v>0</v>
      </c>
      <c r="I113" s="51">
        <f>SUM(I110:I112)</f>
        <v>0</v>
      </c>
      <c r="J113" s="51">
        <v>1074792</v>
      </c>
      <c r="K113" s="170">
        <f t="shared" ref="K113" si="69">I113+J113</f>
        <v>1074792</v>
      </c>
      <c r="L113" s="51">
        <f>SUM(L110:L112)</f>
        <v>16000</v>
      </c>
      <c r="M113" s="108">
        <f t="shared" ref="M113:O113" si="70">SUM(M110:M112)</f>
        <v>41000</v>
      </c>
      <c r="N113" s="108">
        <f t="shared" si="70"/>
        <v>41000</v>
      </c>
      <c r="O113" s="109">
        <f t="shared" si="70"/>
        <v>41000</v>
      </c>
      <c r="P113" s="146"/>
    </row>
    <row r="114" spans="2:16">
      <c r="B114" s="56" t="s">
        <v>62</v>
      </c>
      <c r="C114" s="46">
        <f>C108-C113</f>
        <v>0</v>
      </c>
      <c r="D114" s="46">
        <f>D108-D113</f>
        <v>0</v>
      </c>
      <c r="E114" s="46">
        <f t="shared" si="32"/>
        <v>0</v>
      </c>
      <c r="F114" s="46">
        <f>F108-F113</f>
        <v>0</v>
      </c>
      <c r="G114" s="46">
        <f>G108-G113</f>
        <v>0</v>
      </c>
      <c r="H114" s="46">
        <f t="shared" si="31"/>
        <v>0</v>
      </c>
      <c r="I114" s="46">
        <f>I108-I113</f>
        <v>1792241</v>
      </c>
      <c r="J114" s="46">
        <f>J108-J113</f>
        <v>-1074792</v>
      </c>
      <c r="K114" s="80">
        <f>I114+J114</f>
        <v>717449</v>
      </c>
      <c r="L114" s="46">
        <f>L108-L113</f>
        <v>-16000</v>
      </c>
      <c r="M114" s="112">
        <f>M108-M113</f>
        <v>-41000</v>
      </c>
      <c r="N114" s="112">
        <f>N108-N113</f>
        <v>-41000</v>
      </c>
      <c r="O114" s="113">
        <f>O108-O113</f>
        <v>-41000</v>
      </c>
      <c r="P114" s="168"/>
    </row>
    <row r="115" spans="2:16" ht="15.75" thickBot="1">
      <c r="B115" s="58" t="s">
        <v>65</v>
      </c>
      <c r="C115" s="59">
        <f>C114+C102</f>
        <v>548799</v>
      </c>
      <c r="D115" s="59">
        <f>D114+D102</f>
        <v>874803</v>
      </c>
      <c r="E115" s="59">
        <f t="shared" si="32"/>
        <v>1423602</v>
      </c>
      <c r="F115" s="59">
        <f>F114+F102</f>
        <v>-57667</v>
      </c>
      <c r="G115" s="59">
        <f>G114+G102</f>
        <v>6268</v>
      </c>
      <c r="H115" s="59">
        <f t="shared" si="31"/>
        <v>-51399</v>
      </c>
      <c r="I115" s="59">
        <f t="shared" ref="I115:O115" si="71">I114+I102</f>
        <v>1747110</v>
      </c>
      <c r="J115" s="59">
        <f t="shared" si="71"/>
        <v>-1171322</v>
      </c>
      <c r="K115" s="59">
        <f t="shared" si="71"/>
        <v>580355</v>
      </c>
      <c r="L115" s="167">
        <f t="shared" si="71"/>
        <v>-130000</v>
      </c>
      <c r="M115" s="164">
        <f t="shared" si="71"/>
        <v>-74318.350000000035</v>
      </c>
      <c r="N115" s="164">
        <f t="shared" si="71"/>
        <v>-111560.848</v>
      </c>
      <c r="O115" s="165">
        <f t="shared" si="71"/>
        <v>-114935.74600000004</v>
      </c>
    </row>
    <row r="116" spans="2:16" s="144" customFormat="1" ht="138.75" customHeight="1" thickBot="1">
      <c r="B116" s="209" t="s">
        <v>266</v>
      </c>
      <c r="C116" s="210"/>
      <c r="D116" s="210"/>
      <c r="E116" s="210"/>
      <c r="F116" s="210"/>
      <c r="G116" s="210"/>
      <c r="H116" s="210"/>
      <c r="I116" s="210"/>
      <c r="J116" s="210"/>
      <c r="K116" s="210"/>
      <c r="L116" s="210"/>
      <c r="M116" s="210"/>
      <c r="N116" s="210"/>
      <c r="O116" s="211"/>
      <c r="P116" s="148"/>
    </row>
    <row r="117" spans="2:16" s="144" customFormat="1" ht="74.25" customHeight="1" thickBot="1">
      <c r="B117" s="212" t="s">
        <v>217</v>
      </c>
      <c r="C117" s="213"/>
      <c r="D117" s="213"/>
      <c r="E117" s="213"/>
      <c r="F117" s="213"/>
      <c r="G117" s="213"/>
      <c r="H117" s="213"/>
      <c r="I117" s="213"/>
      <c r="J117" s="213"/>
      <c r="K117" s="213"/>
      <c r="L117" s="213"/>
      <c r="M117" s="213"/>
      <c r="N117" s="213"/>
      <c r="O117" s="214"/>
      <c r="P117" s="148"/>
    </row>
    <row r="118" spans="2:16" s="144" customFormat="1" ht="27.75" customHeight="1" thickBot="1">
      <c r="B118" s="212" t="s">
        <v>263</v>
      </c>
      <c r="C118" s="213"/>
      <c r="D118" s="213"/>
      <c r="E118" s="213"/>
      <c r="F118" s="213"/>
      <c r="G118" s="213"/>
      <c r="H118" s="213"/>
      <c r="I118" s="213"/>
      <c r="J118" s="213"/>
      <c r="K118" s="213"/>
      <c r="L118" s="213"/>
      <c r="M118" s="213"/>
      <c r="N118" s="213"/>
      <c r="O118" s="214"/>
      <c r="P118" s="148"/>
    </row>
    <row r="119" spans="2:16" s="144" customFormat="1" ht="29.25" customHeight="1" thickBot="1">
      <c r="B119" s="215" t="s">
        <v>218</v>
      </c>
      <c r="C119" s="216"/>
      <c r="D119" s="216"/>
      <c r="E119" s="216"/>
      <c r="F119" s="216"/>
      <c r="G119" s="216"/>
      <c r="H119" s="216"/>
      <c r="I119" s="216"/>
      <c r="J119" s="216"/>
      <c r="K119" s="216"/>
      <c r="L119" s="216"/>
      <c r="M119" s="216"/>
      <c r="N119" s="216"/>
      <c r="O119" s="217"/>
      <c r="P119" s="148"/>
    </row>
    <row r="120" spans="2:16" s="144" customFormat="1" ht="74.25" customHeight="1" thickBot="1">
      <c r="B120" s="212" t="s">
        <v>265</v>
      </c>
      <c r="C120" s="213"/>
      <c r="D120" s="213"/>
      <c r="E120" s="213"/>
      <c r="F120" s="213"/>
      <c r="G120" s="213"/>
      <c r="H120" s="213"/>
      <c r="I120" s="213"/>
      <c r="J120" s="213"/>
      <c r="K120" s="213"/>
      <c r="L120" s="213"/>
      <c r="M120" s="213"/>
      <c r="N120" s="213"/>
      <c r="O120" s="214"/>
      <c r="P120" s="148"/>
    </row>
    <row r="121" spans="2:16" s="144" customFormat="1" ht="24.75" customHeight="1" thickBot="1">
      <c r="B121" s="206" t="s">
        <v>225</v>
      </c>
      <c r="C121" s="207"/>
      <c r="D121" s="207"/>
      <c r="E121" s="207"/>
      <c r="F121" s="207"/>
      <c r="G121" s="207"/>
      <c r="H121" s="207"/>
      <c r="I121" s="207"/>
      <c r="J121" s="207"/>
      <c r="K121" s="207"/>
      <c r="L121" s="207"/>
      <c r="M121" s="207"/>
      <c r="N121" s="207"/>
      <c r="O121" s="208"/>
      <c r="P121" s="148"/>
    </row>
    <row r="122" spans="2:16" s="144" customFormat="1" ht="15" customHeight="1" thickBot="1">
      <c r="B122" s="191"/>
      <c r="C122" s="191"/>
      <c r="D122" s="191"/>
      <c r="E122" s="191"/>
      <c r="F122" s="191"/>
      <c r="G122" s="191"/>
      <c r="H122" s="191"/>
      <c r="I122" s="191"/>
      <c r="J122" s="191"/>
      <c r="K122" s="191"/>
      <c r="L122" s="191"/>
      <c r="M122" s="191"/>
      <c r="N122" s="191"/>
      <c r="O122" s="191"/>
      <c r="P122" s="148"/>
    </row>
    <row r="123" spans="2:16" ht="21">
      <c r="B123" s="204" t="s">
        <v>294</v>
      </c>
      <c r="C123" s="204"/>
      <c r="D123" s="204"/>
      <c r="E123" s="204"/>
      <c r="F123" s="204"/>
      <c r="G123" s="204"/>
      <c r="H123" s="204"/>
      <c r="I123" s="204"/>
      <c r="J123" s="204"/>
      <c r="K123" s="204"/>
      <c r="L123" s="204"/>
      <c r="M123" s="204"/>
      <c r="N123" s="204"/>
      <c r="O123" s="204"/>
    </row>
    <row r="124" spans="2:16">
      <c r="B124" s="171"/>
      <c r="C124" s="184"/>
      <c r="D124" s="184"/>
      <c r="E124" s="185" t="str">
        <f>+E3</f>
        <v>2010 Combined</v>
      </c>
      <c r="F124" s="186"/>
      <c r="G124" s="186"/>
      <c r="H124" s="185" t="str">
        <f t="shared" ref="H124:O124" si="72">+H3</f>
        <v>2011 Combined</v>
      </c>
      <c r="I124" s="185" t="str">
        <f t="shared" si="72"/>
        <v>2012 TEID</v>
      </c>
      <c r="J124" s="185" t="str">
        <f t="shared" si="72"/>
        <v>2012 TSSD</v>
      </c>
      <c r="K124" s="185" t="str">
        <f t="shared" si="72"/>
        <v>2012 Combined</v>
      </c>
      <c r="L124" s="185" t="str">
        <f t="shared" si="72"/>
        <v>2013 (budgeted)</v>
      </c>
      <c r="M124" s="185" t="str">
        <f t="shared" si="72"/>
        <v>2014 (predicted)</v>
      </c>
      <c r="N124" s="185" t="str">
        <f t="shared" si="72"/>
        <v>2015 (predicted)</v>
      </c>
      <c r="O124" s="185" t="str">
        <f t="shared" si="72"/>
        <v>2016 (predicted)</v>
      </c>
    </row>
    <row r="125" spans="2:16">
      <c r="B125" s="188" t="s">
        <v>295</v>
      </c>
      <c r="C125" s="184"/>
      <c r="D125" s="184"/>
      <c r="E125" s="190">
        <f t="shared" ref="E125:K125" si="73">+E12+E18</f>
        <v>331571</v>
      </c>
      <c r="F125" s="190">
        <f t="shared" si="73"/>
        <v>251506</v>
      </c>
      <c r="G125" s="190">
        <f t="shared" si="73"/>
        <v>118901</v>
      </c>
      <c r="H125" s="190">
        <f t="shared" si="73"/>
        <v>370407</v>
      </c>
      <c r="I125" s="190">
        <f t="shared" si="73"/>
        <v>322694</v>
      </c>
      <c r="J125" s="190">
        <f t="shared" si="73"/>
        <v>77397</v>
      </c>
      <c r="K125" s="190">
        <f t="shared" si="73"/>
        <v>400091</v>
      </c>
      <c r="L125" s="190">
        <f>+L12+L18</f>
        <v>371736</v>
      </c>
      <c r="M125" s="190">
        <f t="shared" ref="M125:O125" si="74">+M12+M18</f>
        <v>464092</v>
      </c>
      <c r="N125" s="190">
        <f t="shared" si="74"/>
        <v>427224.4</v>
      </c>
      <c r="O125" s="190">
        <f t="shared" si="74"/>
        <v>427224.4</v>
      </c>
    </row>
    <row r="126" spans="2:16">
      <c r="B126" s="171" t="s">
        <v>283</v>
      </c>
      <c r="C126" s="184"/>
      <c r="D126" s="184"/>
      <c r="E126" s="181">
        <f t="shared" ref="E126:K126" si="75">-E35-E74</f>
        <v>-182307</v>
      </c>
      <c r="F126" s="181">
        <f t="shared" si="75"/>
        <v>-230137</v>
      </c>
      <c r="G126" s="181">
        <f t="shared" si="75"/>
        <v>0</v>
      </c>
      <c r="H126" s="181">
        <f t="shared" si="75"/>
        <v>-230137</v>
      </c>
      <c r="I126" s="181">
        <f t="shared" si="75"/>
        <v>-273146</v>
      </c>
      <c r="J126" s="181">
        <f t="shared" si="75"/>
        <v>0</v>
      </c>
      <c r="K126" s="181">
        <f t="shared" si="75"/>
        <v>-273146</v>
      </c>
      <c r="L126" s="181">
        <f>-L35-L74</f>
        <v>-226852</v>
      </c>
      <c r="M126" s="181">
        <f t="shared" ref="M126:O126" si="76">-M35-M74</f>
        <v>-229242.35000000003</v>
      </c>
      <c r="N126" s="181">
        <f t="shared" si="76"/>
        <v>-232116.24800000002</v>
      </c>
      <c r="O126" s="181">
        <f t="shared" si="76"/>
        <v>-234990.14600000004</v>
      </c>
    </row>
    <row r="127" spans="2:16">
      <c r="B127" s="171" t="s">
        <v>284</v>
      </c>
      <c r="C127" s="184"/>
      <c r="D127" s="184"/>
      <c r="E127" s="181">
        <f t="shared" ref="E127:K127" si="77">-E99</f>
        <v>-37917</v>
      </c>
      <c r="F127" s="181">
        <f t="shared" si="77"/>
        <v>0</v>
      </c>
      <c r="G127" s="181">
        <f t="shared" si="77"/>
        <v>-67491</v>
      </c>
      <c r="H127" s="181">
        <f t="shared" si="77"/>
        <v>-67491</v>
      </c>
      <c r="I127" s="181">
        <f t="shared" si="77"/>
        <v>0</v>
      </c>
      <c r="J127" s="181">
        <f t="shared" si="77"/>
        <v>-32236</v>
      </c>
      <c r="K127" s="181">
        <f t="shared" si="77"/>
        <v>-32236</v>
      </c>
      <c r="L127" s="181">
        <f>-L99</f>
        <v>-55464</v>
      </c>
      <c r="M127" s="181">
        <f t="shared" ref="M127:O127" si="78">-M99</f>
        <v>-27578</v>
      </c>
      <c r="N127" s="181">
        <f t="shared" si="78"/>
        <v>-27578</v>
      </c>
      <c r="O127" s="181">
        <f t="shared" si="78"/>
        <v>-27578</v>
      </c>
    </row>
    <row r="128" spans="2:16">
      <c r="B128" s="171" t="s">
        <v>285</v>
      </c>
      <c r="C128" s="184"/>
      <c r="D128" s="184"/>
      <c r="E128" s="181">
        <f t="shared" ref="E128:K128" si="79">-E89</f>
        <v>-6239</v>
      </c>
      <c r="F128" s="181">
        <f t="shared" si="79"/>
        <v>0</v>
      </c>
      <c r="G128" s="181">
        <f t="shared" si="79"/>
        <v>-16175</v>
      </c>
      <c r="H128" s="181">
        <f t="shared" si="79"/>
        <v>-16175</v>
      </c>
      <c r="I128" s="181">
        <f t="shared" si="79"/>
        <v>0</v>
      </c>
      <c r="J128" s="181">
        <f t="shared" si="79"/>
        <v>-1116</v>
      </c>
      <c r="K128" s="181">
        <f t="shared" si="79"/>
        <v>-1116</v>
      </c>
      <c r="L128" s="181">
        <f>-L89</f>
        <v>0</v>
      </c>
      <c r="M128" s="181">
        <f t="shared" ref="M128:O128" si="80">-M89</f>
        <v>-500</v>
      </c>
      <c r="N128" s="181">
        <f t="shared" si="80"/>
        <v>-500</v>
      </c>
      <c r="O128" s="181">
        <f t="shared" si="80"/>
        <v>-500</v>
      </c>
    </row>
    <row r="129" spans="2:15">
      <c r="B129" s="171" t="s">
        <v>290</v>
      </c>
      <c r="C129" s="184"/>
      <c r="D129" s="184"/>
      <c r="E129" s="181">
        <f t="shared" ref="E129:K129" si="81">-E84</f>
        <v>-8700</v>
      </c>
      <c r="F129" s="181">
        <f t="shared" si="81"/>
        <v>0</v>
      </c>
      <c r="G129" s="181">
        <f t="shared" si="81"/>
        <v>-497</v>
      </c>
      <c r="H129" s="181">
        <f t="shared" si="81"/>
        <v>-497</v>
      </c>
      <c r="I129" s="181">
        <f t="shared" si="81"/>
        <v>0</v>
      </c>
      <c r="J129" s="181">
        <f t="shared" si="81"/>
        <v>0</v>
      </c>
      <c r="K129" s="181">
        <f t="shared" si="81"/>
        <v>0</v>
      </c>
      <c r="L129" s="181">
        <f>-L84</f>
        <v>-112</v>
      </c>
      <c r="M129" s="181">
        <f t="shared" ref="M129:O129" si="82">-M84</f>
        <v>-2000</v>
      </c>
      <c r="N129" s="181">
        <f t="shared" si="82"/>
        <v>-2000</v>
      </c>
      <c r="O129" s="181">
        <f t="shared" si="82"/>
        <v>-2000</v>
      </c>
    </row>
    <row r="130" spans="2:15">
      <c r="B130" s="171" t="s">
        <v>287</v>
      </c>
      <c r="C130" s="184"/>
      <c r="D130" s="184"/>
      <c r="E130" s="181">
        <f t="shared" ref="E130:K130" si="83">-E28-E27-E26-E25-E24-E38-E41-E47-E57-E62-E67-E68-E76-E77</f>
        <v>-70705</v>
      </c>
      <c r="F130" s="181">
        <f t="shared" si="83"/>
        <v>-49626</v>
      </c>
      <c r="G130" s="181">
        <f t="shared" si="83"/>
        <v>-40536</v>
      </c>
      <c r="H130" s="181">
        <f t="shared" si="83"/>
        <v>-90162</v>
      </c>
      <c r="I130" s="181">
        <f t="shared" si="83"/>
        <v>-78946</v>
      </c>
      <c r="J130" s="181">
        <f t="shared" si="83"/>
        <v>-25098</v>
      </c>
      <c r="K130" s="181">
        <f t="shared" si="83"/>
        <v>-91631</v>
      </c>
      <c r="L130" s="181">
        <f>-L28-L27-L26-L25-L24-L38-L41-L47-L57-L62-L67-L68-L76-L77</f>
        <v>-68308</v>
      </c>
      <c r="M130" s="181">
        <f t="shared" ref="M130:O130" si="84">-M28-M27-M26-M25-M24-M38-M41-M47-M57-M62-M67-M68-M76-M77</f>
        <v>-88090</v>
      </c>
      <c r="N130" s="181">
        <f t="shared" si="84"/>
        <v>-85591</v>
      </c>
      <c r="O130" s="181">
        <f t="shared" si="84"/>
        <v>-86092</v>
      </c>
    </row>
    <row r="131" spans="2:15">
      <c r="B131" s="188" t="s">
        <v>292</v>
      </c>
      <c r="C131" s="189"/>
      <c r="D131" s="189"/>
      <c r="E131" s="190">
        <f>SUM(E125:E130)</f>
        <v>25703</v>
      </c>
      <c r="F131" s="190"/>
      <c r="G131" s="190"/>
      <c r="H131" s="190">
        <f t="shared" ref="H131:O131" si="85">SUM(H125:H130)</f>
        <v>-34055</v>
      </c>
      <c r="I131" s="190">
        <f t="shared" si="85"/>
        <v>-29398</v>
      </c>
      <c r="J131" s="190">
        <f t="shared" si="85"/>
        <v>18947</v>
      </c>
      <c r="K131" s="190">
        <f t="shared" si="85"/>
        <v>1962</v>
      </c>
      <c r="L131" s="190">
        <f t="shared" si="85"/>
        <v>21000</v>
      </c>
      <c r="M131" s="190">
        <f t="shared" si="85"/>
        <v>116681.64999999997</v>
      </c>
      <c r="N131" s="190">
        <f t="shared" si="85"/>
        <v>79439.152000000002</v>
      </c>
      <c r="O131" s="190">
        <f t="shared" si="85"/>
        <v>76064.253999999986</v>
      </c>
    </row>
    <row r="132" spans="2:15">
      <c r="B132" s="171" t="s">
        <v>286</v>
      </c>
      <c r="C132" s="184"/>
      <c r="D132" s="184"/>
      <c r="E132" s="181">
        <f t="shared" ref="E132:K132" si="86">-E100</f>
        <v>-32302</v>
      </c>
      <c r="F132" s="181">
        <f t="shared" si="86"/>
        <v>-29310</v>
      </c>
      <c r="G132" s="181">
        <f t="shared" si="86"/>
        <v>-5259</v>
      </c>
      <c r="H132" s="181">
        <f t="shared" si="86"/>
        <v>-34569</v>
      </c>
      <c r="I132" s="181">
        <f t="shared" si="86"/>
        <v>-122596</v>
      </c>
      <c r="J132" s="181">
        <f t="shared" si="86"/>
        <v>-12659</v>
      </c>
      <c r="K132" s="181">
        <f t="shared" si="86"/>
        <v>-135255</v>
      </c>
      <c r="L132" s="181">
        <f>-L100</f>
        <v>-135000</v>
      </c>
      <c r="M132" s="181">
        <f t="shared" ref="M132:O132" si="87">-M100</f>
        <v>-150000</v>
      </c>
      <c r="N132" s="181">
        <f t="shared" si="87"/>
        <v>-150000</v>
      </c>
      <c r="O132" s="181">
        <f t="shared" si="87"/>
        <v>-150000</v>
      </c>
    </row>
    <row r="133" spans="2:15">
      <c r="B133" s="171" t="s">
        <v>288</v>
      </c>
      <c r="C133" s="184"/>
      <c r="D133" s="184"/>
      <c r="E133" s="187">
        <f t="shared" ref="E133:J133" si="88">+E114</f>
        <v>0</v>
      </c>
      <c r="F133" s="187">
        <f t="shared" si="88"/>
        <v>0</v>
      </c>
      <c r="G133" s="187">
        <f t="shared" si="88"/>
        <v>0</v>
      </c>
      <c r="H133" s="187">
        <f t="shared" si="88"/>
        <v>0</v>
      </c>
      <c r="I133" s="187">
        <f t="shared" si="88"/>
        <v>1792241</v>
      </c>
      <c r="J133" s="187">
        <f t="shared" si="88"/>
        <v>-1074792</v>
      </c>
      <c r="K133" s="187"/>
      <c r="L133" s="187">
        <f>+L114</f>
        <v>-16000</v>
      </c>
      <c r="M133" s="187">
        <f t="shared" ref="M133:O133" si="89">+M114</f>
        <v>-41000</v>
      </c>
      <c r="N133" s="187">
        <f t="shared" si="89"/>
        <v>-41000</v>
      </c>
      <c r="O133" s="187">
        <f t="shared" si="89"/>
        <v>-41000</v>
      </c>
    </row>
    <row r="134" spans="2:15">
      <c r="B134" s="171"/>
      <c r="C134" s="184"/>
      <c r="D134" s="184"/>
      <c r="E134" s="181"/>
      <c r="F134" s="181"/>
      <c r="G134" s="181"/>
      <c r="H134" s="181"/>
      <c r="I134" s="181"/>
      <c r="J134" s="181"/>
      <c r="K134" s="181"/>
      <c r="L134" s="181"/>
      <c r="M134" s="181"/>
      <c r="N134" s="181"/>
      <c r="O134" s="181"/>
    </row>
    <row r="135" spans="2:15">
      <c r="B135" s="171" t="s">
        <v>289</v>
      </c>
      <c r="C135" s="184"/>
      <c r="D135" s="184"/>
      <c r="E135" s="181">
        <f>SUM(E131:E133)</f>
        <v>-6599</v>
      </c>
      <c r="F135" s="181">
        <f>SUM(F125:F134)</f>
        <v>-57567</v>
      </c>
      <c r="G135" s="181">
        <f>SUM(G125:G134)</f>
        <v>-11057</v>
      </c>
      <c r="H135" s="181">
        <f t="shared" ref="H135:O135" si="90">SUM(H131:H133)</f>
        <v>-68624</v>
      </c>
      <c r="I135" s="181">
        <f t="shared" si="90"/>
        <v>1640247</v>
      </c>
      <c r="J135" s="181">
        <f t="shared" si="90"/>
        <v>-1068504</v>
      </c>
      <c r="K135" s="181">
        <f t="shared" si="90"/>
        <v>-133293</v>
      </c>
      <c r="L135" s="181">
        <f t="shared" si="90"/>
        <v>-130000</v>
      </c>
      <c r="M135" s="181">
        <f t="shared" si="90"/>
        <v>-74318.350000000035</v>
      </c>
      <c r="N135" s="181">
        <f t="shared" si="90"/>
        <v>-111560.848</v>
      </c>
      <c r="O135" s="181">
        <f t="shared" si="90"/>
        <v>-114935.74600000001</v>
      </c>
    </row>
    <row r="136" spans="2:15" hidden="1">
      <c r="E136" s="1">
        <f>E135-E138-E115</f>
        <v>-144</v>
      </c>
      <c r="H136" s="1">
        <f>H135-H138-H115</f>
        <v>-2225</v>
      </c>
      <c r="K136" s="1">
        <f>+K135-K115-K138</f>
        <v>3801</v>
      </c>
    </row>
    <row r="137" spans="2:15">
      <c r="B137" s="171"/>
      <c r="C137" s="184"/>
      <c r="D137" s="184"/>
      <c r="E137" s="171"/>
      <c r="F137" s="184"/>
      <c r="G137" s="184"/>
      <c r="H137" s="171"/>
      <c r="I137" s="184"/>
      <c r="J137" s="184"/>
      <c r="K137" s="184"/>
      <c r="L137" s="184"/>
      <c r="M137" s="184"/>
      <c r="N137" s="184"/>
      <c r="O137" s="184"/>
    </row>
    <row r="138" spans="2:15" hidden="1">
      <c r="B138" s="171" t="s">
        <v>291</v>
      </c>
      <c r="C138" s="184"/>
      <c r="D138" s="184"/>
      <c r="E138" s="184">
        <f>-E19-E6</f>
        <v>-1430057</v>
      </c>
      <c r="F138" s="184"/>
      <c r="G138" s="184"/>
      <c r="H138" s="184">
        <f>-H6</f>
        <v>-15000</v>
      </c>
      <c r="I138" s="184"/>
      <c r="J138" s="184"/>
      <c r="K138" s="184">
        <f>-K114</f>
        <v>-717449</v>
      </c>
      <c r="L138" s="184"/>
      <c r="M138" s="184"/>
      <c r="N138" s="184"/>
      <c r="O138" s="184"/>
    </row>
    <row r="139" spans="2:15">
      <c r="B139" s="188" t="s">
        <v>293</v>
      </c>
      <c r="C139" s="189"/>
      <c r="D139" s="189"/>
      <c r="E139" s="188"/>
      <c r="F139" s="189"/>
      <c r="G139" s="189"/>
      <c r="H139" s="188"/>
      <c r="I139" s="189"/>
      <c r="J139" s="189"/>
      <c r="K139" s="189"/>
      <c r="L139" s="190">
        <f>+L131/-L133</f>
        <v>1.3125</v>
      </c>
      <c r="M139" s="190">
        <f t="shared" ref="M139:O139" si="91">+M131/-M133</f>
        <v>2.8458939024390237</v>
      </c>
      <c r="N139" s="190">
        <f t="shared" si="91"/>
        <v>1.9375402926829268</v>
      </c>
      <c r="O139" s="190">
        <f t="shared" si="91"/>
        <v>1.8552257073170728</v>
      </c>
    </row>
  </sheetData>
  <mergeCells count="8">
    <mergeCell ref="B123:O123"/>
    <mergeCell ref="B2:O2"/>
    <mergeCell ref="B121:O121"/>
    <mergeCell ref="B116:O116"/>
    <mergeCell ref="B117:O117"/>
    <mergeCell ref="B118:O118"/>
    <mergeCell ref="B119:O119"/>
    <mergeCell ref="B120:O120"/>
  </mergeCells>
  <pageMargins left="0.7" right="0.7" top="0.75" bottom="0.75" header="0.3" footer="0.3"/>
  <pageSetup scale="52" fitToHeight="2" orientation="portrait" r:id="rId1"/>
  <headerFooter>
    <oddFooter>&amp;L&amp;F&amp;R&amp;P of &amp;N</oddFooter>
  </headerFooter>
  <rowBreaks count="1" manualBreakCount="1">
    <brk id="89" max="1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O27"/>
  <sheetViews>
    <sheetView view="pageBreakPreview" zoomScaleNormal="85" zoomScaleSheetLayoutView="100" workbookViewId="0">
      <selection activeCell="Q17" sqref="Q17"/>
    </sheetView>
  </sheetViews>
  <sheetFormatPr defaultRowHeight="15"/>
  <cols>
    <col min="1" max="1" width="2" customWidth="1"/>
    <col min="2" max="2" width="35.42578125" customWidth="1"/>
    <col min="3" max="4" width="19" hidden="1" customWidth="1"/>
    <col min="5" max="5" width="11.42578125" customWidth="1"/>
    <col min="6" max="7" width="11.42578125" hidden="1" customWidth="1"/>
    <col min="8" max="8" width="11.42578125" customWidth="1"/>
    <col min="9" max="10" width="11.42578125" hidden="1" customWidth="1"/>
    <col min="11" max="17" width="11.42578125" customWidth="1"/>
  </cols>
  <sheetData>
    <row r="1" spans="2:15" ht="21" customHeight="1" thickBot="1">
      <c r="B1" s="205" t="s">
        <v>278</v>
      </c>
      <c r="C1" s="205"/>
      <c r="D1" s="205"/>
      <c r="E1" s="205"/>
      <c r="F1" s="205"/>
      <c r="G1" s="205"/>
      <c r="H1" s="205"/>
      <c r="I1" s="205"/>
      <c r="J1" s="205"/>
      <c r="K1" s="205"/>
      <c r="L1" s="205"/>
      <c r="M1" s="205"/>
      <c r="N1" s="205"/>
      <c r="O1" s="205"/>
    </row>
    <row r="2" spans="2:15" s="115" customFormat="1" ht="44.25" customHeight="1" thickBot="1">
      <c r="B2" s="127" t="s">
        <v>210</v>
      </c>
      <c r="C2" s="120" t="str">
        <f>'Financials - DPU 1'!C3</f>
        <v>2010 TEID</v>
      </c>
      <c r="D2" s="120" t="str">
        <f>'Financials - DPU 1'!D3</f>
        <v>2010 TSSD</v>
      </c>
      <c r="E2" s="135" t="str">
        <f>'Financials - DPU 1'!E3</f>
        <v>2010 Combined</v>
      </c>
      <c r="F2" s="136" t="str">
        <f>'Financials - DPU 1'!F3</f>
        <v>2011 TEID</v>
      </c>
      <c r="G2" s="136" t="str">
        <f>'Financials - DPU 1'!G3</f>
        <v>2011 TSSD</v>
      </c>
      <c r="H2" s="135" t="str">
        <f>'Financials - DPU 1'!H3</f>
        <v>2011 Combined</v>
      </c>
      <c r="I2" s="136" t="str">
        <f>'Financials - DPU 1'!I3</f>
        <v>2012 TEID</v>
      </c>
      <c r="J2" s="136" t="str">
        <f>'Financials - DPU 1'!J3</f>
        <v>2012 TSSD</v>
      </c>
      <c r="K2" s="136" t="str">
        <f>'Financials - DPU 1'!K3</f>
        <v>2012 Combined</v>
      </c>
      <c r="L2" s="121" t="str">
        <f>'Financials - DPU 1'!L3</f>
        <v>2013 (budgeted)</v>
      </c>
      <c r="M2" s="122" t="str">
        <f>'Financials - DPU 1'!M3</f>
        <v>2014 (predicted)</v>
      </c>
      <c r="N2" s="122" t="str">
        <f>'Financials - DPU 1'!N3</f>
        <v>2015 (predicted)</v>
      </c>
      <c r="O2" s="123" t="str">
        <f>'Financials - DPU 1'!O3</f>
        <v>2016 (predicted)</v>
      </c>
    </row>
    <row r="3" spans="2:15" s="118" customFormat="1">
      <c r="B3" s="218" t="str">
        <f>'Financials - DPU 1'!B13</f>
        <v>Electric Revenue</v>
      </c>
      <c r="C3" s="219"/>
      <c r="D3" s="219"/>
      <c r="E3" s="219"/>
      <c r="F3" s="219"/>
      <c r="G3" s="219"/>
      <c r="H3" s="219"/>
      <c r="I3" s="219"/>
      <c r="J3" s="219"/>
      <c r="K3" s="219"/>
      <c r="L3" s="219"/>
      <c r="M3" s="219"/>
      <c r="N3" s="219"/>
      <c r="O3" s="220"/>
    </row>
    <row r="4" spans="2:15">
      <c r="B4" s="119" t="str">
        <f>'Financials - DPU 1'!B18</f>
        <v>Total Electric Revenue</v>
      </c>
      <c r="C4" s="116">
        <f>'Financials - DPU 1'!C18</f>
        <v>193498</v>
      </c>
      <c r="D4" s="116">
        <f>'Financials - DPU 1'!D18</f>
        <v>0</v>
      </c>
      <c r="E4" s="116">
        <f>'Financials - DPU 1'!E18</f>
        <v>193498</v>
      </c>
      <c r="F4" s="116">
        <f>'Financials - DPU 1'!F18</f>
        <v>251506</v>
      </c>
      <c r="G4" s="116">
        <f>'Financials - DPU 1'!G18</f>
        <v>0</v>
      </c>
      <c r="H4" s="116">
        <f>'Financials - DPU 1'!H18</f>
        <v>251506</v>
      </c>
      <c r="I4" s="116">
        <f>'Financials - DPU 1'!I18</f>
        <v>322694</v>
      </c>
      <c r="J4" s="116">
        <f>'Financials - DPU 1'!J18</f>
        <v>0</v>
      </c>
      <c r="K4" s="116">
        <f>'Financials - DPU 1'!K18</f>
        <v>322694</v>
      </c>
      <c r="L4" s="116">
        <f>'Financials - DPU 1'!L18</f>
        <v>250000</v>
      </c>
      <c r="M4" s="116">
        <f>'Financials - DPU 1'!M18</f>
        <v>381376</v>
      </c>
      <c r="N4" s="116">
        <f>'Financials - DPU 1'!N18</f>
        <v>348300.4</v>
      </c>
      <c r="O4" s="117">
        <f>'Financials - DPU 1'!O18</f>
        <v>348300.4</v>
      </c>
    </row>
    <row r="5" spans="2:15">
      <c r="B5" s="119" t="str">
        <f>'Financials - DPU 1'!B35</f>
        <v xml:space="preserve">Total Generator Costs </v>
      </c>
      <c r="C5" s="116">
        <f>'Financials - DPU 1'!C35</f>
        <v>175511</v>
      </c>
      <c r="D5" s="116">
        <f>'Financials - DPU 1'!D35</f>
        <v>0</v>
      </c>
      <c r="E5" s="116">
        <f>'Financials - DPU 1'!E35</f>
        <v>175511</v>
      </c>
      <c r="F5" s="116">
        <f>'Financials - DPU 1'!F35</f>
        <v>229678</v>
      </c>
      <c r="G5" s="116">
        <f>'Financials - DPU 1'!G35</f>
        <v>0</v>
      </c>
      <c r="H5" s="116">
        <f>'Financials - DPU 1'!H35</f>
        <v>229678</v>
      </c>
      <c r="I5" s="116">
        <f>'Financials - DPU 1'!I35</f>
        <v>263629</v>
      </c>
      <c r="J5" s="116">
        <f>'Financials - DPU 1'!J35</f>
        <v>0</v>
      </c>
      <c r="K5" s="116">
        <f>'Financials - DPU 1'!K35</f>
        <v>263629</v>
      </c>
      <c r="L5" s="116">
        <f>'Financials - DPU 1'!L35</f>
        <v>221300</v>
      </c>
      <c r="M5" s="116">
        <f>'Financials - DPU 1'!M35</f>
        <v>223642.35000000003</v>
      </c>
      <c r="N5" s="116">
        <f>'Financials - DPU 1'!N35</f>
        <v>226516.24800000002</v>
      </c>
      <c r="O5" s="117">
        <f>'Financials - DPU 1'!O35</f>
        <v>229390.14600000004</v>
      </c>
    </row>
    <row r="6" spans="2:15">
      <c r="B6" s="119" t="str">
        <f>'Financials - DPU 1'!B74</f>
        <v xml:space="preserve">Total Repairs and Maintenance </v>
      </c>
      <c r="C6" s="116">
        <f>'Financials - DPU 1'!C74</f>
        <v>6796</v>
      </c>
      <c r="D6" s="116">
        <f>'Financials - DPU 1'!D74</f>
        <v>0</v>
      </c>
      <c r="E6" s="116">
        <f>'Financials - DPU 1'!E74</f>
        <v>6796</v>
      </c>
      <c r="F6" s="116">
        <f>'Financials - DPU 1'!F74</f>
        <v>459</v>
      </c>
      <c r="G6" s="116">
        <f>'Financials - DPU 1'!G74</f>
        <v>0</v>
      </c>
      <c r="H6" s="116">
        <f>'Financials - DPU 1'!H74</f>
        <v>459</v>
      </c>
      <c r="I6" s="116">
        <f>'Financials - DPU 1'!I74</f>
        <v>9517</v>
      </c>
      <c r="J6" s="116">
        <f>'Financials - DPU 1'!J74</f>
        <v>0</v>
      </c>
      <c r="K6" s="116">
        <f>'Financials - DPU 1'!K74</f>
        <v>9517</v>
      </c>
      <c r="L6" s="116">
        <f>'Financials - DPU 1'!L74</f>
        <v>5552</v>
      </c>
      <c r="M6" s="116">
        <f>'Financials - DPU 1'!M74</f>
        <v>5600</v>
      </c>
      <c r="N6" s="116">
        <f>'Financials - DPU 1'!N74</f>
        <v>5600</v>
      </c>
      <c r="O6" s="117">
        <f>'Financials - DPU 1'!O74</f>
        <v>5600</v>
      </c>
    </row>
    <row r="7" spans="2:15" s="2" customFormat="1" ht="15.75" thickBot="1">
      <c r="B7" s="126" t="s">
        <v>192</v>
      </c>
      <c r="C7" s="124">
        <f>C4-C5-C6</f>
        <v>11191</v>
      </c>
      <c r="D7" s="124">
        <f t="shared" ref="D7:O7" si="0">D4-D5-D6</f>
        <v>0</v>
      </c>
      <c r="E7" s="124">
        <f t="shared" si="0"/>
        <v>11191</v>
      </c>
      <c r="F7" s="124">
        <f t="shared" si="0"/>
        <v>21369</v>
      </c>
      <c r="G7" s="124">
        <f t="shared" si="0"/>
        <v>0</v>
      </c>
      <c r="H7" s="124">
        <f t="shared" si="0"/>
        <v>21369</v>
      </c>
      <c r="I7" s="124">
        <f t="shared" si="0"/>
        <v>49548</v>
      </c>
      <c r="J7" s="124">
        <f t="shared" si="0"/>
        <v>0</v>
      </c>
      <c r="K7" s="124">
        <f t="shared" si="0"/>
        <v>49548</v>
      </c>
      <c r="L7" s="124">
        <f t="shared" si="0"/>
        <v>23148</v>
      </c>
      <c r="M7" s="124">
        <f t="shared" si="0"/>
        <v>152133.64999999997</v>
      </c>
      <c r="N7" s="124">
        <f t="shared" si="0"/>
        <v>116184.152</v>
      </c>
      <c r="O7" s="125">
        <f t="shared" si="0"/>
        <v>113310.25399999999</v>
      </c>
    </row>
    <row r="8" spans="2:15" s="118" customFormat="1">
      <c r="B8" s="218" t="str">
        <f>'Financials - DPU 1'!B9</f>
        <v>Water Revenue</v>
      </c>
      <c r="C8" s="219"/>
      <c r="D8" s="219"/>
      <c r="E8" s="219"/>
      <c r="F8" s="219"/>
      <c r="G8" s="219"/>
      <c r="H8" s="219"/>
      <c r="I8" s="219"/>
      <c r="J8" s="219"/>
      <c r="K8" s="219"/>
      <c r="L8" s="219"/>
      <c r="M8" s="219"/>
      <c r="N8" s="219"/>
      <c r="O8" s="220"/>
    </row>
    <row r="9" spans="2:15">
      <c r="B9" s="119" t="str">
        <f>'Financials - DPU 1'!B9</f>
        <v>Water Revenue</v>
      </c>
      <c r="C9" s="116">
        <f>'Financials - DPU 1'!C9</f>
        <v>0</v>
      </c>
      <c r="D9" s="116">
        <f>'Financials - DPU 1'!D9</f>
        <v>0</v>
      </c>
      <c r="E9" s="116">
        <f>'Financials - DPU 1'!E9</f>
        <v>0</v>
      </c>
      <c r="F9" s="116">
        <f>'Financials - DPU 1'!F9</f>
        <v>0</v>
      </c>
      <c r="G9" s="116">
        <f>'Financials - DPU 1'!G9</f>
        <v>0</v>
      </c>
      <c r="H9" s="116">
        <f>'Financials - DPU 1'!H9</f>
        <v>0</v>
      </c>
      <c r="I9" s="116">
        <f>'Financials - DPU 1'!I9</f>
        <v>0</v>
      </c>
      <c r="J9" s="116">
        <f>'Financials - DPU 1'!J9</f>
        <v>0</v>
      </c>
      <c r="K9" s="116">
        <f>'Financials - DPU 1'!K9</f>
        <v>0</v>
      </c>
      <c r="L9" s="116">
        <f>'Financials - DPU 1'!L9</f>
        <v>59944</v>
      </c>
      <c r="M9" s="116">
        <f>'Financials - DPU 1'!M9</f>
        <v>36972</v>
      </c>
      <c r="N9" s="116">
        <f>'Financials - DPU 1'!N9</f>
        <v>33180</v>
      </c>
      <c r="O9" s="117">
        <f>'Financials - DPU 1'!O9</f>
        <v>33180</v>
      </c>
    </row>
    <row r="10" spans="2:15">
      <c r="B10" s="119" t="str">
        <f>'Financials - DPU 1'!B99</f>
        <v>Total Water Expense</v>
      </c>
      <c r="C10" s="116">
        <f>'Financials - DPU 1'!C99</f>
        <v>0</v>
      </c>
      <c r="D10" s="116">
        <f>'Financials - DPU 1'!D99</f>
        <v>37917</v>
      </c>
      <c r="E10" s="116">
        <f>'Financials - DPU 1'!E99</f>
        <v>37917</v>
      </c>
      <c r="F10" s="116">
        <f>'Financials - DPU 1'!F99</f>
        <v>0</v>
      </c>
      <c r="G10" s="116">
        <f>'Financials - DPU 1'!G99</f>
        <v>67491</v>
      </c>
      <c r="H10" s="116">
        <f>'Financials - DPU 1'!H99</f>
        <v>67491</v>
      </c>
      <c r="I10" s="116">
        <f>'Financials - DPU 1'!I99</f>
        <v>0</v>
      </c>
      <c r="J10" s="116">
        <f>'Financials - DPU 1'!J99</f>
        <v>32236</v>
      </c>
      <c r="K10" s="116">
        <f>'Financials - DPU 1'!K99</f>
        <v>32236</v>
      </c>
      <c r="L10" s="116">
        <f>'Financials - DPU 1'!L99</f>
        <v>55464</v>
      </c>
      <c r="M10" s="116">
        <f>'Financials - DPU 1'!M99</f>
        <v>27578</v>
      </c>
      <c r="N10" s="116">
        <f>'Financials - DPU 1'!N99</f>
        <v>27578</v>
      </c>
      <c r="O10" s="117">
        <f>'Financials - DPU 1'!O99</f>
        <v>27578</v>
      </c>
    </row>
    <row r="11" spans="2:15" s="2" customFormat="1" ht="15.75" thickBot="1">
      <c r="B11" s="126" t="s">
        <v>193</v>
      </c>
      <c r="C11" s="124">
        <f>C9-C10</f>
        <v>0</v>
      </c>
      <c r="D11" s="124">
        <f t="shared" ref="D11:O11" si="1">D9-D10</f>
        <v>-37917</v>
      </c>
      <c r="E11" s="124">
        <f t="shared" si="1"/>
        <v>-37917</v>
      </c>
      <c r="F11" s="124">
        <f t="shared" si="1"/>
        <v>0</v>
      </c>
      <c r="G11" s="124">
        <f t="shared" si="1"/>
        <v>-67491</v>
      </c>
      <c r="H11" s="124">
        <f t="shared" si="1"/>
        <v>-67491</v>
      </c>
      <c r="I11" s="124">
        <f t="shared" si="1"/>
        <v>0</v>
      </c>
      <c r="J11" s="124">
        <f t="shared" si="1"/>
        <v>-32236</v>
      </c>
      <c r="K11" s="124">
        <f t="shared" si="1"/>
        <v>-32236</v>
      </c>
      <c r="L11" s="124">
        <f t="shared" si="1"/>
        <v>4480</v>
      </c>
      <c r="M11" s="124">
        <f t="shared" si="1"/>
        <v>9394</v>
      </c>
      <c r="N11" s="124">
        <f t="shared" si="1"/>
        <v>5602</v>
      </c>
      <c r="O11" s="125">
        <f t="shared" si="1"/>
        <v>5602</v>
      </c>
    </row>
    <row r="12" spans="2:15" s="118" customFormat="1">
      <c r="B12" s="218" t="str">
        <f>'Financials - DPU 1'!B10</f>
        <v>Sewer Revenue</v>
      </c>
      <c r="C12" s="219"/>
      <c r="D12" s="219"/>
      <c r="E12" s="219"/>
      <c r="F12" s="219"/>
      <c r="G12" s="219"/>
      <c r="H12" s="219"/>
      <c r="I12" s="219"/>
      <c r="J12" s="219"/>
      <c r="K12" s="219"/>
      <c r="L12" s="219"/>
      <c r="M12" s="219"/>
      <c r="N12" s="219"/>
      <c r="O12" s="220"/>
    </row>
    <row r="13" spans="2:15">
      <c r="B13" s="119" t="str">
        <f>'Financials - DPU 1'!B10</f>
        <v>Sewer Revenue</v>
      </c>
      <c r="C13" s="116">
        <f>'Financials - DPU 1'!C10</f>
        <v>0</v>
      </c>
      <c r="D13" s="116">
        <f>'Financials - DPU 1'!D10</f>
        <v>0</v>
      </c>
      <c r="E13" s="116">
        <f>'Financials - DPU 1'!E10</f>
        <v>0</v>
      </c>
      <c r="F13" s="116">
        <f>'Financials - DPU 1'!F10</f>
        <v>0</v>
      </c>
      <c r="G13" s="116">
        <f>'Financials - DPU 1'!G10</f>
        <v>0</v>
      </c>
      <c r="H13" s="116">
        <f>'Financials - DPU 1'!H10</f>
        <v>0</v>
      </c>
      <c r="I13" s="116">
        <f>'Financials - DPU 1'!I10</f>
        <v>0</v>
      </c>
      <c r="J13" s="116">
        <f>'Financials - DPU 1'!J10</f>
        <v>0</v>
      </c>
      <c r="K13" s="116">
        <f>'Financials - DPU 1'!K10</f>
        <v>0</v>
      </c>
      <c r="L13" s="116">
        <f>'Financials - DPU 1'!L10</f>
        <v>42486</v>
      </c>
      <c r="M13" s="116">
        <f>'Financials - DPU 1'!M10</f>
        <v>26544</v>
      </c>
      <c r="N13" s="116">
        <f>'Financials - DPU 1'!N10</f>
        <v>26544</v>
      </c>
      <c r="O13" s="117">
        <f>'Financials - DPU 1'!O10</f>
        <v>26544</v>
      </c>
    </row>
    <row r="14" spans="2:15">
      <c r="B14" s="119" t="str">
        <f>'Financials - DPU 1'!B89</f>
        <v>Total Wastewater Expense</v>
      </c>
      <c r="C14" s="116">
        <f>'Financials - DPU 1'!C89</f>
        <v>0</v>
      </c>
      <c r="D14" s="116">
        <f>'Financials - DPU 1'!D89</f>
        <v>6239</v>
      </c>
      <c r="E14" s="116">
        <f>'Financials - DPU 1'!E89</f>
        <v>6239</v>
      </c>
      <c r="F14" s="116">
        <f>'Financials - DPU 1'!F89</f>
        <v>0</v>
      </c>
      <c r="G14" s="116">
        <f>'Financials - DPU 1'!G89</f>
        <v>16175</v>
      </c>
      <c r="H14" s="116">
        <f>'Financials - DPU 1'!H89</f>
        <v>16175</v>
      </c>
      <c r="I14" s="116">
        <f>'Financials - DPU 1'!I89</f>
        <v>0</v>
      </c>
      <c r="J14" s="116">
        <f>'Financials - DPU 1'!J89</f>
        <v>1116</v>
      </c>
      <c r="K14" s="116">
        <f>'Financials - DPU 1'!K89</f>
        <v>1116</v>
      </c>
      <c r="L14" s="116">
        <f>'Financials - DPU 1'!L89</f>
        <v>0</v>
      </c>
      <c r="M14" s="116">
        <f>'Financials - DPU 1'!M89</f>
        <v>500</v>
      </c>
      <c r="N14" s="116">
        <f>'Financials - DPU 1'!N89</f>
        <v>500</v>
      </c>
      <c r="O14" s="117">
        <f>'Financials - DPU 1'!O89</f>
        <v>500</v>
      </c>
    </row>
    <row r="15" spans="2:15" s="2" customFormat="1" ht="15.75" thickBot="1">
      <c r="B15" s="126" t="s">
        <v>194</v>
      </c>
      <c r="C15" s="124">
        <f>C13-C14</f>
        <v>0</v>
      </c>
      <c r="D15" s="124">
        <f t="shared" ref="D15:O15" si="2">D13-D14</f>
        <v>-6239</v>
      </c>
      <c r="E15" s="124">
        <f t="shared" si="2"/>
        <v>-6239</v>
      </c>
      <c r="F15" s="124">
        <f t="shared" si="2"/>
        <v>0</v>
      </c>
      <c r="G15" s="124">
        <f t="shared" si="2"/>
        <v>-16175</v>
      </c>
      <c r="H15" s="124">
        <f t="shared" si="2"/>
        <v>-16175</v>
      </c>
      <c r="I15" s="124">
        <f t="shared" si="2"/>
        <v>0</v>
      </c>
      <c r="J15" s="124">
        <f t="shared" si="2"/>
        <v>-1116</v>
      </c>
      <c r="K15" s="124">
        <f t="shared" si="2"/>
        <v>-1116</v>
      </c>
      <c r="L15" s="124">
        <f t="shared" si="2"/>
        <v>42486</v>
      </c>
      <c r="M15" s="124">
        <f t="shared" si="2"/>
        <v>26044</v>
      </c>
      <c r="N15" s="124">
        <f t="shared" si="2"/>
        <v>26044</v>
      </c>
      <c r="O15" s="125">
        <f t="shared" si="2"/>
        <v>26044</v>
      </c>
    </row>
    <row r="16" spans="2:15" s="118" customFormat="1">
      <c r="B16" s="218" t="str">
        <f>'Financials - DPU 1'!B11</f>
        <v xml:space="preserve">Solid Waste Revenue </v>
      </c>
      <c r="C16" s="219"/>
      <c r="D16" s="219"/>
      <c r="E16" s="219"/>
      <c r="F16" s="219"/>
      <c r="G16" s="219"/>
      <c r="H16" s="219"/>
      <c r="I16" s="219"/>
      <c r="J16" s="219"/>
      <c r="K16" s="219"/>
      <c r="L16" s="219"/>
      <c r="M16" s="219"/>
      <c r="N16" s="219"/>
      <c r="O16" s="220"/>
    </row>
    <row r="17" spans="2:15">
      <c r="B17" s="119" t="str">
        <f>'Financials - DPU 1'!B11</f>
        <v xml:space="preserve">Solid Waste Revenue </v>
      </c>
      <c r="C17" s="116">
        <f>'Financials - DPU 1'!C11</f>
        <v>0</v>
      </c>
      <c r="D17" s="116">
        <f>'Financials - DPU 1'!D11</f>
        <v>0</v>
      </c>
      <c r="E17" s="116">
        <f>'Financials - DPU 1'!E11</f>
        <v>0</v>
      </c>
      <c r="F17" s="116">
        <f>'Financials - DPU 1'!F11</f>
        <v>0</v>
      </c>
      <c r="G17" s="116">
        <f>'Financials - DPU 1'!G11</f>
        <v>0</v>
      </c>
      <c r="H17" s="116">
        <f>'Financials - DPU 1'!H11</f>
        <v>0</v>
      </c>
      <c r="I17" s="116">
        <f>'Financials - DPU 1'!I11</f>
        <v>0</v>
      </c>
      <c r="J17" s="116">
        <f>'Financials - DPU 1'!J11</f>
        <v>0</v>
      </c>
      <c r="K17" s="116">
        <f>'Financials - DPU 1'!K11</f>
        <v>0</v>
      </c>
      <c r="L17" s="116">
        <f>'Financials - DPU 1'!L11</f>
        <v>19306</v>
      </c>
      <c r="M17" s="116">
        <f>'Financials - DPU 1'!M11</f>
        <v>19200</v>
      </c>
      <c r="N17" s="116">
        <f>'Financials - DPU 1'!N11</f>
        <v>19200</v>
      </c>
      <c r="O17" s="117">
        <f>'Financials - DPU 1'!O11</f>
        <v>19200</v>
      </c>
    </row>
    <row r="18" spans="2:15">
      <c r="B18" s="119" t="str">
        <f>'Financials - DPU 1'!B84</f>
        <v>Total Solid Waste Expense</v>
      </c>
      <c r="C18" s="116">
        <f>'Financials - DPU 1'!C84</f>
        <v>0</v>
      </c>
      <c r="D18" s="116">
        <f>'Financials - DPU 1'!D84</f>
        <v>8700</v>
      </c>
      <c r="E18" s="116">
        <f>'Financials - DPU 1'!E84</f>
        <v>8700</v>
      </c>
      <c r="F18" s="116">
        <f>'Financials - DPU 1'!F84</f>
        <v>0</v>
      </c>
      <c r="G18" s="116">
        <f>'Financials - DPU 1'!G84</f>
        <v>497</v>
      </c>
      <c r="H18" s="116">
        <f>'Financials - DPU 1'!H84</f>
        <v>497</v>
      </c>
      <c r="I18" s="116">
        <f>'Financials - DPU 1'!I84</f>
        <v>0</v>
      </c>
      <c r="J18" s="116">
        <f>'Financials - DPU 1'!J84</f>
        <v>0</v>
      </c>
      <c r="K18" s="116">
        <f>'Financials - DPU 1'!K84</f>
        <v>0</v>
      </c>
      <c r="L18" s="116">
        <f>'Financials - DPU 1'!L84</f>
        <v>112</v>
      </c>
      <c r="M18" s="116">
        <f>'Financials - DPU 1'!M84</f>
        <v>2000</v>
      </c>
      <c r="N18" s="116">
        <f>'Financials - DPU 1'!N84</f>
        <v>2000</v>
      </c>
      <c r="O18" s="117">
        <f>'Financials - DPU 1'!O84</f>
        <v>2000</v>
      </c>
    </row>
    <row r="19" spans="2:15" s="2" customFormat="1" ht="15.75" thickBot="1">
      <c r="B19" s="126" t="s">
        <v>195</v>
      </c>
      <c r="C19" s="124">
        <f>C17-C18</f>
        <v>0</v>
      </c>
      <c r="D19" s="124">
        <f t="shared" ref="D19:O19" si="3">D17-D18</f>
        <v>-8700</v>
      </c>
      <c r="E19" s="124">
        <f t="shared" si="3"/>
        <v>-8700</v>
      </c>
      <c r="F19" s="124">
        <f t="shared" si="3"/>
        <v>0</v>
      </c>
      <c r="G19" s="124">
        <f t="shared" si="3"/>
        <v>-497</v>
      </c>
      <c r="H19" s="124">
        <f t="shared" si="3"/>
        <v>-497</v>
      </c>
      <c r="I19" s="124">
        <f t="shared" si="3"/>
        <v>0</v>
      </c>
      <c r="J19" s="124">
        <f t="shared" si="3"/>
        <v>0</v>
      </c>
      <c r="K19" s="124">
        <f t="shared" si="3"/>
        <v>0</v>
      </c>
      <c r="L19" s="124">
        <f t="shared" si="3"/>
        <v>19194</v>
      </c>
      <c r="M19" s="124">
        <f t="shared" si="3"/>
        <v>17200</v>
      </c>
      <c r="N19" s="124">
        <f t="shared" si="3"/>
        <v>17200</v>
      </c>
      <c r="O19" s="125">
        <f t="shared" si="3"/>
        <v>17200</v>
      </c>
    </row>
    <row r="21" spans="2:15" hidden="1">
      <c r="B21" s="171" t="s">
        <v>274</v>
      </c>
      <c r="C21" s="171"/>
      <c r="D21" s="171"/>
      <c r="E21" s="172">
        <f>+E4+138073</f>
        <v>331571</v>
      </c>
      <c r="F21" s="171"/>
      <c r="G21" s="171"/>
      <c r="H21" s="172">
        <f>118901+H4</f>
        <v>370407</v>
      </c>
      <c r="I21" s="171"/>
      <c r="J21" s="171"/>
      <c r="K21" s="172">
        <f>+K4+77397</f>
        <v>400091</v>
      </c>
      <c r="L21" s="172">
        <f>+L4+L17+L13+L9</f>
        <v>371736</v>
      </c>
      <c r="M21" s="172">
        <f>+M17+M13+M9+M4</f>
        <v>464092</v>
      </c>
      <c r="N21" s="172">
        <f t="shared" ref="N21:O21" si="4">+N17+N13+N9+N4</f>
        <v>427224.4</v>
      </c>
      <c r="O21" s="172">
        <f t="shared" si="4"/>
        <v>427224.4</v>
      </c>
    </row>
    <row r="22" spans="2:15" hidden="1">
      <c r="B22" s="171" t="s">
        <v>275</v>
      </c>
      <c r="C22" s="171"/>
      <c r="D22" s="171"/>
      <c r="E22" s="173">
        <f>+E19+E15+E11+E7</f>
        <v>-41665</v>
      </c>
      <c r="F22" s="171"/>
      <c r="G22" s="171"/>
      <c r="H22" s="173">
        <f t="shared" ref="H22:O22" si="5">+H19+H15+H11+H7</f>
        <v>-62794</v>
      </c>
      <c r="I22" s="173">
        <f t="shared" si="5"/>
        <v>49548</v>
      </c>
      <c r="J22" s="173">
        <f t="shared" si="5"/>
        <v>-33352</v>
      </c>
      <c r="K22" s="173">
        <f t="shared" si="5"/>
        <v>16196</v>
      </c>
      <c r="L22" s="173">
        <f t="shared" si="5"/>
        <v>89308</v>
      </c>
      <c r="M22" s="173">
        <f t="shared" si="5"/>
        <v>204771.64999999997</v>
      </c>
      <c r="N22" s="173">
        <f t="shared" si="5"/>
        <v>165030.152</v>
      </c>
      <c r="O22" s="173">
        <f t="shared" si="5"/>
        <v>162156.25399999999</v>
      </c>
    </row>
    <row r="23" spans="2:15" hidden="1">
      <c r="B23" s="171" t="s">
        <v>276</v>
      </c>
      <c r="C23" s="171"/>
      <c r="D23" s="171"/>
      <c r="E23" s="173">
        <f>-'Financials - DPU 1'!E100</f>
        <v>-32302</v>
      </c>
      <c r="F23" s="173">
        <f>+'Financials - DPU 1'!F100</f>
        <v>29310</v>
      </c>
      <c r="G23" s="173">
        <f>+'Financials - DPU 1'!G100</f>
        <v>5259</v>
      </c>
      <c r="H23" s="173">
        <f>-'Financials - DPU 1'!H100</f>
        <v>-34569</v>
      </c>
      <c r="I23" s="173">
        <f>-'Financials - DPU 1'!I100</f>
        <v>-122596</v>
      </c>
      <c r="J23" s="173">
        <f>-'Financials - DPU 1'!J100</f>
        <v>-12659</v>
      </c>
      <c r="K23" s="173">
        <f>-'Financials - DPU 1'!K100</f>
        <v>-135255</v>
      </c>
      <c r="L23" s="173">
        <f>-'Financials - DPU 1'!L100</f>
        <v>-135000</v>
      </c>
      <c r="M23" s="173">
        <f>-'Financials - DPU 1'!M100</f>
        <v>-150000</v>
      </c>
      <c r="N23" s="173">
        <f>-'Financials - DPU 1'!N100</f>
        <v>-150000</v>
      </c>
      <c r="O23" s="173">
        <f>-'Financials - DPU 1'!O100</f>
        <v>-150000</v>
      </c>
    </row>
    <row r="24" spans="2:15" hidden="1">
      <c r="B24" s="171" t="s">
        <v>277</v>
      </c>
      <c r="C24" s="171"/>
      <c r="D24" s="171"/>
      <c r="E24" s="173">
        <f>-'Financials - DPU 1'!E110</f>
        <v>0</v>
      </c>
      <c r="F24" s="173">
        <f>-'Financials - DPU 1'!F110</f>
        <v>0</v>
      </c>
      <c r="G24" s="173">
        <f>-'Financials - DPU 1'!G110</f>
        <v>0</v>
      </c>
      <c r="H24" s="173">
        <f>-'Financials - DPU 1'!H110</f>
        <v>0</v>
      </c>
      <c r="I24" s="173">
        <f>-'Financials - DPU 1'!I110</f>
        <v>0</v>
      </c>
      <c r="J24" s="173">
        <f>-'Financials - DPU 1'!J110</f>
        <v>0</v>
      </c>
      <c r="K24" s="173">
        <f>-'Financials - DPU 1'!K110</f>
        <v>0</v>
      </c>
      <c r="L24" s="173">
        <v>-16000</v>
      </c>
      <c r="M24" s="173">
        <f>-'Financials - DPU 1'!M110</f>
        <v>-41000</v>
      </c>
      <c r="N24" s="173">
        <f>-'Financials - DPU 1'!N110</f>
        <v>-41000</v>
      </c>
      <c r="O24" s="173">
        <f>-'Financials - DPU 1'!O110</f>
        <v>-41000</v>
      </c>
    </row>
    <row r="25" spans="2:15" hidden="1">
      <c r="B25" s="171" t="s">
        <v>279</v>
      </c>
      <c r="C25" s="171"/>
      <c r="D25" s="171"/>
      <c r="E25" s="174">
        <f t="shared" ref="E25:N25" si="6">+E24+E23+E22</f>
        <v>-73967</v>
      </c>
      <c r="F25" s="174">
        <f t="shared" si="6"/>
        <v>29310</v>
      </c>
      <c r="G25" s="174">
        <f t="shared" si="6"/>
        <v>5259</v>
      </c>
      <c r="H25" s="174">
        <f t="shared" si="6"/>
        <v>-97363</v>
      </c>
      <c r="I25" s="174">
        <f t="shared" si="6"/>
        <v>-73048</v>
      </c>
      <c r="J25" s="174">
        <f t="shared" si="6"/>
        <v>-46011</v>
      </c>
      <c r="K25" s="174">
        <f t="shared" si="6"/>
        <v>-119059</v>
      </c>
      <c r="L25" s="174">
        <f t="shared" si="6"/>
        <v>-61692</v>
      </c>
      <c r="M25" s="174">
        <f>+M24+M23+M22</f>
        <v>13771.649999999965</v>
      </c>
      <c r="N25" s="174">
        <f t="shared" si="6"/>
        <v>-25969.847999999998</v>
      </c>
      <c r="O25" s="174">
        <f>+O24+O23+O22</f>
        <v>-28843.746000000014</v>
      </c>
    </row>
    <row r="26" spans="2:15" hidden="1">
      <c r="B26" s="171"/>
      <c r="C26" s="171"/>
      <c r="D26" s="171"/>
      <c r="E26" s="171"/>
      <c r="F26" s="171"/>
      <c r="G26" s="171"/>
      <c r="H26" s="171"/>
      <c r="I26" s="171"/>
      <c r="J26" s="171"/>
      <c r="K26" s="171"/>
      <c r="L26" s="171"/>
      <c r="M26" s="171"/>
      <c r="N26" s="171"/>
      <c r="O26" s="171"/>
    </row>
    <row r="27" spans="2:15" hidden="1">
      <c r="B27" s="171" t="s">
        <v>282</v>
      </c>
      <c r="C27" s="171"/>
      <c r="D27" s="171"/>
      <c r="E27" s="171"/>
      <c r="F27" s="171"/>
      <c r="G27" s="171"/>
      <c r="H27" s="171"/>
      <c r="I27" s="171"/>
      <c r="J27" s="171"/>
      <c r="K27" s="171"/>
      <c r="L27" s="181"/>
      <c r="M27" s="181">
        <f>+M7/25000</f>
        <v>6.0853459999999986</v>
      </c>
      <c r="N27" s="181">
        <f>+N7/25000</f>
        <v>4.6473660800000003</v>
      </c>
      <c r="O27" s="181">
        <f>+O7/25000</f>
        <v>4.5324101599999995</v>
      </c>
    </row>
  </sheetData>
  <mergeCells count="5">
    <mergeCell ref="B8:O8"/>
    <mergeCell ref="B12:O12"/>
    <mergeCell ref="B16:O16"/>
    <mergeCell ref="B3:O3"/>
    <mergeCell ref="B1:O1"/>
  </mergeCells>
  <pageMargins left="0.7" right="0.7" top="0.75" bottom="0.75" header="0.3" footer="0.3"/>
  <pageSetup scale="77" orientation="portrait" r:id="rId1"/>
</worksheet>
</file>

<file path=xl/worksheets/sheet3.xml><?xml version="1.0" encoding="utf-8"?>
<worksheet xmlns="http://schemas.openxmlformats.org/spreadsheetml/2006/main" xmlns:r="http://schemas.openxmlformats.org/officeDocument/2006/relationships">
  <sheetPr>
    <tabColor theme="6" tint="-0.249977111117893"/>
    <pageSetUpPr fitToPage="1"/>
  </sheetPr>
  <dimension ref="B1:J31"/>
  <sheetViews>
    <sheetView view="pageBreakPreview" zoomScale="80" zoomScaleNormal="85" zoomScaleSheetLayoutView="80" workbookViewId="0">
      <selection activeCell="D38" sqref="D38"/>
    </sheetView>
  </sheetViews>
  <sheetFormatPr defaultRowHeight="15"/>
  <cols>
    <col min="1" max="1" width="2.140625" customWidth="1"/>
    <col min="2" max="2" width="49.7109375" customWidth="1"/>
    <col min="3" max="3" width="14.42578125" bestFit="1" customWidth="1"/>
    <col min="4" max="6" width="14.85546875" bestFit="1" customWidth="1"/>
    <col min="7" max="7" width="13.42578125" customWidth="1"/>
    <col min="8" max="8" width="14.28515625" customWidth="1"/>
    <col min="9" max="9" width="14" bestFit="1" customWidth="1"/>
  </cols>
  <sheetData>
    <row r="1" spans="2:10" ht="20.25" customHeight="1">
      <c r="J1" s="194" t="s">
        <v>298</v>
      </c>
    </row>
    <row r="2" spans="2:10" ht="22.5" customHeight="1" thickBot="1">
      <c r="B2" s="205" t="s">
        <v>271</v>
      </c>
      <c r="C2" s="205"/>
      <c r="D2" s="205"/>
      <c r="E2" s="205"/>
      <c r="F2" s="205"/>
      <c r="G2" s="205"/>
      <c r="H2" s="205"/>
      <c r="I2" s="205"/>
    </row>
    <row r="3" spans="2:10" s="71" customFormat="1" ht="30">
      <c r="B3" s="67"/>
      <c r="C3" s="68">
        <v>2010</v>
      </c>
      <c r="D3" s="68">
        <v>2011</v>
      </c>
      <c r="E3" s="68">
        <v>2012</v>
      </c>
      <c r="F3" s="68">
        <v>2013</v>
      </c>
      <c r="G3" s="69" t="s">
        <v>171</v>
      </c>
      <c r="H3" s="69" t="s">
        <v>172</v>
      </c>
      <c r="I3" s="70" t="s">
        <v>173</v>
      </c>
    </row>
    <row r="4" spans="2:10" s="4" customFormat="1">
      <c r="B4" s="224" t="s">
        <v>159</v>
      </c>
      <c r="C4" s="225"/>
      <c r="D4" s="225"/>
      <c r="E4" s="225"/>
      <c r="F4" s="225"/>
      <c r="G4" s="225"/>
      <c r="H4" s="225"/>
      <c r="I4" s="226"/>
    </row>
    <row r="5" spans="2:10">
      <c r="B5" s="20" t="s">
        <v>97</v>
      </c>
      <c r="C5" s="129">
        <v>169698</v>
      </c>
      <c r="D5" s="129">
        <v>224078</v>
      </c>
      <c r="E5" s="129">
        <v>257026</v>
      </c>
      <c r="F5" s="129">
        <v>250000</v>
      </c>
      <c r="G5" s="102">
        <f>'Demand and Fuel Use'!$C$22*'Assumptions - DPU 3'!G6</f>
        <v>215542.35000000003</v>
      </c>
      <c r="H5" s="102">
        <f>'Demand and Fuel Use'!$C$22*'Assumptions - DPU 3'!H6</f>
        <v>218416.24800000002</v>
      </c>
      <c r="I5" s="114">
        <f>'Demand and Fuel Use'!$C$22*'Assumptions - DPU 3'!I6</f>
        <v>221290.14600000004</v>
      </c>
    </row>
    <row r="6" spans="2:10">
      <c r="B6" s="20" t="s">
        <v>174</v>
      </c>
      <c r="C6" s="129">
        <v>3.0259999999999998</v>
      </c>
      <c r="D6" s="129">
        <v>3.867</v>
      </c>
      <c r="E6" s="129">
        <v>3.9820000000000002</v>
      </c>
      <c r="F6" s="129">
        <v>3.75</v>
      </c>
      <c r="G6" s="129">
        <v>3.75</v>
      </c>
      <c r="H6" s="129">
        <v>3.8</v>
      </c>
      <c r="I6" s="130">
        <v>3.85</v>
      </c>
    </row>
    <row r="7" spans="2:10">
      <c r="B7" s="128" t="s">
        <v>66</v>
      </c>
      <c r="C7" s="131">
        <v>530123</v>
      </c>
      <c r="D7" s="131">
        <v>343555</v>
      </c>
      <c r="E7" s="131">
        <v>430197</v>
      </c>
      <c r="F7" s="131">
        <v>400000</v>
      </c>
      <c r="G7" s="131">
        <v>400000</v>
      </c>
      <c r="H7" s="131">
        <v>405000</v>
      </c>
      <c r="I7" s="132">
        <v>410000</v>
      </c>
    </row>
    <row r="8" spans="2:10">
      <c r="B8" s="20" t="s">
        <v>67</v>
      </c>
      <c r="C8" s="149" t="s">
        <v>164</v>
      </c>
      <c r="D8" s="149">
        <v>59</v>
      </c>
      <c r="E8" s="149">
        <v>56</v>
      </c>
      <c r="F8" s="149">
        <v>14</v>
      </c>
      <c r="G8" s="149">
        <v>14</v>
      </c>
      <c r="H8" s="149">
        <v>14</v>
      </c>
      <c r="I8" s="150">
        <v>14</v>
      </c>
    </row>
    <row r="9" spans="2:10">
      <c r="B9" s="20" t="s">
        <v>232</v>
      </c>
      <c r="C9" s="149" t="s">
        <v>164</v>
      </c>
      <c r="D9" s="149" t="s">
        <v>236</v>
      </c>
      <c r="E9" s="149" t="s">
        <v>236</v>
      </c>
      <c r="F9" s="149">
        <v>11</v>
      </c>
      <c r="G9" s="149">
        <v>11</v>
      </c>
      <c r="H9" s="149">
        <v>11</v>
      </c>
      <c r="I9" s="150">
        <v>11</v>
      </c>
    </row>
    <row r="10" spans="2:10">
      <c r="B10" s="20" t="s">
        <v>233</v>
      </c>
      <c r="C10" s="149" t="s">
        <v>164</v>
      </c>
      <c r="D10" s="149" t="s">
        <v>236</v>
      </c>
      <c r="E10" s="149" t="s">
        <v>236</v>
      </c>
      <c r="F10" s="149">
        <v>5</v>
      </c>
      <c r="G10" s="149">
        <v>5</v>
      </c>
      <c r="H10" s="149">
        <v>5</v>
      </c>
      <c r="I10" s="150">
        <v>5</v>
      </c>
    </row>
    <row r="11" spans="2:10">
      <c r="B11" s="20" t="s">
        <v>234</v>
      </c>
      <c r="C11" s="149" t="s">
        <v>164</v>
      </c>
      <c r="D11" s="149" t="s">
        <v>236</v>
      </c>
      <c r="E11" s="149" t="s">
        <v>236</v>
      </c>
      <c r="F11" s="149">
        <v>6</v>
      </c>
      <c r="G11" s="149">
        <v>6</v>
      </c>
      <c r="H11" s="149">
        <v>6</v>
      </c>
      <c r="I11" s="150">
        <v>6</v>
      </c>
    </row>
    <row r="12" spans="2:10">
      <c r="B12" s="20" t="s">
        <v>235</v>
      </c>
      <c r="C12" s="149" t="s">
        <v>164</v>
      </c>
      <c r="D12" s="149" t="s">
        <v>236</v>
      </c>
      <c r="E12" s="149" t="s">
        <v>236</v>
      </c>
      <c r="F12" s="149">
        <v>1</v>
      </c>
      <c r="G12" s="149">
        <v>1</v>
      </c>
      <c r="H12" s="149">
        <v>1</v>
      </c>
      <c r="I12" s="150">
        <v>1</v>
      </c>
    </row>
    <row r="13" spans="2:10">
      <c r="B13" s="20" t="s">
        <v>237</v>
      </c>
      <c r="C13" s="149" t="s">
        <v>164</v>
      </c>
      <c r="D13" s="149" t="s">
        <v>236</v>
      </c>
      <c r="E13" s="149" t="s">
        <v>236</v>
      </c>
      <c r="F13" s="149">
        <v>2</v>
      </c>
      <c r="G13" s="149">
        <v>2</v>
      </c>
      <c r="H13" s="149">
        <v>2</v>
      </c>
      <c r="I13" s="150">
        <v>2</v>
      </c>
    </row>
    <row r="14" spans="2:10">
      <c r="B14" s="20" t="s">
        <v>68</v>
      </c>
      <c r="C14" s="149" t="s">
        <v>164</v>
      </c>
      <c r="D14" s="149">
        <f>101-D8</f>
        <v>42</v>
      </c>
      <c r="E14" s="149">
        <f>89-E8</f>
        <v>33</v>
      </c>
      <c r="F14" s="149">
        <v>57</v>
      </c>
      <c r="G14" s="179">
        <v>25</v>
      </c>
      <c r="H14" s="179">
        <f>+G14</f>
        <v>25</v>
      </c>
      <c r="I14" s="180">
        <f>+H14</f>
        <v>25</v>
      </c>
    </row>
    <row r="15" spans="2:10">
      <c r="B15" s="20" t="s">
        <v>259</v>
      </c>
      <c r="C15" s="149">
        <v>1</v>
      </c>
      <c r="D15" s="149">
        <v>1</v>
      </c>
      <c r="E15" s="149">
        <v>1</v>
      </c>
      <c r="F15" s="149">
        <v>1</v>
      </c>
      <c r="G15" s="149">
        <v>3</v>
      </c>
      <c r="H15" s="149">
        <v>3</v>
      </c>
      <c r="I15" s="150">
        <v>3</v>
      </c>
    </row>
    <row r="16" spans="2:10">
      <c r="B16" s="20" t="s">
        <v>211</v>
      </c>
      <c r="C16" s="149">
        <v>0</v>
      </c>
      <c r="D16" s="149">
        <v>0</v>
      </c>
      <c r="E16" s="149">
        <v>0</v>
      </c>
      <c r="F16" s="149">
        <v>0</v>
      </c>
      <c r="G16" s="149">
        <v>1</v>
      </c>
      <c r="H16" s="149">
        <v>1</v>
      </c>
      <c r="I16" s="150">
        <v>1</v>
      </c>
    </row>
    <row r="17" spans="2:10">
      <c r="B17" s="20" t="s">
        <v>260</v>
      </c>
      <c r="C17" s="149">
        <v>1</v>
      </c>
      <c r="D17" s="149">
        <v>1</v>
      </c>
      <c r="E17" s="149">
        <v>1</v>
      </c>
      <c r="F17" s="149">
        <v>1</v>
      </c>
      <c r="G17" s="149">
        <v>1</v>
      </c>
      <c r="H17" s="149">
        <v>1</v>
      </c>
      <c r="I17" s="150">
        <v>1</v>
      </c>
    </row>
    <row r="18" spans="2:10">
      <c r="B18" s="20" t="s">
        <v>212</v>
      </c>
      <c r="C18" s="149">
        <v>0</v>
      </c>
      <c r="D18" s="149">
        <v>0</v>
      </c>
      <c r="E18" s="149">
        <v>0</v>
      </c>
      <c r="F18" s="149">
        <v>0</v>
      </c>
      <c r="G18" s="149">
        <v>0</v>
      </c>
      <c r="H18" s="149">
        <v>0</v>
      </c>
      <c r="I18" s="150">
        <v>0</v>
      </c>
    </row>
    <row r="19" spans="2:10">
      <c r="B19" s="224" t="s">
        <v>12</v>
      </c>
      <c r="C19" s="225"/>
      <c r="D19" s="225"/>
      <c r="E19" s="225"/>
      <c r="F19" s="225"/>
      <c r="G19" s="225"/>
      <c r="H19" s="225"/>
      <c r="I19" s="226"/>
    </row>
    <row r="20" spans="2:10">
      <c r="B20" s="20" t="s">
        <v>257</v>
      </c>
      <c r="C20" s="149" t="s">
        <v>164</v>
      </c>
      <c r="D20" s="149">
        <v>59</v>
      </c>
      <c r="E20" s="149">
        <v>56</v>
      </c>
      <c r="F20" s="149">
        <v>49</v>
      </c>
      <c r="G20" s="179">
        <f>+G14+50</f>
        <v>75</v>
      </c>
      <c r="H20" s="179">
        <f>+G20</f>
        <v>75</v>
      </c>
      <c r="I20" s="180">
        <f>+H20</f>
        <v>75</v>
      </c>
      <c r="J20" s="145" t="s">
        <v>219</v>
      </c>
    </row>
    <row r="21" spans="2:10">
      <c r="B21" s="20" t="s">
        <v>256</v>
      </c>
      <c r="C21" s="149" t="s">
        <v>164</v>
      </c>
      <c r="D21" s="149"/>
      <c r="E21" s="149"/>
      <c r="F21" s="149">
        <v>4</v>
      </c>
      <c r="G21" s="149">
        <v>4</v>
      </c>
      <c r="H21" s="149">
        <v>4</v>
      </c>
      <c r="I21" s="150">
        <v>4</v>
      </c>
    </row>
    <row r="22" spans="2:10">
      <c r="B22" s="224" t="s">
        <v>11</v>
      </c>
      <c r="C22" s="225"/>
      <c r="D22" s="225"/>
      <c r="E22" s="225"/>
      <c r="F22" s="225"/>
      <c r="G22" s="225"/>
      <c r="H22" s="225"/>
      <c r="I22" s="226"/>
    </row>
    <row r="23" spans="2:10">
      <c r="B23" s="20" t="s">
        <v>254</v>
      </c>
      <c r="C23" s="149" t="s">
        <v>164</v>
      </c>
      <c r="D23" s="149">
        <v>59</v>
      </c>
      <c r="E23" s="149">
        <v>56</v>
      </c>
      <c r="F23" s="149">
        <v>48</v>
      </c>
      <c r="G23" s="179">
        <f>+G20</f>
        <v>75</v>
      </c>
      <c r="H23" s="179">
        <f>+G23</f>
        <v>75</v>
      </c>
      <c r="I23" s="180">
        <f>+H23</f>
        <v>75</v>
      </c>
    </row>
    <row r="24" spans="2:10">
      <c r="B24" s="20" t="s">
        <v>255</v>
      </c>
      <c r="C24" s="149" t="s">
        <v>164</v>
      </c>
      <c r="D24" s="149">
        <v>4</v>
      </c>
      <c r="E24" s="149">
        <v>4</v>
      </c>
      <c r="F24" s="149">
        <v>4</v>
      </c>
      <c r="G24" s="149">
        <v>4</v>
      </c>
      <c r="H24" s="149">
        <v>4</v>
      </c>
      <c r="I24" s="150">
        <v>4</v>
      </c>
    </row>
    <row r="25" spans="2:10">
      <c r="B25" s="224" t="s">
        <v>160</v>
      </c>
      <c r="C25" s="225"/>
      <c r="D25" s="225"/>
      <c r="E25" s="225"/>
      <c r="F25" s="225"/>
      <c r="G25" s="225"/>
      <c r="H25" s="225"/>
      <c r="I25" s="226"/>
    </row>
    <row r="26" spans="2:10">
      <c r="B26" s="20" t="s">
        <v>252</v>
      </c>
      <c r="C26" s="149" t="s">
        <v>164</v>
      </c>
      <c r="D26" s="149">
        <v>59</v>
      </c>
      <c r="E26" s="149">
        <v>56</v>
      </c>
      <c r="F26" s="149">
        <v>48</v>
      </c>
      <c r="G26" s="179">
        <f>+G23</f>
        <v>75</v>
      </c>
      <c r="H26" s="179">
        <f>+G26</f>
        <v>75</v>
      </c>
      <c r="I26" s="180">
        <f>+H26</f>
        <v>75</v>
      </c>
    </row>
    <row r="27" spans="2:10" ht="15.75" thickBot="1">
      <c r="B27" s="21" t="s">
        <v>253</v>
      </c>
      <c r="C27" s="151" t="s">
        <v>164</v>
      </c>
      <c r="D27" s="151">
        <v>4</v>
      </c>
      <c r="E27" s="151">
        <v>4</v>
      </c>
      <c r="F27" s="151">
        <v>4</v>
      </c>
      <c r="G27" s="151">
        <v>4</v>
      </c>
      <c r="H27" s="151">
        <v>4</v>
      </c>
      <c r="I27" s="152">
        <v>4</v>
      </c>
    </row>
    <row r="28" spans="2:10" ht="46.5" customHeight="1">
      <c r="B28" s="227" t="s">
        <v>213</v>
      </c>
      <c r="C28" s="228"/>
      <c r="D28" s="228"/>
      <c r="E28" s="228"/>
      <c r="F28" s="228"/>
      <c r="G28" s="228"/>
      <c r="H28" s="228"/>
      <c r="I28" s="229"/>
    </row>
    <row r="29" spans="2:10" ht="46.5" customHeight="1">
      <c r="B29" s="230"/>
      <c r="C29" s="231"/>
      <c r="D29" s="231"/>
      <c r="E29" s="231"/>
      <c r="F29" s="231"/>
      <c r="G29" s="231"/>
      <c r="H29" s="231"/>
      <c r="I29" s="232"/>
    </row>
    <row r="30" spans="2:10" ht="46.5" customHeight="1" thickBot="1">
      <c r="B30" s="233"/>
      <c r="C30" s="234"/>
      <c r="D30" s="234"/>
      <c r="E30" s="234"/>
      <c r="F30" s="234"/>
      <c r="G30" s="234"/>
      <c r="H30" s="234"/>
      <c r="I30" s="235"/>
    </row>
    <row r="31" spans="2:10" ht="46.5" customHeight="1" thickBot="1">
      <c r="B31" s="221" t="s">
        <v>258</v>
      </c>
      <c r="C31" s="222"/>
      <c r="D31" s="222"/>
      <c r="E31" s="222"/>
      <c r="F31" s="222"/>
      <c r="G31" s="222"/>
      <c r="H31" s="222"/>
      <c r="I31" s="223"/>
    </row>
  </sheetData>
  <mergeCells count="7">
    <mergeCell ref="B2:I2"/>
    <mergeCell ref="B31:I31"/>
    <mergeCell ref="B4:I4"/>
    <mergeCell ref="B19:I19"/>
    <mergeCell ref="B22:I22"/>
    <mergeCell ref="B25:I25"/>
    <mergeCell ref="B28:I30"/>
  </mergeCell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sheetPr>
    <tabColor theme="6" tint="-0.249977111117893"/>
    <pageSetUpPr fitToPage="1"/>
  </sheetPr>
  <dimension ref="B1:J49"/>
  <sheetViews>
    <sheetView view="pageBreakPreview" topLeftCell="A103" zoomScale="80" zoomScaleNormal="85" zoomScaleSheetLayoutView="80" zoomScalePageLayoutView="55" workbookViewId="0">
      <selection activeCell="D72" sqref="D72"/>
    </sheetView>
  </sheetViews>
  <sheetFormatPr defaultRowHeight="15"/>
  <cols>
    <col min="1" max="1" width="2.140625" style="16" customWidth="1"/>
    <col min="2" max="2" width="17.140625" style="66" customWidth="1"/>
    <col min="3" max="3" width="44.5703125" style="16" customWidth="1"/>
    <col min="4" max="6" width="16" style="16" customWidth="1"/>
    <col min="7" max="7" width="10.5703125" style="16" customWidth="1"/>
    <col min="8" max="8" width="3.7109375" style="16" hidden="1" customWidth="1"/>
    <col min="9" max="10" width="12.140625" style="139" customWidth="1"/>
    <col min="11" max="18" width="14.42578125" style="16" customWidth="1"/>
    <col min="19" max="16384" width="9.140625" style="16"/>
  </cols>
  <sheetData>
    <row r="1" spans="2:10" ht="21" customHeight="1">
      <c r="J1" s="194" t="s">
        <v>300</v>
      </c>
    </row>
    <row r="2" spans="2:10" ht="30" customHeight="1" thickBot="1">
      <c r="B2" s="236" t="s">
        <v>272</v>
      </c>
      <c r="C2" s="236"/>
      <c r="D2" s="236"/>
      <c r="E2" s="236"/>
      <c r="F2" s="236"/>
      <c r="G2" s="236"/>
    </row>
    <row r="3" spans="2:10" ht="60">
      <c r="B3" s="238"/>
      <c r="C3" s="239"/>
      <c r="D3" s="82" t="s">
        <v>182</v>
      </c>
      <c r="E3" s="82" t="s">
        <v>183</v>
      </c>
      <c r="F3" s="84" t="s">
        <v>184</v>
      </c>
      <c r="G3" s="83"/>
      <c r="I3" s="178" t="s">
        <v>280</v>
      </c>
      <c r="J3" s="178" t="s">
        <v>281</v>
      </c>
    </row>
    <row r="4" spans="2:10" ht="30" customHeight="1">
      <c r="B4" s="161" t="s">
        <v>77</v>
      </c>
      <c r="C4" s="162"/>
      <c r="D4" s="162"/>
      <c r="E4" s="237" t="s">
        <v>219</v>
      </c>
      <c r="F4" s="237"/>
      <c r="G4" s="163"/>
      <c r="I4" s="175"/>
      <c r="J4" s="175"/>
    </row>
    <row r="5" spans="2:10">
      <c r="B5" s="240" t="s">
        <v>70</v>
      </c>
      <c r="C5" s="76" t="s">
        <v>147</v>
      </c>
      <c r="D5" s="103">
        <v>75</v>
      </c>
      <c r="E5" s="28">
        <f>D5*0.9</f>
        <v>67.5</v>
      </c>
      <c r="F5" s="28">
        <f>D5*0.9</f>
        <v>67.5</v>
      </c>
      <c r="G5" s="77" t="s">
        <v>71</v>
      </c>
      <c r="I5" s="175"/>
      <c r="J5" s="176">
        <f>+D5</f>
        <v>75</v>
      </c>
    </row>
    <row r="6" spans="2:10">
      <c r="B6" s="241"/>
      <c r="C6" s="76" t="s">
        <v>148</v>
      </c>
      <c r="D6" s="103">
        <v>0.7</v>
      </c>
      <c r="E6" s="28">
        <f>D6*0.9</f>
        <v>0.63</v>
      </c>
      <c r="F6" s="28">
        <f>D6*0.9</f>
        <v>0.63</v>
      </c>
      <c r="G6" s="77" t="s">
        <v>149</v>
      </c>
      <c r="I6" s="175"/>
      <c r="J6" s="175"/>
    </row>
    <row r="7" spans="2:10">
      <c r="B7" s="242"/>
      <c r="C7" s="76" t="s">
        <v>150</v>
      </c>
      <c r="D7" s="103">
        <v>75</v>
      </c>
      <c r="E7" s="28">
        <v>75</v>
      </c>
      <c r="F7" s="28">
        <v>75</v>
      </c>
      <c r="G7" s="77" t="s">
        <v>71</v>
      </c>
      <c r="I7" s="175"/>
      <c r="J7" s="175"/>
    </row>
    <row r="8" spans="2:10">
      <c r="B8" s="240" t="s">
        <v>226</v>
      </c>
      <c r="C8" s="76" t="s">
        <v>147</v>
      </c>
      <c r="D8" s="103">
        <v>152</v>
      </c>
      <c r="E8" s="28">
        <f>D8*0.9</f>
        <v>136.80000000000001</v>
      </c>
      <c r="F8" s="28">
        <f>D8*0.9</f>
        <v>136.80000000000001</v>
      </c>
      <c r="G8" s="77" t="s">
        <v>71</v>
      </c>
      <c r="I8" s="176"/>
      <c r="J8" s="175"/>
    </row>
    <row r="9" spans="2:10">
      <c r="B9" s="241"/>
      <c r="C9" s="76" t="s">
        <v>231</v>
      </c>
      <c r="D9" s="103">
        <v>0.46</v>
      </c>
      <c r="E9" s="28">
        <f>D9*0.9</f>
        <v>0.41400000000000003</v>
      </c>
      <c r="F9" s="28">
        <f>D9*0.9</f>
        <v>0.41400000000000003</v>
      </c>
      <c r="G9" s="77" t="s">
        <v>149</v>
      </c>
      <c r="I9" s="175"/>
      <c r="J9" s="175"/>
    </row>
    <row r="10" spans="2:10">
      <c r="B10" s="242"/>
      <c r="C10" s="76" t="s">
        <v>150</v>
      </c>
      <c r="D10" s="103">
        <v>152</v>
      </c>
      <c r="E10" s="28">
        <v>152</v>
      </c>
      <c r="F10" s="28">
        <v>152</v>
      </c>
      <c r="G10" s="77" t="s">
        <v>71</v>
      </c>
      <c r="I10" s="175"/>
      <c r="J10" s="175"/>
    </row>
    <row r="11" spans="2:10">
      <c r="B11" s="240" t="s">
        <v>227</v>
      </c>
      <c r="C11" s="76" t="s">
        <v>147</v>
      </c>
      <c r="D11" s="103">
        <v>232</v>
      </c>
      <c r="E11" s="28">
        <f>D11*0.9</f>
        <v>208.8</v>
      </c>
      <c r="F11" s="28">
        <f>D11*0.9</f>
        <v>208.8</v>
      </c>
      <c r="G11" s="77" t="s">
        <v>71</v>
      </c>
      <c r="I11" s="176">
        <f>+D11</f>
        <v>232</v>
      </c>
      <c r="J11" s="175"/>
    </row>
    <row r="12" spans="2:10">
      <c r="B12" s="241"/>
      <c r="C12" s="76" t="s">
        <v>231</v>
      </c>
      <c r="D12" s="103">
        <v>0.43</v>
      </c>
      <c r="E12" s="28">
        <f>D12*0.9</f>
        <v>0.38700000000000001</v>
      </c>
      <c r="F12" s="28">
        <f>D12*0.9</f>
        <v>0.38700000000000001</v>
      </c>
      <c r="G12" s="77" t="s">
        <v>149</v>
      </c>
      <c r="I12" s="175"/>
      <c r="J12" s="175"/>
    </row>
    <row r="13" spans="2:10">
      <c r="B13" s="242"/>
      <c r="C13" s="76" t="s">
        <v>150</v>
      </c>
      <c r="D13" s="103">
        <v>232</v>
      </c>
      <c r="E13" s="28">
        <v>232</v>
      </c>
      <c r="F13" s="28">
        <v>232</v>
      </c>
      <c r="G13" s="77" t="s">
        <v>71</v>
      </c>
      <c r="I13" s="175"/>
      <c r="J13" s="175"/>
    </row>
    <row r="14" spans="2:10">
      <c r="B14" s="240" t="s">
        <v>228</v>
      </c>
      <c r="C14" s="76" t="s">
        <v>147</v>
      </c>
      <c r="D14" s="103">
        <v>300</v>
      </c>
      <c r="E14" s="28">
        <f>D14*0.9</f>
        <v>270</v>
      </c>
      <c r="F14" s="28">
        <f>D14*0.9</f>
        <v>270</v>
      </c>
      <c r="G14" s="77" t="s">
        <v>71</v>
      </c>
      <c r="I14" s="175"/>
      <c r="J14" s="175"/>
    </row>
    <row r="15" spans="2:10">
      <c r="B15" s="241"/>
      <c r="C15" s="76" t="s">
        <v>231</v>
      </c>
      <c r="D15" s="103">
        <v>0.4</v>
      </c>
      <c r="E15" s="28">
        <f>D15*0.9</f>
        <v>0.36000000000000004</v>
      </c>
      <c r="F15" s="28">
        <f>D15*0.9</f>
        <v>0.36000000000000004</v>
      </c>
      <c r="G15" s="77" t="s">
        <v>149</v>
      </c>
      <c r="I15" s="175"/>
      <c r="J15" s="175"/>
    </row>
    <row r="16" spans="2:10">
      <c r="B16" s="242"/>
      <c r="C16" s="76" t="s">
        <v>150</v>
      </c>
      <c r="D16" s="103">
        <v>300</v>
      </c>
      <c r="E16" s="28">
        <v>300</v>
      </c>
      <c r="F16" s="28">
        <v>300</v>
      </c>
      <c r="G16" s="77" t="s">
        <v>71</v>
      </c>
      <c r="I16" s="175"/>
      <c r="J16" s="175"/>
    </row>
    <row r="17" spans="2:10">
      <c r="B17" s="240" t="s">
        <v>229</v>
      </c>
      <c r="C17" s="76" t="s">
        <v>147</v>
      </c>
      <c r="D17" s="103">
        <v>356</v>
      </c>
      <c r="E17" s="28">
        <f>D17*0.9</f>
        <v>320.40000000000003</v>
      </c>
      <c r="F17" s="28">
        <f>D17*0.9</f>
        <v>320.40000000000003</v>
      </c>
      <c r="G17" s="77" t="s">
        <v>71</v>
      </c>
      <c r="I17" s="175"/>
      <c r="J17" s="175"/>
    </row>
    <row r="18" spans="2:10">
      <c r="B18" s="241"/>
      <c r="C18" s="76" t="s">
        <v>231</v>
      </c>
      <c r="D18" s="103">
        <v>0.37</v>
      </c>
      <c r="E18" s="28">
        <f>D18*0.9</f>
        <v>0.33300000000000002</v>
      </c>
      <c r="F18" s="28">
        <f>D18*0.9</f>
        <v>0.33300000000000002</v>
      </c>
      <c r="G18" s="77" t="s">
        <v>149</v>
      </c>
      <c r="I18" s="175"/>
      <c r="J18" s="175"/>
    </row>
    <row r="19" spans="2:10">
      <c r="B19" s="242"/>
      <c r="C19" s="76" t="s">
        <v>150</v>
      </c>
      <c r="D19" s="103">
        <v>356</v>
      </c>
      <c r="E19" s="28">
        <v>356</v>
      </c>
      <c r="F19" s="28">
        <v>356</v>
      </c>
      <c r="G19" s="77" t="s">
        <v>71</v>
      </c>
      <c r="I19" s="175"/>
      <c r="J19" s="175"/>
    </row>
    <row r="20" spans="2:10">
      <c r="B20" s="240" t="s">
        <v>230</v>
      </c>
      <c r="C20" s="76" t="s">
        <v>147</v>
      </c>
      <c r="D20" s="103">
        <v>400</v>
      </c>
      <c r="E20" s="28">
        <f>D20*0.9</f>
        <v>360</v>
      </c>
      <c r="F20" s="28">
        <f>D20*0.9</f>
        <v>360</v>
      </c>
      <c r="G20" s="77" t="s">
        <v>71</v>
      </c>
      <c r="I20" s="175"/>
      <c r="J20" s="175"/>
    </row>
    <row r="21" spans="2:10">
      <c r="B21" s="241"/>
      <c r="C21" s="76" t="s">
        <v>231</v>
      </c>
      <c r="D21" s="103">
        <v>0.34</v>
      </c>
      <c r="E21" s="28">
        <f>D21*0.9</f>
        <v>0.30600000000000005</v>
      </c>
      <c r="F21" s="28">
        <f>D21*0.9</f>
        <v>0.30600000000000005</v>
      </c>
      <c r="G21" s="77" t="s">
        <v>149</v>
      </c>
      <c r="I21" s="175"/>
      <c r="J21" s="175"/>
    </row>
    <row r="22" spans="2:10">
      <c r="B22" s="242"/>
      <c r="C22" s="76" t="s">
        <v>150</v>
      </c>
      <c r="D22" s="103">
        <v>400</v>
      </c>
      <c r="E22" s="28">
        <v>400</v>
      </c>
      <c r="F22" s="28">
        <v>400</v>
      </c>
      <c r="G22" s="77" t="s">
        <v>71</v>
      </c>
      <c r="I22" s="175"/>
      <c r="J22" s="175"/>
    </row>
    <row r="23" spans="2:10" ht="30" customHeight="1">
      <c r="B23" s="240" t="s">
        <v>158</v>
      </c>
      <c r="C23" s="76" t="s">
        <v>147</v>
      </c>
      <c r="D23" s="103">
        <v>260</v>
      </c>
      <c r="E23" s="28">
        <f>D23*0.9</f>
        <v>234</v>
      </c>
      <c r="F23" s="28">
        <f>D23*0.9</f>
        <v>234</v>
      </c>
      <c r="G23" s="77" t="s">
        <v>71</v>
      </c>
      <c r="I23" s="175"/>
      <c r="J23" s="175"/>
    </row>
    <row r="24" spans="2:10">
      <c r="B24" s="241"/>
      <c r="C24" s="76" t="s">
        <v>148</v>
      </c>
      <c r="D24" s="103">
        <v>0.7</v>
      </c>
      <c r="E24" s="28">
        <f>D24*0.9</f>
        <v>0.63</v>
      </c>
      <c r="F24" s="28">
        <f>D24*0.9</f>
        <v>0.63</v>
      </c>
      <c r="G24" s="77" t="s">
        <v>149</v>
      </c>
      <c r="I24" s="175"/>
      <c r="J24" s="175"/>
    </row>
    <row r="25" spans="2:10">
      <c r="B25" s="242"/>
      <c r="C25" s="76" t="s">
        <v>150</v>
      </c>
      <c r="D25" s="103">
        <v>260</v>
      </c>
      <c r="E25" s="28">
        <v>260</v>
      </c>
      <c r="F25" s="28">
        <v>260</v>
      </c>
      <c r="G25" s="77" t="s">
        <v>71</v>
      </c>
      <c r="I25" s="175"/>
      <c r="J25" s="175"/>
    </row>
    <row r="26" spans="2:10" ht="30" customHeight="1">
      <c r="B26" s="240" t="s">
        <v>245</v>
      </c>
      <c r="C26" s="76" t="s">
        <v>147</v>
      </c>
      <c r="D26" s="103">
        <v>2000</v>
      </c>
      <c r="E26" s="28">
        <f>D26*0.9</f>
        <v>1800</v>
      </c>
      <c r="F26" s="28">
        <f>D26*0.9</f>
        <v>1800</v>
      </c>
      <c r="G26" s="77" t="s">
        <v>71</v>
      </c>
      <c r="I26" s="175"/>
      <c r="J26" s="175"/>
    </row>
    <row r="27" spans="2:10">
      <c r="B27" s="241"/>
      <c r="C27" s="76" t="s">
        <v>148</v>
      </c>
      <c r="D27" s="103">
        <v>0.7</v>
      </c>
      <c r="E27" s="28">
        <f>D27*0.9</f>
        <v>0.63</v>
      </c>
      <c r="F27" s="28">
        <f>D27*0.9</f>
        <v>0.63</v>
      </c>
      <c r="G27" s="77" t="s">
        <v>149</v>
      </c>
      <c r="I27" s="175"/>
      <c r="J27" s="175"/>
    </row>
    <row r="28" spans="2:10">
      <c r="B28" s="242"/>
      <c r="C28" s="76" t="s">
        <v>150</v>
      </c>
      <c r="D28" s="103">
        <v>2000</v>
      </c>
      <c r="E28" s="28">
        <v>2000</v>
      </c>
      <c r="F28" s="28">
        <v>2000</v>
      </c>
      <c r="G28" s="77" t="s">
        <v>71</v>
      </c>
      <c r="I28" s="175"/>
      <c r="J28" s="175"/>
    </row>
    <row r="29" spans="2:10" ht="30" customHeight="1">
      <c r="B29" s="247" t="s">
        <v>69</v>
      </c>
      <c r="C29" s="248"/>
      <c r="D29" s="248"/>
      <c r="E29" s="248"/>
      <c r="F29" s="248"/>
      <c r="G29" s="249"/>
      <c r="I29" s="175"/>
      <c r="J29" s="175"/>
    </row>
    <row r="30" spans="2:10">
      <c r="B30" s="240" t="s">
        <v>70</v>
      </c>
      <c r="C30" s="78" t="s">
        <v>151</v>
      </c>
      <c r="D30" s="103">
        <v>39</v>
      </c>
      <c r="E30" s="28">
        <v>35</v>
      </c>
      <c r="F30" s="28">
        <v>35</v>
      </c>
      <c r="G30" s="29" t="s">
        <v>71</v>
      </c>
      <c r="I30" s="176">
        <f>+D30</f>
        <v>39</v>
      </c>
      <c r="J30" s="176">
        <f>+I30</f>
        <v>39</v>
      </c>
    </row>
    <row r="31" spans="2:10">
      <c r="B31" s="241"/>
      <c r="C31" s="78" t="s">
        <v>152</v>
      </c>
      <c r="D31" s="104">
        <v>2.5000000000000001E-3</v>
      </c>
      <c r="E31" s="75">
        <v>2.5000000000000001E-3</v>
      </c>
      <c r="F31" s="75">
        <v>2.5000000000000001E-3</v>
      </c>
      <c r="G31" s="29" t="s">
        <v>72</v>
      </c>
      <c r="I31" s="175"/>
      <c r="J31" s="175"/>
    </row>
    <row r="32" spans="2:10">
      <c r="B32" s="242"/>
      <c r="C32" s="78" t="s">
        <v>153</v>
      </c>
      <c r="D32" s="103">
        <v>39</v>
      </c>
      <c r="E32" s="28">
        <v>35</v>
      </c>
      <c r="F32" s="28">
        <v>35</v>
      </c>
      <c r="G32" s="29" t="s">
        <v>71</v>
      </c>
      <c r="I32" s="175"/>
      <c r="J32" s="175"/>
    </row>
    <row r="33" spans="2:10" ht="30">
      <c r="B33" s="240" t="s">
        <v>73</v>
      </c>
      <c r="C33" s="78" t="s">
        <v>151</v>
      </c>
      <c r="D33" s="103">
        <v>39</v>
      </c>
      <c r="E33" s="28">
        <v>35</v>
      </c>
      <c r="F33" s="28">
        <v>35</v>
      </c>
      <c r="G33" s="29" t="s">
        <v>74</v>
      </c>
      <c r="I33" s="175"/>
      <c r="J33" s="175"/>
    </row>
    <row r="34" spans="2:10">
      <c r="B34" s="241"/>
      <c r="C34" s="78" t="s">
        <v>152</v>
      </c>
      <c r="D34" s="103">
        <v>2.5000000000000001E-3</v>
      </c>
      <c r="E34" s="75">
        <v>2.5000000000000001E-3</v>
      </c>
      <c r="F34" s="75">
        <v>2.5000000000000001E-3</v>
      </c>
      <c r="G34" s="29" t="s">
        <v>72</v>
      </c>
      <c r="I34" s="175"/>
      <c r="J34" s="175"/>
    </row>
    <row r="35" spans="2:10" ht="30">
      <c r="B35" s="242"/>
      <c r="C35" s="78" t="s">
        <v>153</v>
      </c>
      <c r="D35" s="103">
        <v>39</v>
      </c>
      <c r="E35" s="28">
        <v>35</v>
      </c>
      <c r="F35" s="28">
        <v>35</v>
      </c>
      <c r="G35" s="29" t="s">
        <v>74</v>
      </c>
      <c r="I35" s="175"/>
      <c r="J35" s="175"/>
    </row>
    <row r="36" spans="2:10" ht="30" customHeight="1">
      <c r="B36" s="247" t="s">
        <v>75</v>
      </c>
      <c r="C36" s="248"/>
      <c r="D36" s="248"/>
      <c r="E36" s="248"/>
      <c r="F36" s="248"/>
      <c r="G36" s="249"/>
      <c r="I36" s="175"/>
      <c r="J36" s="175"/>
    </row>
    <row r="37" spans="2:10">
      <c r="B37" s="240" t="s">
        <v>70</v>
      </c>
      <c r="C37" s="78" t="s">
        <v>154</v>
      </c>
      <c r="D37" s="103">
        <v>28</v>
      </c>
      <c r="E37" s="28">
        <v>28</v>
      </c>
      <c r="F37" s="28">
        <v>28</v>
      </c>
      <c r="G37" s="29" t="s">
        <v>71</v>
      </c>
      <c r="I37" s="176">
        <f>+D37</f>
        <v>28</v>
      </c>
      <c r="J37" s="176">
        <f>+I37</f>
        <v>28</v>
      </c>
    </row>
    <row r="38" spans="2:10">
      <c r="B38" s="242"/>
      <c r="C38" s="78" t="s">
        <v>153</v>
      </c>
      <c r="D38" s="103">
        <v>28</v>
      </c>
      <c r="E38" s="28">
        <v>28</v>
      </c>
      <c r="F38" s="28">
        <v>28</v>
      </c>
      <c r="G38" s="29" t="s">
        <v>71</v>
      </c>
      <c r="I38" s="175"/>
      <c r="J38" s="175"/>
    </row>
    <row r="39" spans="2:10" ht="30">
      <c r="B39" s="240" t="s">
        <v>73</v>
      </c>
      <c r="C39" s="78" t="s">
        <v>155</v>
      </c>
      <c r="D39" s="103">
        <v>28</v>
      </c>
      <c r="E39" s="28">
        <v>28</v>
      </c>
      <c r="F39" s="28">
        <v>28</v>
      </c>
      <c r="G39" s="29" t="s">
        <v>74</v>
      </c>
      <c r="I39" s="175"/>
      <c r="J39" s="175"/>
    </row>
    <row r="40" spans="2:10" ht="30">
      <c r="B40" s="242"/>
      <c r="C40" s="78" t="s">
        <v>153</v>
      </c>
      <c r="D40" s="103">
        <v>28</v>
      </c>
      <c r="E40" s="28">
        <v>28</v>
      </c>
      <c r="F40" s="28">
        <v>28</v>
      </c>
      <c r="G40" s="29" t="s">
        <v>74</v>
      </c>
      <c r="I40" s="175"/>
      <c r="J40" s="175"/>
    </row>
    <row r="41" spans="2:10" ht="30" customHeight="1">
      <c r="B41" s="247" t="s">
        <v>76</v>
      </c>
      <c r="C41" s="248"/>
      <c r="D41" s="248"/>
      <c r="E41" s="248"/>
      <c r="F41" s="248"/>
      <c r="G41" s="249"/>
      <c r="I41" s="175"/>
      <c r="J41" s="175"/>
    </row>
    <row r="42" spans="2:10">
      <c r="B42" s="240" t="s">
        <v>70</v>
      </c>
      <c r="C42" s="78" t="s">
        <v>154</v>
      </c>
      <c r="D42" s="103">
        <v>12</v>
      </c>
      <c r="E42" s="28">
        <v>12</v>
      </c>
      <c r="F42" s="28">
        <v>12</v>
      </c>
      <c r="G42" s="29" t="s">
        <v>71</v>
      </c>
      <c r="I42" s="176">
        <f>+D42</f>
        <v>12</v>
      </c>
      <c r="J42" s="176">
        <f>+I42</f>
        <v>12</v>
      </c>
    </row>
    <row r="43" spans="2:10">
      <c r="B43" s="242"/>
      <c r="C43" s="78" t="s">
        <v>153</v>
      </c>
      <c r="D43" s="103">
        <v>12</v>
      </c>
      <c r="E43" s="28">
        <v>12</v>
      </c>
      <c r="F43" s="28">
        <v>12</v>
      </c>
      <c r="G43" s="29" t="s">
        <v>71</v>
      </c>
      <c r="I43" s="175"/>
      <c r="J43" s="175"/>
    </row>
    <row r="44" spans="2:10">
      <c r="B44" s="240" t="s">
        <v>73</v>
      </c>
      <c r="C44" s="78" t="s">
        <v>156</v>
      </c>
      <c r="D44" s="103">
        <v>205</v>
      </c>
      <c r="E44" s="28">
        <v>205</v>
      </c>
      <c r="F44" s="28">
        <v>205</v>
      </c>
      <c r="G44" s="29" t="s">
        <v>71</v>
      </c>
      <c r="I44" s="175"/>
      <c r="J44" s="175"/>
    </row>
    <row r="45" spans="2:10">
      <c r="B45" s="241"/>
      <c r="C45" s="78" t="s">
        <v>157</v>
      </c>
      <c r="D45" s="103">
        <v>175</v>
      </c>
      <c r="E45" s="28">
        <v>175</v>
      </c>
      <c r="F45" s="28">
        <v>175</v>
      </c>
      <c r="G45" s="29" t="s">
        <v>71</v>
      </c>
      <c r="I45" s="175"/>
      <c r="J45" s="175"/>
    </row>
    <row r="46" spans="2:10" ht="15.75" thickBot="1">
      <c r="B46" s="246"/>
      <c r="C46" s="79" t="s">
        <v>153</v>
      </c>
      <c r="D46" s="105">
        <v>175</v>
      </c>
      <c r="E46" s="30">
        <v>175</v>
      </c>
      <c r="F46" s="30">
        <v>175</v>
      </c>
      <c r="G46" s="31" t="s">
        <v>71</v>
      </c>
      <c r="I46" s="175"/>
      <c r="J46" s="175"/>
    </row>
    <row r="47" spans="2:10" ht="45.75" customHeight="1" thickBot="1">
      <c r="B47" s="243" t="s">
        <v>262</v>
      </c>
      <c r="C47" s="244"/>
      <c r="D47" s="244"/>
      <c r="E47" s="244"/>
      <c r="F47" s="244"/>
      <c r="G47" s="245"/>
      <c r="I47" s="175"/>
      <c r="J47" s="175"/>
    </row>
    <row r="48" spans="2:10">
      <c r="F48" s="192"/>
      <c r="G48" s="193" t="s">
        <v>296</v>
      </c>
      <c r="H48" s="192"/>
      <c r="I48" s="177">
        <f>SUM(I5:I46)</f>
        <v>311</v>
      </c>
      <c r="J48" s="177">
        <f>SUM(J5:J46)</f>
        <v>154</v>
      </c>
    </row>
    <row r="49" spans="6:10">
      <c r="F49" s="192"/>
      <c r="G49" s="193" t="s">
        <v>297</v>
      </c>
      <c r="H49" s="192"/>
      <c r="I49" s="177">
        <f>+I48*12</f>
        <v>3732</v>
      </c>
      <c r="J49" s="177">
        <f>+J48*12</f>
        <v>1848</v>
      </c>
    </row>
  </sheetData>
  <mergeCells count="21">
    <mergeCell ref="B47:G47"/>
    <mergeCell ref="B42:B43"/>
    <mergeCell ref="B44:B46"/>
    <mergeCell ref="B29:G29"/>
    <mergeCell ref="B41:G41"/>
    <mergeCell ref="B33:B35"/>
    <mergeCell ref="B37:B38"/>
    <mergeCell ref="B39:B40"/>
    <mergeCell ref="B36:G36"/>
    <mergeCell ref="B30:B32"/>
    <mergeCell ref="B26:B28"/>
    <mergeCell ref="B8:B10"/>
    <mergeCell ref="B11:B13"/>
    <mergeCell ref="B14:B16"/>
    <mergeCell ref="B17:B19"/>
    <mergeCell ref="B20:B22"/>
    <mergeCell ref="B2:G2"/>
    <mergeCell ref="E4:F4"/>
    <mergeCell ref="B3:C3"/>
    <mergeCell ref="B5:B7"/>
    <mergeCell ref="B23:B25"/>
  </mergeCells>
  <pageMargins left="0.7" right="0.7" top="0.75" bottom="0.75" header="0.3" footer="0.3"/>
  <pageSetup scale="61" orientation="portrait" r:id="rId1"/>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F38"/>
  <sheetViews>
    <sheetView tabSelected="1" view="pageBreakPreview" zoomScale="80" zoomScaleNormal="85" zoomScaleSheetLayoutView="80" workbookViewId="0">
      <selection activeCell="C7" sqref="C7"/>
    </sheetView>
  </sheetViews>
  <sheetFormatPr defaultRowHeight="15"/>
  <cols>
    <col min="1" max="1" width="2.7109375" customWidth="1"/>
    <col min="2" max="2" width="70.140625" customWidth="1"/>
    <col min="3" max="3" width="14.28515625" customWidth="1"/>
    <col min="4" max="4" width="13.85546875" customWidth="1"/>
    <col min="5" max="5" width="15.42578125" customWidth="1"/>
  </cols>
  <sheetData>
    <row r="1" spans="2:6" ht="24.75" customHeight="1" thickBot="1">
      <c r="B1" s="205" t="s">
        <v>273</v>
      </c>
      <c r="C1" s="205"/>
      <c r="D1" s="205"/>
      <c r="E1" s="205"/>
    </row>
    <row r="2" spans="2:6" ht="30" customHeight="1">
      <c r="B2" s="27" t="s">
        <v>159</v>
      </c>
      <c r="C2" s="18">
        <v>2014</v>
      </c>
      <c r="D2" s="18">
        <v>2015</v>
      </c>
      <c r="E2" s="19">
        <v>2016</v>
      </c>
    </row>
    <row r="3" spans="2:6">
      <c r="B3" s="20" t="s">
        <v>268</v>
      </c>
      <c r="C3" s="86">
        <f>'Assumptions - DPU 3'!G7</f>
        <v>400000</v>
      </c>
      <c r="D3" s="86">
        <f>'Assumptions - DPU 3'!H7</f>
        <v>405000</v>
      </c>
      <c r="E3" s="140">
        <f>'Assumptions - DPU 3'!I7</f>
        <v>410000</v>
      </c>
    </row>
    <row r="4" spans="2:6">
      <c r="B4" s="20" t="s">
        <v>185</v>
      </c>
      <c r="C4" s="87">
        <f>12*'Assumptions - DPU 3'!G8*'Rates - DPU 2'!D5</f>
        <v>12600</v>
      </c>
      <c r="D4" s="87">
        <f>12*'Assumptions - DPU 3'!H8*'Rates - DPU 2'!E5</f>
        <v>11340</v>
      </c>
      <c r="E4" s="88">
        <f>12*'Assumptions - DPU 3'!I8*'Rates - DPU 2'!F5</f>
        <v>11340</v>
      </c>
    </row>
    <row r="5" spans="2:6">
      <c r="B5" s="20" t="s">
        <v>238</v>
      </c>
      <c r="C5" s="87">
        <f>12*'Assumptions - DPU 3'!G9*'Rates - DPU 2'!D8</f>
        <v>20064</v>
      </c>
      <c r="D5" s="87">
        <f>12*'Assumptions - DPU 3'!H9*'Rates - DPU 2'!E8</f>
        <v>18057.600000000002</v>
      </c>
      <c r="E5" s="88">
        <f>12*'Assumptions - DPU 3'!I9*'Rates - DPU 2'!F8</f>
        <v>18057.600000000002</v>
      </c>
    </row>
    <row r="6" spans="2:6">
      <c r="B6" s="20" t="s">
        <v>239</v>
      </c>
      <c r="C6" s="87">
        <f>12*'Assumptions - DPU 3'!G10*'Rates - DPU 2'!D11</f>
        <v>13920</v>
      </c>
      <c r="D6" s="87">
        <f>12*'Assumptions - DPU 3'!H10*'Rates - DPU 2'!E11</f>
        <v>12528</v>
      </c>
      <c r="E6" s="88">
        <f>12*'Assumptions - DPU 3'!I10*'Rates - DPU 2'!F11</f>
        <v>12528</v>
      </c>
    </row>
    <row r="7" spans="2:6">
      <c r="B7" s="20" t="s">
        <v>240</v>
      </c>
      <c r="C7" s="87">
        <f>12*'Assumptions - DPU 3'!G11*'Rates - DPU 2'!D14</f>
        <v>21600</v>
      </c>
      <c r="D7" s="87">
        <f>12*'Assumptions - DPU 3'!H11*'Rates - DPU 2'!E14</f>
        <v>19440</v>
      </c>
      <c r="E7" s="88">
        <f>12*'Assumptions - DPU 3'!I11*'Rates - DPU 2'!F14</f>
        <v>19440</v>
      </c>
    </row>
    <row r="8" spans="2:6">
      <c r="B8" s="20" t="s">
        <v>241</v>
      </c>
      <c r="C8" s="87">
        <f>12*'Assumptions - DPU 3'!G12*'Rates - DPU 2'!D17</f>
        <v>4272</v>
      </c>
      <c r="D8" s="87">
        <f>12*'Assumptions - DPU 3'!H12*'Rates - DPU 2'!E17</f>
        <v>3844.8</v>
      </c>
      <c r="E8" s="88">
        <f>12*'Assumptions - DPU 3'!I12*'Rates - DPU 2'!F17</f>
        <v>3844.8</v>
      </c>
    </row>
    <row r="9" spans="2:6">
      <c r="B9" s="20" t="s">
        <v>242</v>
      </c>
      <c r="C9" s="87">
        <f>12*'Assumptions - DPU 3'!G13*'Rates - DPU 2'!D20</f>
        <v>9600</v>
      </c>
      <c r="D9" s="87">
        <f>12*'Assumptions - DPU 3'!H13*'Rates - DPU 2'!E20</f>
        <v>8640</v>
      </c>
      <c r="E9" s="88">
        <f>12*'Assumptions - DPU 3'!I13*'Rates - DPU 2'!F20</f>
        <v>8640</v>
      </c>
    </row>
    <row r="10" spans="2:6">
      <c r="B10" s="20" t="s">
        <v>189</v>
      </c>
      <c r="C10" s="87">
        <f>'Assumptions - DPU 3'!G14*'Rates - DPU 2'!$D$7*12</f>
        <v>22500</v>
      </c>
      <c r="D10" s="87">
        <f>'Assumptions - DPU 3'!H14*'Rates - DPU 2'!$E$7*12</f>
        <v>22500</v>
      </c>
      <c r="E10" s="88">
        <f>'Assumptions - DPU 3'!I14*'Rates - DPU 2'!$F$7*12</f>
        <v>22500</v>
      </c>
    </row>
    <row r="11" spans="2:6">
      <c r="B11" s="81" t="s">
        <v>248</v>
      </c>
      <c r="C11" s="89">
        <f>500*12</f>
        <v>6000</v>
      </c>
      <c r="D11" s="89">
        <f>500*12*0.9</f>
        <v>5400</v>
      </c>
      <c r="E11" s="90">
        <f>500*12*0.9</f>
        <v>5400</v>
      </c>
      <c r="F11" s="145" t="s">
        <v>219</v>
      </c>
    </row>
    <row r="12" spans="2:6">
      <c r="B12" s="20" t="s">
        <v>243</v>
      </c>
      <c r="C12" s="87">
        <f>'Assumptions - DPU 3'!G16*'Rates - DPU 2'!D$25*12</f>
        <v>3120</v>
      </c>
      <c r="D12" s="87">
        <f>'Assumptions - DPU 3'!H16*'Rates - DPU 2'!E$25*12</f>
        <v>3120</v>
      </c>
      <c r="E12" s="88">
        <f>'Assumptions - DPU 3'!I16*'Rates - DPU 2'!F$25*12</f>
        <v>3120</v>
      </c>
      <c r="F12" s="145" t="s">
        <v>220</v>
      </c>
    </row>
    <row r="13" spans="2:6">
      <c r="B13" s="81" t="s">
        <v>247</v>
      </c>
      <c r="C13" s="153">
        <f>12*11870</f>
        <v>142440</v>
      </c>
      <c r="D13" s="153">
        <f>12*11870*0.9</f>
        <v>128196</v>
      </c>
      <c r="E13" s="154">
        <f>12*11870*0.9</f>
        <v>128196</v>
      </c>
      <c r="F13" s="145" t="s">
        <v>221</v>
      </c>
    </row>
    <row r="14" spans="2:6">
      <c r="B14" s="20" t="s">
        <v>244</v>
      </c>
      <c r="C14" s="153">
        <f>12*'Assumptions - DPU 3'!G18*'Rates - DPU 2'!D28</f>
        <v>0</v>
      </c>
      <c r="D14" s="153">
        <f>12*'Assumptions - DPU 3'!H18*'Rates - DPU 2'!E28</f>
        <v>0</v>
      </c>
      <c r="E14" s="154">
        <f>12*'Assumptions - DPU 3'!I18*'Rates - DPU 2'!F28</f>
        <v>0</v>
      </c>
    </row>
    <row r="15" spans="2:6" ht="15.75" thickBot="1">
      <c r="B15" s="155" t="s">
        <v>190</v>
      </c>
      <c r="C15" s="91">
        <f>(C3-50000-127200)*0.45</f>
        <v>100260</v>
      </c>
      <c r="D15" s="91">
        <f>C15*0.9</f>
        <v>90234</v>
      </c>
      <c r="E15" s="92">
        <f>C15*0.9</f>
        <v>90234</v>
      </c>
      <c r="F15" s="145" t="s">
        <v>222</v>
      </c>
    </row>
    <row r="16" spans="2:6">
      <c r="B16" s="81" t="s">
        <v>161</v>
      </c>
      <c r="C16" s="89">
        <f>SUM(C4:C15)</f>
        <v>356376</v>
      </c>
      <c r="D16" s="89">
        <f>SUM(D4:D15)</f>
        <v>323300.40000000002</v>
      </c>
      <c r="E16" s="90">
        <f>SUM(E4:E15)</f>
        <v>323300.40000000002</v>
      </c>
    </row>
    <row r="17" spans="2:5" ht="30" customHeight="1">
      <c r="B17" s="26" t="s">
        <v>12</v>
      </c>
      <c r="C17" s="17"/>
      <c r="D17" s="17"/>
      <c r="E17" s="22"/>
    </row>
    <row r="18" spans="2:5">
      <c r="B18" s="20" t="s">
        <v>185</v>
      </c>
      <c r="C18" s="87">
        <f>'Assumptions - DPU 3'!G20*'Rates - DPU 2'!$D$30*12</f>
        <v>35100</v>
      </c>
      <c r="D18" s="87">
        <f>'Assumptions - DPU 3'!H20*'Rates - DPU 2'!$E$30*12</f>
        <v>31500</v>
      </c>
      <c r="E18" s="88">
        <f>'Assumptions - DPU 3'!I20*'Rates - DPU 2'!$F$30*12</f>
        <v>31500</v>
      </c>
    </row>
    <row r="19" spans="2:5">
      <c r="B19" s="20" t="s">
        <v>186</v>
      </c>
      <c r="C19" s="93"/>
      <c r="D19" s="93"/>
      <c r="E19" s="94"/>
    </row>
    <row r="20" spans="2:5">
      <c r="B20" s="81" t="s">
        <v>187</v>
      </c>
      <c r="C20" s="89">
        <f>'Assumptions - DPU 3'!G21*'Rates - DPU 2'!D33*12</f>
        <v>1872</v>
      </c>
      <c r="D20" s="89">
        <f>'Assumptions - DPU 3'!H21*'Rates - DPU 2'!E33*12</f>
        <v>1680</v>
      </c>
      <c r="E20" s="90">
        <f>'Assumptions - DPU 3'!I21*'Rates - DPU 2'!F33*12</f>
        <v>1680</v>
      </c>
    </row>
    <row r="21" spans="2:5" ht="15.75" thickBot="1">
      <c r="B21" s="20" t="s">
        <v>188</v>
      </c>
      <c r="C21" s="93"/>
      <c r="D21" s="93"/>
      <c r="E21" s="94"/>
    </row>
    <row r="22" spans="2:5">
      <c r="B22" s="85" t="s">
        <v>161</v>
      </c>
      <c r="C22" s="95">
        <f>SUM(C18:C21)</f>
        <v>36972</v>
      </c>
      <c r="D22" s="95">
        <f>SUM(D18:D21)</f>
        <v>33180</v>
      </c>
      <c r="E22" s="96">
        <f>SUM(E18:E21)</f>
        <v>33180</v>
      </c>
    </row>
    <row r="23" spans="2:5" ht="30" customHeight="1">
      <c r="B23" s="26" t="s">
        <v>11</v>
      </c>
      <c r="C23" s="17"/>
      <c r="D23" s="17"/>
      <c r="E23" s="22"/>
    </row>
    <row r="24" spans="2:5">
      <c r="B24" s="20" t="s">
        <v>185</v>
      </c>
      <c r="C24" s="87">
        <f>'Assumptions - DPU 3'!G23*'Rates - DPU 2'!$D$37*12</f>
        <v>25200</v>
      </c>
      <c r="D24" s="87">
        <f>'Assumptions - DPU 3'!H23*'Rates - DPU 2'!$D$37*12</f>
        <v>25200</v>
      </c>
      <c r="E24" s="88">
        <f>'Assumptions - DPU 3'!I23*'Rates - DPU 2'!$D$37*12</f>
        <v>25200</v>
      </c>
    </row>
    <row r="25" spans="2:5" ht="15.75" thickBot="1">
      <c r="B25" s="81" t="s">
        <v>187</v>
      </c>
      <c r="C25" s="87">
        <f>'Assumptions - DPU 3'!G24*'Rates - DPU 2'!D39*12</f>
        <v>1344</v>
      </c>
      <c r="D25" s="87">
        <f>'Assumptions - DPU 3'!H24*'Rates - DPU 2'!E39*12</f>
        <v>1344</v>
      </c>
      <c r="E25" s="88">
        <f>'Assumptions - DPU 3'!I24*'Rates - DPU 2'!F39*12</f>
        <v>1344</v>
      </c>
    </row>
    <row r="26" spans="2:5">
      <c r="B26" s="85" t="s">
        <v>161</v>
      </c>
      <c r="C26" s="95">
        <f>SUM(C24:C25)</f>
        <v>26544</v>
      </c>
      <c r="D26" s="95">
        <f>SUM(D24:D25)</f>
        <v>26544</v>
      </c>
      <c r="E26" s="96">
        <f>SUM(E24:E25)</f>
        <v>26544</v>
      </c>
    </row>
    <row r="27" spans="2:5" ht="30" customHeight="1">
      <c r="B27" s="26" t="s">
        <v>160</v>
      </c>
      <c r="C27" s="17"/>
      <c r="D27" s="17"/>
      <c r="E27" s="22"/>
    </row>
    <row r="28" spans="2:5">
      <c r="B28" s="20" t="s">
        <v>185</v>
      </c>
      <c r="C28" s="87">
        <f>'Assumptions - DPU 3'!G26*'Rates - DPU 2'!D42*12</f>
        <v>10800</v>
      </c>
      <c r="D28" s="87">
        <f>'Assumptions - DPU 3'!H26*'Rates - DPU 2'!E42*12</f>
        <v>10800</v>
      </c>
      <c r="E28" s="88">
        <f>'Assumptions - DPU 3'!I26*'Rates - DPU 2'!F42*12</f>
        <v>10800</v>
      </c>
    </row>
    <row r="29" spans="2:5">
      <c r="B29" s="81" t="s">
        <v>187</v>
      </c>
      <c r="C29" s="87">
        <f>'Assumptions - DPU 3'!G27*'Rates - DPU 2'!D45*12</f>
        <v>8400</v>
      </c>
      <c r="D29" s="87">
        <f>'Assumptions - DPU 3'!H27*'Rates - DPU 2'!E45*12</f>
        <v>8400</v>
      </c>
      <c r="E29" s="88">
        <f>'Assumptions - DPU 3'!I27*'Rates - DPU 2'!F45*12</f>
        <v>8400</v>
      </c>
    </row>
    <row r="30" spans="2:5" ht="15.75" thickBot="1">
      <c r="B30" s="23" t="s">
        <v>161</v>
      </c>
      <c r="C30" s="97">
        <f>SUM(C28:C29)</f>
        <v>19200</v>
      </c>
      <c r="D30" s="97">
        <f>SUM(D28:D29)</f>
        <v>19200</v>
      </c>
      <c r="E30" s="98">
        <f>SUM(E28:E29)</f>
        <v>19200</v>
      </c>
    </row>
    <row r="31" spans="2:5" s="25" customFormat="1" ht="16.5" thickBot="1">
      <c r="B31" s="24" t="s">
        <v>162</v>
      </c>
      <c r="C31" s="99">
        <f>C30+C26+C22+C16</f>
        <v>439092</v>
      </c>
      <c r="D31" s="100">
        <f>D30+D26+D22+D16</f>
        <v>402224.4</v>
      </c>
      <c r="E31" s="101">
        <f>E30+E26+E22+E16</f>
        <v>402224.4</v>
      </c>
    </row>
    <row r="32" spans="2:5">
      <c r="B32" s="250" t="s">
        <v>267</v>
      </c>
      <c r="C32" s="251"/>
      <c r="D32" s="251"/>
      <c r="E32" s="252"/>
    </row>
    <row r="33" spans="2:5">
      <c r="B33" s="253"/>
      <c r="C33" s="254"/>
      <c r="D33" s="254"/>
      <c r="E33" s="255"/>
    </row>
    <row r="34" spans="2:5" ht="27.75" customHeight="1" thickBot="1">
      <c r="B34" s="256"/>
      <c r="C34" s="257"/>
      <c r="D34" s="257"/>
      <c r="E34" s="258"/>
    </row>
    <row r="35" spans="2:5" ht="33.75" customHeight="1" thickBot="1">
      <c r="B35" s="259" t="s">
        <v>250</v>
      </c>
      <c r="C35" s="260"/>
      <c r="D35" s="260"/>
      <c r="E35" s="261"/>
    </row>
    <row r="36" spans="2:5" ht="27.75" customHeight="1" thickBot="1">
      <c r="B36" s="259" t="s">
        <v>249</v>
      </c>
      <c r="C36" s="260"/>
      <c r="D36" s="260"/>
      <c r="E36" s="261"/>
    </row>
    <row r="37" spans="2:5" ht="37.5" customHeight="1" thickBot="1">
      <c r="B37" s="259" t="s">
        <v>251</v>
      </c>
      <c r="C37" s="260"/>
      <c r="D37" s="260"/>
      <c r="E37" s="261"/>
    </row>
    <row r="38" spans="2:5" ht="130.5" customHeight="1" thickBot="1">
      <c r="B38" s="259" t="s">
        <v>261</v>
      </c>
      <c r="C38" s="260"/>
      <c r="D38" s="260"/>
      <c r="E38" s="261"/>
    </row>
  </sheetData>
  <mergeCells count="6">
    <mergeCell ref="B1:E1"/>
    <mergeCell ref="B32:E34"/>
    <mergeCell ref="B38:E38"/>
    <mergeCell ref="B35:E35"/>
    <mergeCell ref="B37:E37"/>
    <mergeCell ref="B36:E36"/>
  </mergeCells>
  <pageMargins left="0.7" right="0.7"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1:E11"/>
  <sheetViews>
    <sheetView zoomScale="85" zoomScaleNormal="85" workbookViewId="0"/>
  </sheetViews>
  <sheetFormatPr defaultRowHeight="15"/>
  <cols>
    <col min="1" max="1" width="2.28515625" customWidth="1"/>
    <col min="2" max="2" width="19.85546875" customWidth="1"/>
    <col min="3" max="3" width="10" style="3" customWidth="1"/>
    <col min="4" max="4" width="18.85546875" style="3" customWidth="1"/>
    <col min="5" max="5" width="15.85546875" customWidth="1"/>
    <col min="6" max="6" width="13.42578125" customWidth="1"/>
    <col min="7" max="7" width="17.85546875" customWidth="1"/>
  </cols>
  <sheetData>
    <row r="1" spans="2:5" ht="9.75" customHeight="1" thickBot="1"/>
    <row r="2" spans="2:5" ht="45.75" customHeight="1" thickBot="1">
      <c r="B2" s="262" t="s">
        <v>181</v>
      </c>
      <c r="C2" s="263"/>
      <c r="D2" s="263"/>
      <c r="E2" s="264"/>
    </row>
    <row r="3" spans="2:5">
      <c r="B3" s="265" t="s">
        <v>100</v>
      </c>
      <c r="C3" s="267" t="s">
        <v>99</v>
      </c>
      <c r="D3" s="269" t="s">
        <v>138</v>
      </c>
      <c r="E3" s="270"/>
    </row>
    <row r="4" spans="2:5" ht="45">
      <c r="B4" s="266"/>
      <c r="C4" s="268"/>
      <c r="D4" s="36" t="s">
        <v>104</v>
      </c>
      <c r="E4" s="156" t="s">
        <v>105</v>
      </c>
    </row>
    <row r="5" spans="2:5">
      <c r="B5" s="32" t="s">
        <v>122</v>
      </c>
      <c r="C5" s="14" t="s">
        <v>123</v>
      </c>
      <c r="D5" s="6" t="s">
        <v>143</v>
      </c>
      <c r="E5" s="157">
        <v>14.9</v>
      </c>
    </row>
    <row r="6" spans="2:5">
      <c r="B6" s="33" t="s">
        <v>101</v>
      </c>
      <c r="C6" s="138" t="s">
        <v>121</v>
      </c>
      <c r="D6" s="6" t="s">
        <v>144</v>
      </c>
      <c r="E6" s="158">
        <v>9.9</v>
      </c>
    </row>
    <row r="7" spans="2:5">
      <c r="B7" s="33" t="s">
        <v>102</v>
      </c>
      <c r="C7" s="138" t="s">
        <v>140</v>
      </c>
      <c r="D7" s="6" t="s">
        <v>145</v>
      </c>
      <c r="E7" s="158">
        <v>5</v>
      </c>
    </row>
    <row r="8" spans="2:5" ht="15.75" thickBot="1">
      <c r="B8" s="34" t="s">
        <v>103</v>
      </c>
      <c r="C8" s="35" t="s">
        <v>139</v>
      </c>
      <c r="D8" s="35" t="s">
        <v>146</v>
      </c>
      <c r="E8" s="159">
        <v>3.1</v>
      </c>
    </row>
    <row r="9" spans="2:5">
      <c r="B9" s="250" t="s">
        <v>264</v>
      </c>
      <c r="C9" s="251"/>
      <c r="D9" s="251"/>
      <c r="E9" s="252"/>
    </row>
    <row r="10" spans="2:5">
      <c r="B10" s="253"/>
      <c r="C10" s="254"/>
      <c r="D10" s="254"/>
      <c r="E10" s="255"/>
    </row>
    <row r="11" spans="2:5" ht="48.75" customHeight="1" thickBot="1">
      <c r="B11" s="256"/>
      <c r="C11" s="257"/>
      <c r="D11" s="257"/>
      <c r="E11" s="258"/>
    </row>
  </sheetData>
  <mergeCells count="5">
    <mergeCell ref="B2:E2"/>
    <mergeCell ref="B3:B4"/>
    <mergeCell ref="C3:C4"/>
    <mergeCell ref="D3:E3"/>
    <mergeCell ref="B9:E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B1:AY23"/>
  <sheetViews>
    <sheetView zoomScale="90" zoomScaleNormal="90" workbookViewId="0">
      <pane xSplit="3" ySplit="1" topLeftCell="D2" activePane="bottomRight" state="frozen"/>
      <selection pane="topRight" activeCell="D1" sqref="D1"/>
      <selection pane="bottomLeft" activeCell="A2" sqref="A2"/>
      <selection pane="bottomRight" activeCell="D2" sqref="D2:G2"/>
    </sheetView>
  </sheetViews>
  <sheetFormatPr defaultRowHeight="15"/>
  <cols>
    <col min="1" max="1" width="2.7109375" customWidth="1"/>
    <col min="2" max="2" width="18.5703125" customWidth="1"/>
    <col min="3" max="3" width="20" customWidth="1"/>
    <col min="4" max="4" width="12.5703125" bestFit="1" customWidth="1"/>
    <col min="5" max="5" width="13" customWidth="1"/>
    <col min="6" max="7" width="11.5703125" bestFit="1" customWidth="1"/>
    <col min="8" max="9" width="7.7109375" customWidth="1"/>
    <col min="10" max="11" width="12.140625" customWidth="1"/>
    <col min="12" max="13" width="7.7109375" customWidth="1"/>
    <col min="14" max="15" width="12.140625" customWidth="1"/>
    <col min="16" max="17" width="7.7109375" customWidth="1"/>
    <col min="18" max="19" width="12.140625" customWidth="1"/>
    <col min="20" max="21" width="7.7109375" customWidth="1"/>
    <col min="22" max="23" width="12.140625" customWidth="1"/>
    <col min="24" max="25" width="7.7109375" customWidth="1"/>
    <col min="26" max="27" width="12.140625" customWidth="1"/>
    <col min="28" max="29" width="7.7109375" customWidth="1"/>
    <col min="30" max="31" width="12.140625" customWidth="1"/>
    <col min="32" max="33" width="7.7109375" customWidth="1"/>
    <col min="34" max="35" width="12.140625" customWidth="1"/>
    <col min="36" max="37" width="7.7109375" customWidth="1"/>
    <col min="38" max="39" width="12.140625" customWidth="1"/>
    <col min="40" max="41" width="7.7109375" customWidth="1"/>
    <col min="42" max="43" width="12.140625" customWidth="1"/>
    <col min="44" max="45" width="7.7109375" customWidth="1"/>
    <col min="46" max="47" width="12.140625" customWidth="1"/>
    <col min="48" max="49" width="7.7109375" customWidth="1"/>
    <col min="50" max="51" width="12.140625" customWidth="1"/>
  </cols>
  <sheetData>
    <row r="1" spans="2:51" ht="6.75" customHeight="1"/>
    <row r="2" spans="2:51" ht="30" customHeight="1">
      <c r="B2" s="277" t="s">
        <v>176</v>
      </c>
      <c r="C2" s="278"/>
      <c r="D2" s="290" t="s">
        <v>106</v>
      </c>
      <c r="E2" s="291"/>
      <c r="F2" s="291"/>
      <c r="G2" s="291"/>
      <c r="H2" s="290" t="s">
        <v>107</v>
      </c>
      <c r="I2" s="291"/>
      <c r="J2" s="291"/>
      <c r="K2" s="291"/>
      <c r="L2" s="290" t="s">
        <v>108</v>
      </c>
      <c r="M2" s="291"/>
      <c r="N2" s="291"/>
      <c r="O2" s="291"/>
      <c r="P2" s="290" t="s">
        <v>109</v>
      </c>
      <c r="Q2" s="291"/>
      <c r="R2" s="291"/>
      <c r="S2" s="291"/>
      <c r="T2" s="290" t="s">
        <v>110</v>
      </c>
      <c r="U2" s="291"/>
      <c r="V2" s="291"/>
      <c r="W2" s="291"/>
      <c r="X2" s="290" t="s">
        <v>111</v>
      </c>
      <c r="Y2" s="291"/>
      <c r="Z2" s="291"/>
      <c r="AA2" s="291"/>
      <c r="AB2" s="290" t="s">
        <v>112</v>
      </c>
      <c r="AC2" s="291"/>
      <c r="AD2" s="291"/>
      <c r="AE2" s="291"/>
      <c r="AF2" s="290" t="s">
        <v>113</v>
      </c>
      <c r="AG2" s="291"/>
      <c r="AH2" s="291"/>
      <c r="AI2" s="291"/>
      <c r="AJ2" s="290" t="s">
        <v>114</v>
      </c>
      <c r="AK2" s="291"/>
      <c r="AL2" s="291"/>
      <c r="AM2" s="291"/>
      <c r="AN2" s="290" t="s">
        <v>115</v>
      </c>
      <c r="AO2" s="291"/>
      <c r="AP2" s="291"/>
      <c r="AQ2" s="291"/>
      <c r="AR2" s="290" t="s">
        <v>116</v>
      </c>
      <c r="AS2" s="291"/>
      <c r="AT2" s="291"/>
      <c r="AU2" s="291"/>
      <c r="AV2" s="290" t="s">
        <v>117</v>
      </c>
      <c r="AW2" s="291"/>
      <c r="AX2" s="291"/>
      <c r="AY2" s="291"/>
    </row>
    <row r="3" spans="2:51" s="5" customFormat="1" ht="103.5" customHeight="1">
      <c r="B3" s="277"/>
      <c r="C3" s="278"/>
      <c r="D3" s="284" t="s">
        <v>269</v>
      </c>
      <c r="E3" s="285"/>
      <c r="F3" s="286" t="s">
        <v>98</v>
      </c>
      <c r="G3" s="287"/>
      <c r="H3" s="60"/>
      <c r="I3" s="61"/>
      <c r="J3" s="286" t="s">
        <v>98</v>
      </c>
      <c r="K3" s="287"/>
      <c r="L3" s="60"/>
      <c r="M3" s="61"/>
      <c r="N3" s="286" t="s">
        <v>98</v>
      </c>
      <c r="O3" s="287"/>
      <c r="P3" s="60"/>
      <c r="Q3" s="61"/>
      <c r="R3" s="286" t="s">
        <v>98</v>
      </c>
      <c r="S3" s="287"/>
      <c r="T3" s="60"/>
      <c r="U3" s="61"/>
      <c r="V3" s="286" t="s">
        <v>98</v>
      </c>
      <c r="W3" s="287"/>
      <c r="X3" s="60"/>
      <c r="Y3" s="61"/>
      <c r="Z3" s="286" t="s">
        <v>98</v>
      </c>
      <c r="AA3" s="287"/>
      <c r="AB3" s="60"/>
      <c r="AC3" s="61"/>
      <c r="AD3" s="286" t="s">
        <v>98</v>
      </c>
      <c r="AE3" s="287"/>
      <c r="AF3" s="60"/>
      <c r="AG3" s="61"/>
      <c r="AH3" s="286" t="s">
        <v>98</v>
      </c>
      <c r="AI3" s="287"/>
      <c r="AJ3" s="60"/>
      <c r="AK3" s="61"/>
      <c r="AL3" s="286" t="s">
        <v>98</v>
      </c>
      <c r="AM3" s="287"/>
      <c r="AN3" s="60"/>
      <c r="AO3" s="61"/>
      <c r="AP3" s="286" t="s">
        <v>98</v>
      </c>
      <c r="AQ3" s="287"/>
      <c r="AR3" s="60"/>
      <c r="AS3" s="61"/>
      <c r="AT3" s="286" t="s">
        <v>98</v>
      </c>
      <c r="AU3" s="287"/>
      <c r="AV3" s="60"/>
      <c r="AW3" s="61"/>
      <c r="AX3" s="286" t="s">
        <v>98</v>
      </c>
      <c r="AY3" s="287"/>
    </row>
    <row r="4" spans="2:51" s="5" customFormat="1" ht="44.25" customHeight="1">
      <c r="B4" s="277"/>
      <c r="C4" s="278"/>
      <c r="D4" s="275" t="s">
        <v>170</v>
      </c>
      <c r="E4" s="276"/>
      <c r="F4" s="288"/>
      <c r="G4" s="289"/>
      <c r="H4" s="275" t="s">
        <v>170</v>
      </c>
      <c r="I4" s="276"/>
      <c r="J4" s="288"/>
      <c r="K4" s="289"/>
      <c r="L4" s="275" t="s">
        <v>170</v>
      </c>
      <c r="M4" s="276"/>
      <c r="N4" s="288"/>
      <c r="O4" s="289"/>
      <c r="P4" s="275" t="s">
        <v>170</v>
      </c>
      <c r="Q4" s="276"/>
      <c r="R4" s="288"/>
      <c r="S4" s="289"/>
      <c r="T4" s="275" t="s">
        <v>170</v>
      </c>
      <c r="U4" s="276"/>
      <c r="V4" s="288"/>
      <c r="W4" s="289"/>
      <c r="X4" s="275" t="s">
        <v>170</v>
      </c>
      <c r="Y4" s="276"/>
      <c r="Z4" s="288"/>
      <c r="AA4" s="289"/>
      <c r="AB4" s="275" t="s">
        <v>170</v>
      </c>
      <c r="AC4" s="276"/>
      <c r="AD4" s="288"/>
      <c r="AE4" s="289"/>
      <c r="AF4" s="275" t="s">
        <v>170</v>
      </c>
      <c r="AG4" s="276"/>
      <c r="AH4" s="288"/>
      <c r="AI4" s="289"/>
      <c r="AJ4" s="275" t="s">
        <v>170</v>
      </c>
      <c r="AK4" s="276"/>
      <c r="AL4" s="288"/>
      <c r="AM4" s="289"/>
      <c r="AN4" s="275" t="s">
        <v>170</v>
      </c>
      <c r="AO4" s="276"/>
      <c r="AP4" s="288"/>
      <c r="AQ4" s="289"/>
      <c r="AR4" s="275" t="s">
        <v>170</v>
      </c>
      <c r="AS4" s="276"/>
      <c r="AT4" s="288"/>
      <c r="AU4" s="289"/>
      <c r="AV4" s="275" t="s">
        <v>170</v>
      </c>
      <c r="AW4" s="276"/>
      <c r="AX4" s="288"/>
      <c r="AY4" s="289"/>
    </row>
    <row r="5" spans="2:51" s="5" customFormat="1">
      <c r="B5" s="279"/>
      <c r="C5" s="280"/>
      <c r="D5" s="292">
        <f>31*24</f>
        <v>744</v>
      </c>
      <c r="E5" s="292"/>
      <c r="F5" s="36" t="s">
        <v>141</v>
      </c>
      <c r="G5" s="36" t="s">
        <v>142</v>
      </c>
      <c r="H5" s="292">
        <f>28*24</f>
        <v>672</v>
      </c>
      <c r="I5" s="292"/>
      <c r="J5" s="36" t="s">
        <v>141</v>
      </c>
      <c r="K5" s="36" t="s">
        <v>142</v>
      </c>
      <c r="L5" s="292">
        <f>31*24</f>
        <v>744</v>
      </c>
      <c r="M5" s="292"/>
      <c r="N5" s="36" t="s">
        <v>141</v>
      </c>
      <c r="O5" s="36" t="s">
        <v>142</v>
      </c>
      <c r="P5" s="292">
        <f>30*24</f>
        <v>720</v>
      </c>
      <c r="Q5" s="292"/>
      <c r="R5" s="36" t="s">
        <v>141</v>
      </c>
      <c r="S5" s="36" t="s">
        <v>142</v>
      </c>
      <c r="T5" s="292">
        <f>31*24</f>
        <v>744</v>
      </c>
      <c r="U5" s="292"/>
      <c r="V5" s="36" t="s">
        <v>141</v>
      </c>
      <c r="W5" s="36" t="s">
        <v>142</v>
      </c>
      <c r="X5" s="292">
        <f>30*24</f>
        <v>720</v>
      </c>
      <c r="Y5" s="292"/>
      <c r="Z5" s="36" t="s">
        <v>141</v>
      </c>
      <c r="AA5" s="36" t="s">
        <v>142</v>
      </c>
      <c r="AB5" s="292">
        <f>31*24</f>
        <v>744</v>
      </c>
      <c r="AC5" s="292"/>
      <c r="AD5" s="36" t="s">
        <v>141</v>
      </c>
      <c r="AE5" s="36" t="s">
        <v>142</v>
      </c>
      <c r="AF5" s="292">
        <f>31*24</f>
        <v>744</v>
      </c>
      <c r="AG5" s="292"/>
      <c r="AH5" s="36" t="s">
        <v>141</v>
      </c>
      <c r="AI5" s="36" t="s">
        <v>142</v>
      </c>
      <c r="AJ5" s="292">
        <f>30*24</f>
        <v>720</v>
      </c>
      <c r="AK5" s="292"/>
      <c r="AL5" s="36" t="s">
        <v>141</v>
      </c>
      <c r="AM5" s="36" t="s">
        <v>142</v>
      </c>
      <c r="AN5" s="292">
        <f>31*24</f>
        <v>744</v>
      </c>
      <c r="AO5" s="292"/>
      <c r="AP5" s="36" t="s">
        <v>141</v>
      </c>
      <c r="AQ5" s="36" t="s">
        <v>142</v>
      </c>
      <c r="AR5" s="292">
        <f>30*24</f>
        <v>720</v>
      </c>
      <c r="AS5" s="292"/>
      <c r="AT5" s="36" t="s">
        <v>141</v>
      </c>
      <c r="AU5" s="36" t="s">
        <v>142</v>
      </c>
      <c r="AV5" s="292">
        <f>31*24</f>
        <v>744</v>
      </c>
      <c r="AW5" s="292"/>
      <c r="AX5" s="36" t="s">
        <v>141</v>
      </c>
      <c r="AY5" s="36" t="s">
        <v>142</v>
      </c>
    </row>
    <row r="6" spans="2:51">
      <c r="B6" s="281" t="s">
        <v>165</v>
      </c>
      <c r="C6" s="282"/>
      <c r="D6" s="8">
        <v>0</v>
      </c>
      <c r="E6" s="7">
        <f>D6*D5</f>
        <v>0</v>
      </c>
      <c r="F6" s="62">
        <f>E6*'Genset Loads'!$E$5</f>
        <v>0</v>
      </c>
      <c r="G6" s="63">
        <f>F6*'Assumptions - DPU 3'!$F$6</f>
        <v>0</v>
      </c>
      <c r="H6" s="8">
        <v>0</v>
      </c>
      <c r="I6" s="13">
        <f>H6*H5</f>
        <v>0</v>
      </c>
      <c r="J6" s="62">
        <f>I6*'Genset Loads'!$E$5</f>
        <v>0</v>
      </c>
      <c r="K6" s="63">
        <f>J6*'Assumptions - DPU 3'!$F$6</f>
        <v>0</v>
      </c>
      <c r="L6" s="8">
        <v>0</v>
      </c>
      <c r="M6" s="13">
        <v>0</v>
      </c>
      <c r="N6" s="62">
        <f>M6*'Genset Loads'!$E$5</f>
        <v>0</v>
      </c>
      <c r="O6" s="63">
        <f>N6*'Assumptions - DPU 3'!$F$6</f>
        <v>0</v>
      </c>
      <c r="P6" s="8">
        <v>0</v>
      </c>
      <c r="Q6" s="13">
        <v>0</v>
      </c>
      <c r="R6" s="62">
        <f>Q6*'Genset Loads'!$E$5</f>
        <v>0</v>
      </c>
      <c r="S6" s="63">
        <f>R6*'Assumptions - DPU 3'!$F$6</f>
        <v>0</v>
      </c>
      <c r="T6" s="8">
        <v>0.3</v>
      </c>
      <c r="U6" s="13">
        <f>T6*T5</f>
        <v>223.2</v>
      </c>
      <c r="V6" s="62">
        <f>U6*'Genset Loads'!$E$5</f>
        <v>3325.68</v>
      </c>
      <c r="W6" s="63">
        <f>V6*'Assumptions - DPU 3'!$F$6</f>
        <v>12471.3</v>
      </c>
      <c r="X6" s="8">
        <v>0.4</v>
      </c>
      <c r="Y6" s="13">
        <f>X6*X5</f>
        <v>288</v>
      </c>
      <c r="Z6" s="62">
        <f>Y6*'Genset Loads'!$E$5</f>
        <v>4291.2</v>
      </c>
      <c r="AA6" s="63">
        <f>Z6*'Assumptions - DPU 3'!$F$6</f>
        <v>16092</v>
      </c>
      <c r="AB6" s="8">
        <v>0.5</v>
      </c>
      <c r="AC6" s="13">
        <f>AB6*AB5</f>
        <v>372</v>
      </c>
      <c r="AD6" s="62">
        <f>AC6*'Genset Loads'!$E$5</f>
        <v>5542.8</v>
      </c>
      <c r="AE6" s="63">
        <f>AD6*'Assumptions - DPU 3'!$F$6</f>
        <v>20785.5</v>
      </c>
      <c r="AF6" s="8">
        <v>0.5</v>
      </c>
      <c r="AG6" s="13">
        <f>AF6*AF5</f>
        <v>372</v>
      </c>
      <c r="AH6" s="62">
        <f>AG6*'Genset Loads'!$E$5</f>
        <v>5542.8</v>
      </c>
      <c r="AI6" s="63">
        <f>AH6*'Assumptions - DPU 3'!$F$6</f>
        <v>20785.5</v>
      </c>
      <c r="AJ6" s="8">
        <v>0.3</v>
      </c>
      <c r="AK6" s="13">
        <f>AJ6*AJ5</f>
        <v>216</v>
      </c>
      <c r="AL6" s="62">
        <f>AK6*'Genset Loads'!$E$5</f>
        <v>3218.4</v>
      </c>
      <c r="AM6" s="63">
        <f>AL6*'Assumptions - DPU 3'!$F$6</f>
        <v>12069</v>
      </c>
      <c r="AN6" s="8">
        <v>0</v>
      </c>
      <c r="AO6" s="13">
        <f>AN6*AN5</f>
        <v>0</v>
      </c>
      <c r="AP6" s="62">
        <f>AO6*'Genset Loads'!$E$5</f>
        <v>0</v>
      </c>
      <c r="AQ6" s="63">
        <f>AP6*'Assumptions - DPU 3'!$F$6</f>
        <v>0</v>
      </c>
      <c r="AR6" s="8">
        <v>0</v>
      </c>
      <c r="AS6" s="13">
        <f>AR6*AR5</f>
        <v>0</v>
      </c>
      <c r="AT6" s="62">
        <f>AS6*'Genset Loads'!$E$5</f>
        <v>0</v>
      </c>
      <c r="AU6" s="63">
        <f>AT6*'Assumptions - DPU 3'!$F$6</f>
        <v>0</v>
      </c>
      <c r="AV6" s="8">
        <v>0</v>
      </c>
      <c r="AW6" s="13">
        <f>AV6*AV5</f>
        <v>0</v>
      </c>
      <c r="AX6" s="62">
        <f>AW6*'Genset Loads'!$E$5</f>
        <v>0</v>
      </c>
      <c r="AY6" s="63">
        <f>AX6*'Assumptions - DPU 3'!$F$6</f>
        <v>0</v>
      </c>
    </row>
    <row r="7" spans="2:51">
      <c r="B7" s="281" t="s">
        <v>166</v>
      </c>
      <c r="C7" s="282"/>
      <c r="D7" s="8">
        <v>0</v>
      </c>
      <c r="E7" s="7">
        <f>D7*D5</f>
        <v>0</v>
      </c>
      <c r="F7" s="62">
        <f>E7*'Genset Loads'!$E$6</f>
        <v>0</v>
      </c>
      <c r="G7" s="63">
        <f>F7*'Assumptions - DPU 3'!$F$6</f>
        <v>0</v>
      </c>
      <c r="H7" s="8">
        <v>0</v>
      </c>
      <c r="I7" s="13">
        <f>H7*H5</f>
        <v>0</v>
      </c>
      <c r="J7" s="62">
        <f>I7*'Genset Loads'!$E$6</f>
        <v>0</v>
      </c>
      <c r="K7" s="63">
        <f>J7*'Assumptions - DPU 3'!$F$6</f>
        <v>0</v>
      </c>
      <c r="L7" s="8">
        <v>0</v>
      </c>
      <c r="M7" s="13">
        <f>L7*L5</f>
        <v>0</v>
      </c>
      <c r="N7" s="62">
        <f>M7*'Genset Loads'!$E$6</f>
        <v>0</v>
      </c>
      <c r="O7" s="63">
        <f>N7*'Assumptions - DPU 3'!$F$6</f>
        <v>0</v>
      </c>
      <c r="P7" s="8">
        <v>0</v>
      </c>
      <c r="Q7" s="13">
        <f>P7*P5</f>
        <v>0</v>
      </c>
      <c r="R7" s="62">
        <f>Q7*'Genset Loads'!$E$6</f>
        <v>0</v>
      </c>
      <c r="S7" s="63">
        <f>R7*'Assumptions - DPU 3'!$F$6</f>
        <v>0</v>
      </c>
      <c r="T7" s="8">
        <v>0.3</v>
      </c>
      <c r="U7" s="13">
        <f>T7*T5</f>
        <v>223.2</v>
      </c>
      <c r="V7" s="62">
        <f>U7*'Genset Loads'!$E$6</f>
        <v>2209.6799999999998</v>
      </c>
      <c r="W7" s="63">
        <f>V7*'Assumptions - DPU 3'!$F$6</f>
        <v>8286.2999999999993</v>
      </c>
      <c r="X7" s="8">
        <v>0.4</v>
      </c>
      <c r="Y7" s="13">
        <f>X7*X5</f>
        <v>288</v>
      </c>
      <c r="Z7" s="62">
        <f>Y7*'Genset Loads'!$E$6</f>
        <v>2851.2000000000003</v>
      </c>
      <c r="AA7" s="63">
        <f>Z7*'Assumptions - DPU 3'!$F$6</f>
        <v>10692.000000000002</v>
      </c>
      <c r="AB7" s="8">
        <v>0.4</v>
      </c>
      <c r="AC7" s="13">
        <f>AB7*AB5</f>
        <v>297.60000000000002</v>
      </c>
      <c r="AD7" s="62">
        <f>AC7*'Genset Loads'!$E$6</f>
        <v>2946.2400000000002</v>
      </c>
      <c r="AE7" s="63">
        <f>AD7*'Assumptions - DPU 3'!$F$6</f>
        <v>11048.400000000001</v>
      </c>
      <c r="AF7" s="8">
        <v>0.4</v>
      </c>
      <c r="AG7" s="13">
        <f>AF7*AF5</f>
        <v>297.60000000000002</v>
      </c>
      <c r="AH7" s="62">
        <f>AG7*'Genset Loads'!$E$6</f>
        <v>2946.2400000000002</v>
      </c>
      <c r="AI7" s="63">
        <f>AH7*'Assumptions - DPU 3'!$F$6</f>
        <v>11048.400000000001</v>
      </c>
      <c r="AJ7" s="8">
        <v>0.3</v>
      </c>
      <c r="AK7" s="13">
        <f>AJ7*AJ5</f>
        <v>216</v>
      </c>
      <c r="AL7" s="62">
        <f>AK7*'Genset Loads'!$E$6</f>
        <v>2138.4</v>
      </c>
      <c r="AM7" s="63">
        <f>AL7*'Assumptions - DPU 3'!$F$6</f>
        <v>8019</v>
      </c>
      <c r="AN7" s="8">
        <v>0</v>
      </c>
      <c r="AO7" s="13">
        <f>AN7*AN5</f>
        <v>0</v>
      </c>
      <c r="AP7" s="62">
        <f>AO7*'Genset Loads'!$E$6</f>
        <v>0</v>
      </c>
      <c r="AQ7" s="63">
        <f>AP7*'Assumptions - DPU 3'!$F$6</f>
        <v>0</v>
      </c>
      <c r="AR7" s="8">
        <v>0</v>
      </c>
      <c r="AS7" s="13">
        <f>AR7*AR5</f>
        <v>0</v>
      </c>
      <c r="AT7" s="62">
        <f>AS7*'Genset Loads'!$E$6</f>
        <v>0</v>
      </c>
      <c r="AU7" s="63">
        <f>AT7*'Assumptions - DPU 3'!$F$6</f>
        <v>0</v>
      </c>
      <c r="AV7" s="8">
        <v>0</v>
      </c>
      <c r="AW7" s="13">
        <f>AV7*AV5</f>
        <v>0</v>
      </c>
      <c r="AX7" s="62">
        <f>AW7*'Genset Loads'!$E$6</f>
        <v>0</v>
      </c>
      <c r="AY7" s="63">
        <f>AX7*'Assumptions - DPU 3'!$F$6</f>
        <v>0</v>
      </c>
    </row>
    <row r="8" spans="2:51">
      <c r="B8" s="281" t="s">
        <v>167</v>
      </c>
      <c r="C8" s="282"/>
      <c r="D8" s="8">
        <v>0</v>
      </c>
      <c r="E8" s="7">
        <f>D8*D5</f>
        <v>0</v>
      </c>
      <c r="F8" s="62">
        <f>E8*'Genset Loads'!$E$7</f>
        <v>0</v>
      </c>
      <c r="G8" s="63">
        <f>F8*'Assumptions - DPU 3'!$F$6</f>
        <v>0</v>
      </c>
      <c r="H8" s="8">
        <v>0</v>
      </c>
      <c r="I8" s="13">
        <f>H8*H5</f>
        <v>0</v>
      </c>
      <c r="J8" s="62">
        <f>I8*'Genset Loads'!$E$7</f>
        <v>0</v>
      </c>
      <c r="K8" s="63">
        <f>J8*'Assumptions - DPU 3'!$F$6</f>
        <v>0</v>
      </c>
      <c r="L8" s="8">
        <v>0.15</v>
      </c>
      <c r="M8" s="13">
        <f>L8*L5</f>
        <v>111.6</v>
      </c>
      <c r="N8" s="62">
        <f>M8*'Genset Loads'!$E$7</f>
        <v>558</v>
      </c>
      <c r="O8" s="63">
        <f>N8*'Assumptions - DPU 3'!$F$6</f>
        <v>2092.5</v>
      </c>
      <c r="P8" s="8">
        <v>0.5</v>
      </c>
      <c r="Q8" s="13">
        <f>P8*P5</f>
        <v>360</v>
      </c>
      <c r="R8" s="62">
        <f>Q8*'Genset Loads'!$E$7</f>
        <v>1800</v>
      </c>
      <c r="S8" s="63">
        <f>R8*'Assumptions - DPU 3'!$F$6</f>
        <v>6750</v>
      </c>
      <c r="T8" s="8">
        <v>0.3</v>
      </c>
      <c r="U8" s="13">
        <f>T8*T5</f>
        <v>223.2</v>
      </c>
      <c r="V8" s="62">
        <f>U8*'Genset Loads'!$E$7</f>
        <v>1116</v>
      </c>
      <c r="W8" s="63">
        <f>V8*'Assumptions - DPU 3'!$F$6</f>
        <v>4185</v>
      </c>
      <c r="X8" s="8">
        <v>0.2</v>
      </c>
      <c r="Y8" s="13">
        <f>X8*X5</f>
        <v>144</v>
      </c>
      <c r="Z8" s="62">
        <f>Y8*'Genset Loads'!$E$7</f>
        <v>720</v>
      </c>
      <c r="AA8" s="63">
        <f>Z8*'Assumptions - DPU 3'!$F$6</f>
        <v>2700</v>
      </c>
      <c r="AB8" s="8">
        <v>0.1</v>
      </c>
      <c r="AC8" s="13">
        <f>AB8*AB5</f>
        <v>74.400000000000006</v>
      </c>
      <c r="AD8" s="62">
        <f>AC8*'Genset Loads'!$E$7</f>
        <v>372</v>
      </c>
      <c r="AE8" s="63">
        <f>AD8*'Assumptions - DPU 3'!$F$6</f>
        <v>1395</v>
      </c>
      <c r="AF8" s="8">
        <v>0.1</v>
      </c>
      <c r="AG8" s="13">
        <f>AF8*AF5</f>
        <v>74.400000000000006</v>
      </c>
      <c r="AH8" s="62">
        <f>AG8*'Genset Loads'!$E$7</f>
        <v>372</v>
      </c>
      <c r="AI8" s="63">
        <f>AH8*'Assumptions - DPU 3'!$F$6</f>
        <v>1395</v>
      </c>
      <c r="AJ8" s="8">
        <v>0.3</v>
      </c>
      <c r="AK8" s="13">
        <f>AJ8*AJ5</f>
        <v>216</v>
      </c>
      <c r="AL8" s="62">
        <f>AK8*'Genset Loads'!$E$7</f>
        <v>1080</v>
      </c>
      <c r="AM8" s="63">
        <f>AL8*'Assumptions - DPU 3'!$F$6</f>
        <v>4050</v>
      </c>
      <c r="AN8" s="8">
        <v>0.6</v>
      </c>
      <c r="AO8" s="13">
        <f>AN8*AN5</f>
        <v>446.4</v>
      </c>
      <c r="AP8" s="62">
        <f>AO8*'Genset Loads'!$E$7</f>
        <v>2232</v>
      </c>
      <c r="AQ8" s="63">
        <f>AP8*'Assumptions - DPU 3'!$F$6</f>
        <v>8370</v>
      </c>
      <c r="AR8" s="8">
        <v>0.3</v>
      </c>
      <c r="AS8" s="13">
        <f>AR8*AR5</f>
        <v>216</v>
      </c>
      <c r="AT8" s="62">
        <f>AS8*'Genset Loads'!$E$7</f>
        <v>1080</v>
      </c>
      <c r="AU8" s="63">
        <f>AT8*'Assumptions - DPU 3'!$F$6</f>
        <v>4050</v>
      </c>
      <c r="AV8" s="8">
        <v>0.3</v>
      </c>
      <c r="AW8" s="13">
        <f>AV8*AV5</f>
        <v>223.2</v>
      </c>
      <c r="AX8" s="62">
        <f>AW8*'Genset Loads'!$E$7</f>
        <v>1116</v>
      </c>
      <c r="AY8" s="63">
        <f>AX8*'Assumptions - DPU 3'!$F$6</f>
        <v>4185</v>
      </c>
    </row>
    <row r="9" spans="2:51">
      <c r="B9" s="281" t="s">
        <v>168</v>
      </c>
      <c r="C9" s="282"/>
      <c r="D9" s="8">
        <v>1</v>
      </c>
      <c r="E9" s="7">
        <f>D9*D5</f>
        <v>744</v>
      </c>
      <c r="F9" s="62">
        <f>E9*'Genset Loads'!$E$8</f>
        <v>2306.4</v>
      </c>
      <c r="G9" s="63">
        <f>F9*'Assumptions - DPU 3'!$F$6</f>
        <v>8649</v>
      </c>
      <c r="H9" s="8">
        <v>1</v>
      </c>
      <c r="I9" s="13">
        <f>H9*H5</f>
        <v>672</v>
      </c>
      <c r="J9" s="62">
        <f>I9*'Genset Loads'!$E$8</f>
        <v>2083.2000000000003</v>
      </c>
      <c r="K9" s="63">
        <f>J9*'Assumptions - DPU 3'!$F$6</f>
        <v>7812.0000000000009</v>
      </c>
      <c r="L9" s="8">
        <v>0.85</v>
      </c>
      <c r="M9" s="13">
        <f>L9*L5</f>
        <v>632.4</v>
      </c>
      <c r="N9" s="62">
        <f>M9*'Genset Loads'!$E$8</f>
        <v>1960.44</v>
      </c>
      <c r="O9" s="63">
        <f>N9*'Assumptions - DPU 3'!$F$6</f>
        <v>7351.6500000000005</v>
      </c>
      <c r="P9" s="8">
        <v>0.5</v>
      </c>
      <c r="Q9" s="13">
        <f>P9*P5</f>
        <v>360</v>
      </c>
      <c r="R9" s="62">
        <f>Q9*'Genset Loads'!$E$8</f>
        <v>1116</v>
      </c>
      <c r="S9" s="63">
        <f>R9*'Assumptions - DPU 3'!$F$6</f>
        <v>4185</v>
      </c>
      <c r="T9" s="8">
        <v>0.1</v>
      </c>
      <c r="U9" s="13">
        <f>T9*T5</f>
        <v>74.400000000000006</v>
      </c>
      <c r="V9" s="62">
        <f>U9*'Genset Loads'!$E$8</f>
        <v>230.64000000000001</v>
      </c>
      <c r="W9" s="63">
        <f>V9*'Assumptions - DPU 3'!$F$6</f>
        <v>864.90000000000009</v>
      </c>
      <c r="X9" s="8">
        <v>0</v>
      </c>
      <c r="Y9" s="13">
        <f>X9*X5</f>
        <v>0</v>
      </c>
      <c r="Z9" s="62">
        <f>Y9*'Genset Loads'!$E$8</f>
        <v>0</v>
      </c>
      <c r="AA9" s="63">
        <f>Z9*'Assumptions - DPU 3'!$F$6</f>
        <v>0</v>
      </c>
      <c r="AB9" s="8">
        <v>0</v>
      </c>
      <c r="AC9" s="13">
        <f>AB9*AB5</f>
        <v>0</v>
      </c>
      <c r="AD9" s="62">
        <f>AC9*'Genset Loads'!$E$8</f>
        <v>0</v>
      </c>
      <c r="AE9" s="63">
        <f>AD9*'Assumptions - DPU 3'!$F$6</f>
        <v>0</v>
      </c>
      <c r="AF9" s="8">
        <v>0</v>
      </c>
      <c r="AG9" s="13">
        <f>AF9*AF5</f>
        <v>0</v>
      </c>
      <c r="AH9" s="62">
        <f>AG9*'Genset Loads'!$E$8</f>
        <v>0</v>
      </c>
      <c r="AI9" s="63">
        <f>AH9*'Assumptions - DPU 3'!$F$6</f>
        <v>0</v>
      </c>
      <c r="AJ9" s="8">
        <v>0.1</v>
      </c>
      <c r="AK9" s="13">
        <f>AJ9*AJ5</f>
        <v>72</v>
      </c>
      <c r="AL9" s="62">
        <f>AK9*'Genset Loads'!$E$8</f>
        <v>223.20000000000002</v>
      </c>
      <c r="AM9" s="63">
        <f>AL9*'Assumptions - DPU 3'!$F$6</f>
        <v>837.00000000000011</v>
      </c>
      <c r="AN9" s="8">
        <v>0.4</v>
      </c>
      <c r="AO9" s="13">
        <f>AN9*AN5</f>
        <v>297.60000000000002</v>
      </c>
      <c r="AP9" s="62">
        <f>AO9*'Genset Loads'!$E$8</f>
        <v>922.56000000000006</v>
      </c>
      <c r="AQ9" s="63">
        <f>AP9*'Assumptions - DPU 3'!$F$6</f>
        <v>3459.6000000000004</v>
      </c>
      <c r="AR9" s="8">
        <v>0.7</v>
      </c>
      <c r="AS9" s="13">
        <f>AR9*AR5</f>
        <v>503.99999999999994</v>
      </c>
      <c r="AT9" s="62">
        <f>AS9*'Genset Loads'!$E$8</f>
        <v>1562.3999999999999</v>
      </c>
      <c r="AU9" s="63">
        <f>AT9*'Assumptions - DPU 3'!$F$6</f>
        <v>5858.9999999999991</v>
      </c>
      <c r="AV9" s="8">
        <v>0.7</v>
      </c>
      <c r="AW9" s="13">
        <f>AV9*AV5</f>
        <v>520.79999999999995</v>
      </c>
      <c r="AX9" s="62">
        <f>AW9*'Genset Loads'!$E$8</f>
        <v>1614.48</v>
      </c>
      <c r="AY9" s="63">
        <f>AX9*'Assumptions - DPU 3'!$F$6</f>
        <v>6054.3</v>
      </c>
    </row>
    <row r="10" spans="2:51">
      <c r="B10" s="283" t="s">
        <v>169</v>
      </c>
      <c r="C10" s="283"/>
      <c r="E10" s="11"/>
      <c r="F10" s="64">
        <f>SUM(F6:F9)</f>
        <v>2306.4</v>
      </c>
      <c r="G10" s="65">
        <f>SUM(G6:G9)</f>
        <v>8649</v>
      </c>
      <c r="I10" s="11"/>
      <c r="J10" s="64">
        <f>SUM(J6:J9)</f>
        <v>2083.2000000000003</v>
      </c>
      <c r="K10" s="65">
        <f>SUM(K6:K9)</f>
        <v>7812.0000000000009</v>
      </c>
      <c r="M10" s="11"/>
      <c r="N10" s="64">
        <f t="shared" ref="N10:O10" si="0">SUM(N6:N9)</f>
        <v>2518.44</v>
      </c>
      <c r="O10" s="65">
        <f t="shared" si="0"/>
        <v>9444.1500000000015</v>
      </c>
      <c r="Q10" s="11"/>
      <c r="R10" s="64">
        <f t="shared" ref="R10:S10" si="1">SUM(R6:R9)</f>
        <v>2916</v>
      </c>
      <c r="S10" s="65">
        <f t="shared" si="1"/>
        <v>10935</v>
      </c>
      <c r="U10" s="11"/>
      <c r="V10" s="64">
        <f t="shared" ref="V10:W10" si="2">SUM(V6:V9)</f>
        <v>6882</v>
      </c>
      <c r="W10" s="65">
        <f t="shared" si="2"/>
        <v>25807.5</v>
      </c>
      <c r="Y10" s="11"/>
      <c r="Z10" s="64">
        <f t="shared" ref="Z10:AA10" si="3">SUM(Z6:Z9)</f>
        <v>7862.4</v>
      </c>
      <c r="AA10" s="65">
        <f t="shared" si="3"/>
        <v>29484</v>
      </c>
      <c r="AC10" s="11"/>
      <c r="AD10" s="64">
        <f t="shared" ref="AD10:AE10" si="4">SUM(AD6:AD9)</f>
        <v>8861.0400000000009</v>
      </c>
      <c r="AE10" s="65">
        <f t="shared" si="4"/>
        <v>33228.9</v>
      </c>
      <c r="AG10" s="11"/>
      <c r="AH10" s="64">
        <f t="shared" ref="AH10:AI10" si="5">SUM(AH6:AH9)</f>
        <v>8861.0400000000009</v>
      </c>
      <c r="AI10" s="65">
        <f t="shared" si="5"/>
        <v>33228.9</v>
      </c>
      <c r="AK10" s="11"/>
      <c r="AL10" s="64">
        <f t="shared" ref="AL10:AM10" si="6">SUM(AL6:AL9)</f>
        <v>6660</v>
      </c>
      <c r="AM10" s="65">
        <f t="shared" si="6"/>
        <v>24975</v>
      </c>
      <c r="AO10" s="11"/>
      <c r="AP10" s="64">
        <f t="shared" ref="AP10:AQ10" si="7">SUM(AP6:AP9)</f>
        <v>3154.56</v>
      </c>
      <c r="AQ10" s="65">
        <f t="shared" si="7"/>
        <v>11829.6</v>
      </c>
      <c r="AS10" s="11"/>
      <c r="AT10" s="64">
        <f t="shared" ref="AT10:AU10" si="8">SUM(AT6:AT9)</f>
        <v>2642.3999999999996</v>
      </c>
      <c r="AU10" s="65">
        <f t="shared" si="8"/>
        <v>9909</v>
      </c>
      <c r="AW10" s="11"/>
      <c r="AX10" s="64">
        <f t="shared" ref="AX10:AY10" si="9">SUM(AX6:AX9)</f>
        <v>2730.48</v>
      </c>
      <c r="AY10" s="65">
        <f t="shared" si="9"/>
        <v>10239.299999999999</v>
      </c>
    </row>
    <row r="11" spans="2:51">
      <c r="B11" s="283" t="s">
        <v>177</v>
      </c>
      <c r="C11" s="283"/>
      <c r="E11" s="3"/>
      <c r="F11" s="271">
        <f>F10/D5</f>
        <v>3.1</v>
      </c>
      <c r="G11" s="271"/>
      <c r="H11" s="3"/>
      <c r="I11" s="3"/>
      <c r="J11" s="271">
        <f>J10/H5</f>
        <v>3.1000000000000005</v>
      </c>
      <c r="K11" s="271"/>
      <c r="L11" s="3"/>
      <c r="M11" s="3"/>
      <c r="N11" s="271">
        <f>N10/L5</f>
        <v>3.3850000000000002</v>
      </c>
      <c r="O11" s="271"/>
      <c r="P11" s="3"/>
      <c r="Q11" s="3"/>
      <c r="R11" s="271">
        <f>R10/P5</f>
        <v>4.05</v>
      </c>
      <c r="S11" s="271"/>
      <c r="T11" s="3"/>
      <c r="U11" s="3"/>
      <c r="V11" s="271">
        <f>V10/T5</f>
        <v>9.25</v>
      </c>
      <c r="W11" s="271"/>
      <c r="X11" s="3"/>
      <c r="Y11" s="3"/>
      <c r="Z11" s="271">
        <f>Z10/X5</f>
        <v>10.92</v>
      </c>
      <c r="AA11" s="271"/>
      <c r="AB11" s="3"/>
      <c r="AC11" s="3"/>
      <c r="AD11" s="271">
        <f>AD10/AB5</f>
        <v>11.910000000000002</v>
      </c>
      <c r="AE11" s="271"/>
      <c r="AF11" s="3"/>
      <c r="AG11" s="3"/>
      <c r="AH11" s="271">
        <f>AH10/AF5</f>
        <v>11.910000000000002</v>
      </c>
      <c r="AI11" s="271"/>
      <c r="AJ11" s="3"/>
      <c r="AK11" s="3"/>
      <c r="AL11" s="271">
        <f>AL10/AJ5</f>
        <v>9.25</v>
      </c>
      <c r="AM11" s="271"/>
      <c r="AN11" s="3"/>
      <c r="AO11" s="3"/>
      <c r="AP11" s="271">
        <f>AP10/AN5</f>
        <v>4.24</v>
      </c>
      <c r="AQ11" s="271"/>
      <c r="AR11" s="3"/>
      <c r="AS11" s="3"/>
      <c r="AT11" s="271">
        <f>AT10/AR5</f>
        <v>3.6699999999999995</v>
      </c>
      <c r="AU11" s="271"/>
      <c r="AV11" s="3"/>
      <c r="AW11" s="3"/>
      <c r="AX11" s="271">
        <f>AX10/AV5</f>
        <v>3.67</v>
      </c>
      <c r="AY11" s="271"/>
    </row>
    <row r="14" spans="2:51" ht="45" customHeight="1">
      <c r="B14" s="274" t="s">
        <v>175</v>
      </c>
      <c r="C14" s="274"/>
    </row>
    <row r="15" spans="2:51">
      <c r="B15" s="12" t="s">
        <v>180</v>
      </c>
      <c r="C15" s="10">
        <f>E6+I6+M6+Q6+U6+Y6+AC6+AG6+AK6+AO6+AS6+AW6</f>
        <v>1471.2</v>
      </c>
    </row>
    <row r="16" spans="2:51">
      <c r="B16" s="9" t="s">
        <v>118</v>
      </c>
      <c r="C16" s="10">
        <f>E7+I7+M7+Q7+U7+Y7+AC7+AG7+AK7+AO7+AS7+AW7</f>
        <v>1322.4</v>
      </c>
    </row>
    <row r="17" spans="2:5">
      <c r="B17" s="9" t="s">
        <v>119</v>
      </c>
      <c r="C17" s="10">
        <f>E8+I8+M8+Q8+U8+Y8+AC8+AG8+AK8+AO8+AS8+AW8</f>
        <v>2089.1999999999998</v>
      </c>
    </row>
    <row r="18" spans="2:5">
      <c r="B18" s="9" t="s">
        <v>120</v>
      </c>
      <c r="C18" s="10">
        <f>E9+I9+M9+Q9+U9+Y9+AC9+AG9+AK9+AO9+AS9+AW9</f>
        <v>3877.2</v>
      </c>
    </row>
    <row r="20" spans="2:5">
      <c r="E20" s="15"/>
    </row>
    <row r="21" spans="2:5">
      <c r="B21" s="272" t="s">
        <v>169</v>
      </c>
      <c r="C21" s="273"/>
    </row>
    <row r="22" spans="2:5" ht="30">
      <c r="B22" s="72" t="s">
        <v>178</v>
      </c>
      <c r="C22" s="74">
        <f>F10+J10+N10+R10+V10+Z10+AD10+AH10+AL10+AP10+AT10+AX10</f>
        <v>57477.960000000006</v>
      </c>
    </row>
    <row r="23" spans="2:5" ht="30">
      <c r="B23" s="72" t="s">
        <v>179</v>
      </c>
      <c r="C23" s="73">
        <f>G10+K10+O10+S10+W10+AA10+AE10+AI10+AM10+AQ10+AU10+AY10</f>
        <v>215542.34999999998</v>
      </c>
    </row>
  </sheetData>
  <mergeCells count="73">
    <mergeCell ref="AV5:AW5"/>
    <mergeCell ref="D5:E5"/>
    <mergeCell ref="H5:I5"/>
    <mergeCell ref="L5:M5"/>
    <mergeCell ref="P5:Q5"/>
    <mergeCell ref="T5:U5"/>
    <mergeCell ref="X5:Y5"/>
    <mergeCell ref="AB5:AC5"/>
    <mergeCell ref="AF5:AG5"/>
    <mergeCell ref="AJ5:AK5"/>
    <mergeCell ref="AN5:AO5"/>
    <mergeCell ref="AR5:AS5"/>
    <mergeCell ref="AJ2:AM2"/>
    <mergeCell ref="AN2:AQ2"/>
    <mergeCell ref="AR2:AU2"/>
    <mergeCell ref="AV2:AY2"/>
    <mergeCell ref="N3:O4"/>
    <mergeCell ref="R3:S4"/>
    <mergeCell ref="P2:S2"/>
    <mergeCell ref="T2:W2"/>
    <mergeCell ref="X2:AA2"/>
    <mergeCell ref="AB2:AE2"/>
    <mergeCell ref="AF2:AI2"/>
    <mergeCell ref="V3:W4"/>
    <mergeCell ref="Z3:AA4"/>
    <mergeCell ref="AP3:AQ4"/>
    <mergeCell ref="AT3:AU4"/>
    <mergeCell ref="AX3:AY4"/>
    <mergeCell ref="J3:K4"/>
    <mergeCell ref="H2:K2"/>
    <mergeCell ref="L2:O2"/>
    <mergeCell ref="D2:G2"/>
    <mergeCell ref="AL3:AM4"/>
    <mergeCell ref="AD3:AE4"/>
    <mergeCell ref="AH3:AI4"/>
    <mergeCell ref="H4:I4"/>
    <mergeCell ref="L4:M4"/>
    <mergeCell ref="P4:Q4"/>
    <mergeCell ref="T4:U4"/>
    <mergeCell ref="X4:Y4"/>
    <mergeCell ref="AB4:AC4"/>
    <mergeCell ref="AF4:AG4"/>
    <mergeCell ref="AJ4:AK4"/>
    <mergeCell ref="F3:G4"/>
    <mergeCell ref="AN4:AO4"/>
    <mergeCell ref="AR4:AS4"/>
    <mergeCell ref="AV4:AW4"/>
    <mergeCell ref="J11:K11"/>
    <mergeCell ref="B2:C2"/>
    <mergeCell ref="B3:C3"/>
    <mergeCell ref="B4:C4"/>
    <mergeCell ref="B5:C5"/>
    <mergeCell ref="B6:C6"/>
    <mergeCell ref="B7:C7"/>
    <mergeCell ref="B8:C8"/>
    <mergeCell ref="B9:C9"/>
    <mergeCell ref="B10:C10"/>
    <mergeCell ref="B11:C11"/>
    <mergeCell ref="D3:E3"/>
    <mergeCell ref="D4:E4"/>
    <mergeCell ref="AX11:AY11"/>
    <mergeCell ref="AH11:AI11"/>
    <mergeCell ref="AL11:AM11"/>
    <mergeCell ref="AP11:AQ11"/>
    <mergeCell ref="B21:C21"/>
    <mergeCell ref="B14:C14"/>
    <mergeCell ref="AT11:AU11"/>
    <mergeCell ref="Z11:AA11"/>
    <mergeCell ref="AD11:AE11"/>
    <mergeCell ref="N11:O11"/>
    <mergeCell ref="R11:S11"/>
    <mergeCell ref="V11:W11"/>
    <mergeCell ref="F11:G11"/>
  </mergeCells>
  <pageMargins left="0.7" right="0.7" top="0.75" bottom="0.75" header="0.3" footer="0.3"/>
  <pageSetup paperSize="3"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Financials - DPU 1</vt:lpstr>
      <vt:lpstr>Net Revenue Calculations</vt:lpstr>
      <vt:lpstr>Assumptions - DPU 3</vt:lpstr>
      <vt:lpstr>Rates - DPU 2</vt:lpstr>
      <vt:lpstr>Revenue Estimates</vt:lpstr>
      <vt:lpstr>Genset Loads</vt:lpstr>
      <vt:lpstr>Demand and Fuel Use</vt:lpstr>
      <vt:lpstr>'Assumptions - DPU 3'!Print_Area</vt:lpstr>
      <vt:lpstr>'Demand and Fuel Use'!Print_Area</vt:lpstr>
      <vt:lpstr>'Financials - DPU 1'!Print_Area</vt:lpstr>
      <vt:lpstr>'Genset Loads'!Print_Area</vt:lpstr>
      <vt:lpstr>'Net Revenue Calculations'!Print_Area</vt:lpstr>
      <vt:lpstr>'Rates - DPU 2'!Print_Area</vt:lpstr>
      <vt:lpstr>'Revenue Estimates'!Print_Area</vt:lpstr>
      <vt:lpstr>'Financials - DPU 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laurieharris</cp:lastModifiedBy>
  <cp:lastPrinted>2013-10-08T14:51:51Z</cp:lastPrinted>
  <dcterms:created xsi:type="dcterms:W3CDTF">2013-09-23T21:14:42Z</dcterms:created>
  <dcterms:modified xsi:type="dcterms:W3CDTF">2013-10-09T17:42:25Z</dcterms:modified>
</cp:coreProperties>
</file>