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2201\"/>
    </mc:Choice>
  </mc:AlternateContent>
  <bookViews>
    <workbookView xWindow="-270" yWindow="-105" windowWidth="15285" windowHeight="8820" tabRatio="685" activeTab="3"/>
  </bookViews>
  <sheets>
    <sheet name="Financial Statements" sheetId="5" r:id="rId1"/>
    <sheet name="Cash Flow" sheetId="9" r:id="rId2"/>
    <sheet name="Assumptions" sheetId="2" r:id="rId3"/>
    <sheet name="Forecast " sheetId="1" r:id="rId4"/>
    <sheet name="Chart1" sheetId="7" r:id="rId5"/>
    <sheet name="Earnings Chart" sheetId="8" r:id="rId6"/>
  </sheets>
  <externalReferences>
    <externalReference r:id="rId7"/>
  </externalReferences>
  <definedNames>
    <definedName name="_xlnm.Print_Area" localSheetId="2">Assumptions!$A$1:$R$71</definedName>
    <definedName name="_xlnm.Print_Area" localSheetId="1">'Cash Flow'!$A$1:$H$60</definedName>
    <definedName name="_xlnm.Print_Area" localSheetId="0">'Financial Statements'!$A$1:$R$156</definedName>
    <definedName name="_xlnm.Print_Area" localSheetId="3">'Forecast '!$A$1:$I$258</definedName>
  </definedNames>
  <calcPr calcId="152511" iterate="1"/>
</workbook>
</file>

<file path=xl/calcChain.xml><?xml version="1.0" encoding="utf-8"?>
<calcChain xmlns="http://schemas.openxmlformats.org/spreadsheetml/2006/main">
  <c r="C32" i="1" l="1"/>
  <c r="B32" i="1"/>
  <c r="A32" i="1"/>
  <c r="C59" i="1"/>
  <c r="B59" i="1"/>
  <c r="A59" i="1"/>
  <c r="D30" i="2"/>
  <c r="Q113" i="5"/>
  <c r="P113" i="5"/>
  <c r="O113" i="5"/>
  <c r="N113" i="5"/>
  <c r="M113" i="5"/>
  <c r="R113" i="5" s="1"/>
  <c r="D56" i="2" s="1"/>
  <c r="E44" i="2"/>
  <c r="J38" i="2"/>
  <c r="K38" i="2" s="1"/>
  <c r="L38" i="2" s="1"/>
  <c r="I38" i="2"/>
  <c r="C15" i="1"/>
  <c r="B15" i="1"/>
  <c r="A15" i="1"/>
  <c r="D62" i="2"/>
  <c r="F62" i="2"/>
  <c r="D24" i="2"/>
  <c r="D23" i="2"/>
  <c r="C89" i="1"/>
  <c r="B89" i="1"/>
  <c r="A89" i="1"/>
  <c r="C88" i="1"/>
  <c r="B88" i="1"/>
  <c r="A88" i="1"/>
  <c r="B22" i="2"/>
  <c r="B21" i="2"/>
  <c r="C86" i="1"/>
  <c r="B86" i="1"/>
  <c r="A86" i="1"/>
  <c r="C108" i="1"/>
  <c r="C104" i="1"/>
  <c r="C103" i="1"/>
  <c r="C99" i="1"/>
  <c r="C98" i="1"/>
  <c r="C97" i="1"/>
  <c r="C96" i="1"/>
  <c r="C91" i="1"/>
  <c r="C90" i="1"/>
  <c r="C87" i="1"/>
  <c r="C85" i="1"/>
  <c r="C84" i="1"/>
  <c r="C83" i="1"/>
  <c r="C79" i="1"/>
  <c r="C78" i="1"/>
  <c r="C61" i="1"/>
  <c r="C60" i="1"/>
  <c r="D60" i="1" s="1"/>
  <c r="C56" i="1"/>
  <c r="C50" i="1"/>
  <c r="C49" i="1"/>
  <c r="C48" i="1"/>
  <c r="C45" i="1"/>
  <c r="C44" i="1"/>
  <c r="C43" i="1"/>
  <c r="C42" i="1"/>
  <c r="D42" i="1" s="1"/>
  <c r="E42" i="1" s="1"/>
  <c r="F42" i="1" s="1"/>
  <c r="G42" i="1" s="1"/>
  <c r="H42" i="1" s="1"/>
  <c r="C41" i="1"/>
  <c r="C40" i="1"/>
  <c r="C34" i="1"/>
  <c r="C33" i="1"/>
  <c r="C31" i="1"/>
  <c r="C26" i="1"/>
  <c r="C23" i="1"/>
  <c r="C22" i="1"/>
  <c r="C21" i="1"/>
  <c r="C17" i="1"/>
  <c r="C16" i="1"/>
  <c r="C14" i="1"/>
  <c r="C12" i="1"/>
  <c r="B108" i="1"/>
  <c r="B104" i="1"/>
  <c r="B103" i="1"/>
  <c r="B99" i="1"/>
  <c r="B98" i="1"/>
  <c r="B97" i="1"/>
  <c r="B96" i="1"/>
  <c r="B91" i="1"/>
  <c r="B90" i="1"/>
  <c r="B87" i="1"/>
  <c r="B85" i="1"/>
  <c r="B84" i="1"/>
  <c r="B83" i="1"/>
  <c r="B78" i="1"/>
  <c r="B61" i="1"/>
  <c r="B60" i="1"/>
  <c r="B50" i="1"/>
  <c r="B49" i="1"/>
  <c r="B48" i="1"/>
  <c r="B45" i="1"/>
  <c r="B44" i="1"/>
  <c r="B43" i="1"/>
  <c r="B42" i="1"/>
  <c r="B41" i="1"/>
  <c r="B40" i="1"/>
  <c r="B34" i="1"/>
  <c r="B33" i="1"/>
  <c r="B31" i="1"/>
  <c r="B26" i="1"/>
  <c r="B23" i="1"/>
  <c r="B22" i="1"/>
  <c r="B21" i="1"/>
  <c r="B17" i="1"/>
  <c r="B16" i="1"/>
  <c r="B14" i="1"/>
  <c r="B12" i="1"/>
  <c r="B9" i="1"/>
  <c r="H49" i="9"/>
  <c r="H48" i="9"/>
  <c r="H44" i="9"/>
  <c r="H38" i="9"/>
  <c r="H34" i="9"/>
  <c r="H28" i="9"/>
  <c r="H25" i="9"/>
  <c r="H23" i="9"/>
  <c r="H21" i="9"/>
  <c r="H14" i="9"/>
  <c r="I77" i="5"/>
  <c r="I12" i="5"/>
  <c r="G26" i="9"/>
  <c r="F26" i="9"/>
  <c r="J16" i="5"/>
  <c r="I97" i="5"/>
  <c r="I95" i="5"/>
  <c r="D28" i="2" s="1"/>
  <c r="I94" i="5"/>
  <c r="I90" i="5"/>
  <c r="I89" i="5"/>
  <c r="I88" i="5"/>
  <c r="D22" i="2" s="1"/>
  <c r="I87" i="5"/>
  <c r="D21" i="2" s="1"/>
  <c r="I86" i="5"/>
  <c r="I85" i="5"/>
  <c r="D19" i="2" s="1"/>
  <c r="D86" i="1" s="1"/>
  <c r="E86" i="1" s="1"/>
  <c r="F86" i="1" s="1"/>
  <c r="G86" i="1" s="1"/>
  <c r="H86" i="1" s="1"/>
  <c r="I84" i="5"/>
  <c r="D18" i="2" s="1"/>
  <c r="I83" i="5"/>
  <c r="I82" i="5"/>
  <c r="D16" i="2" s="1"/>
  <c r="I62" i="5"/>
  <c r="I61" i="5"/>
  <c r="I49" i="5"/>
  <c r="I43" i="5"/>
  <c r="I42" i="5"/>
  <c r="I41" i="5"/>
  <c r="I35" i="5"/>
  <c r="D54" i="2" s="1"/>
  <c r="I32" i="5"/>
  <c r="I26" i="5"/>
  <c r="I22" i="5"/>
  <c r="I21" i="5"/>
  <c r="I17" i="5"/>
  <c r="I15" i="5"/>
  <c r="I13" i="5"/>
  <c r="Q90" i="5"/>
  <c r="Q88" i="5"/>
  <c r="Q84" i="5"/>
  <c r="Q82" i="5"/>
  <c r="Q77" i="5"/>
  <c r="K83" i="5"/>
  <c r="K79" i="5"/>
  <c r="K75" i="5"/>
  <c r="B98" i="5"/>
  <c r="B91" i="5"/>
  <c r="B79" i="5"/>
  <c r="K87" i="5" s="1"/>
  <c r="B75" i="5"/>
  <c r="B115" i="5" s="1"/>
  <c r="B64" i="5"/>
  <c r="B153" i="5" s="1"/>
  <c r="B54" i="5"/>
  <c r="B47" i="5"/>
  <c r="B119" i="5" s="1"/>
  <c r="B36" i="5"/>
  <c r="B24" i="5"/>
  <c r="B28" i="5" s="1"/>
  <c r="B18" i="5"/>
  <c r="J85" i="5"/>
  <c r="Q9" i="5"/>
  <c r="S9" i="5" s="1"/>
  <c r="T9" i="5" s="1"/>
  <c r="U9" i="5" s="1"/>
  <c r="V9" i="5" s="1"/>
  <c r="W9" i="5" s="1"/>
  <c r="X9" i="5" s="1"/>
  <c r="G51" i="9"/>
  <c r="G40" i="9"/>
  <c r="H98" i="5"/>
  <c r="H91" i="5"/>
  <c r="H79" i="5"/>
  <c r="Q97" i="5" s="1"/>
  <c r="H75" i="5"/>
  <c r="H115" i="5" s="1"/>
  <c r="H64" i="5"/>
  <c r="H153" i="5" s="1"/>
  <c r="H54" i="5"/>
  <c r="H47" i="5"/>
  <c r="H36" i="5"/>
  <c r="H24" i="5"/>
  <c r="H18" i="5"/>
  <c r="H9" i="5"/>
  <c r="E50" i="1"/>
  <c r="F50" i="1" s="1"/>
  <c r="G50" i="1" s="1"/>
  <c r="H50" i="1" s="1"/>
  <c r="E97" i="1"/>
  <c r="F97" i="1" s="1"/>
  <c r="G97" i="1" s="1"/>
  <c r="H97" i="1" s="1"/>
  <c r="A80" i="1"/>
  <c r="A78" i="1"/>
  <c r="E8" i="9"/>
  <c r="D8" i="9"/>
  <c r="C8" i="9"/>
  <c r="B8" i="9"/>
  <c r="F8" i="9"/>
  <c r="A10" i="9"/>
  <c r="H16" i="9"/>
  <c r="H15" i="9"/>
  <c r="J70" i="5"/>
  <c r="R74" i="5"/>
  <c r="R75" i="5"/>
  <c r="P75" i="5"/>
  <c r="O75" i="5"/>
  <c r="N75" i="5"/>
  <c r="M75" i="5"/>
  <c r="L75" i="5"/>
  <c r="R67" i="5"/>
  <c r="J105" i="5"/>
  <c r="J103" i="5"/>
  <c r="J102" i="5"/>
  <c r="J101" i="5"/>
  <c r="J100" i="5"/>
  <c r="J98" i="5"/>
  <c r="J97" i="5"/>
  <c r="J96" i="5"/>
  <c r="J95" i="5"/>
  <c r="J94" i="5"/>
  <c r="J92" i="5"/>
  <c r="J91" i="5"/>
  <c r="J90" i="5"/>
  <c r="J89" i="5"/>
  <c r="J88" i="5"/>
  <c r="J87" i="5"/>
  <c r="J86" i="5"/>
  <c r="J84" i="5"/>
  <c r="J83" i="5"/>
  <c r="J82" i="5"/>
  <c r="J81" i="5"/>
  <c r="J79" i="5"/>
  <c r="J77" i="5"/>
  <c r="G75" i="5"/>
  <c r="G115" i="5" s="1"/>
  <c r="F75" i="5"/>
  <c r="F115" i="5" s="1"/>
  <c r="E75" i="5"/>
  <c r="E115" i="5" s="1"/>
  <c r="D75" i="5"/>
  <c r="D115" i="5" s="1"/>
  <c r="C75" i="5"/>
  <c r="C115" i="5" s="1"/>
  <c r="I67" i="5"/>
  <c r="I107" i="5" s="1"/>
  <c r="J65" i="5"/>
  <c r="J64" i="5"/>
  <c r="J63" i="5"/>
  <c r="J62" i="5"/>
  <c r="J61" i="5"/>
  <c r="J60" i="5"/>
  <c r="J58" i="5"/>
  <c r="J56" i="5"/>
  <c r="J54" i="5"/>
  <c r="J53" i="5"/>
  <c r="J52" i="5"/>
  <c r="J51" i="5"/>
  <c r="J50" i="5"/>
  <c r="J49" i="5"/>
  <c r="J47" i="5"/>
  <c r="J46" i="5"/>
  <c r="J45" i="5"/>
  <c r="J44" i="5"/>
  <c r="J43" i="5"/>
  <c r="J42" i="5"/>
  <c r="J41" i="5"/>
  <c r="J40" i="5"/>
  <c r="J38" i="5"/>
  <c r="J37" i="5"/>
  <c r="J36" i="5"/>
  <c r="J35" i="5"/>
  <c r="J34" i="5"/>
  <c r="J33" i="5"/>
  <c r="J32" i="5"/>
  <c r="J31" i="5"/>
  <c r="J30" i="5"/>
  <c r="J28" i="5"/>
  <c r="J26" i="5"/>
  <c r="J24" i="5"/>
  <c r="J23" i="5"/>
  <c r="J22" i="5"/>
  <c r="J21" i="5"/>
  <c r="J20" i="5"/>
  <c r="J18" i="5"/>
  <c r="J17" i="5"/>
  <c r="J15" i="5"/>
  <c r="J14" i="5"/>
  <c r="J13" i="5"/>
  <c r="J12" i="5"/>
  <c r="J11" i="5"/>
  <c r="H6" i="9"/>
  <c r="A3" i="9"/>
  <c r="F51" i="9"/>
  <c r="E51" i="9"/>
  <c r="D51" i="9"/>
  <c r="C51" i="9"/>
  <c r="B51" i="9"/>
  <c r="E40" i="9"/>
  <c r="D40" i="9"/>
  <c r="B40" i="9"/>
  <c r="C40" i="9"/>
  <c r="H40" i="9" s="1"/>
  <c r="A5" i="9"/>
  <c r="C64" i="5"/>
  <c r="B56" i="1"/>
  <c r="G24" i="5"/>
  <c r="E43" i="1"/>
  <c r="F43" i="1" s="1"/>
  <c r="G43" i="1" s="1"/>
  <c r="H43" i="1" s="1"/>
  <c r="D17" i="1"/>
  <c r="E17" i="1" s="1"/>
  <c r="F17" i="1" s="1"/>
  <c r="G17" i="1" s="1"/>
  <c r="H17" i="1" s="1"/>
  <c r="D88" i="1" l="1"/>
  <c r="E88" i="1" s="1"/>
  <c r="F88" i="1" s="1"/>
  <c r="G88" i="1" s="1"/>
  <c r="H88" i="1" s="1"/>
  <c r="I88" i="1" s="1"/>
  <c r="K89" i="5"/>
  <c r="K91" i="5"/>
  <c r="K94" i="5"/>
  <c r="I36" i="5"/>
  <c r="G8" i="9"/>
  <c r="K96" i="5"/>
  <c r="Q95" i="5"/>
  <c r="B181" i="1"/>
  <c r="N7" i="1"/>
  <c r="M7" i="1" s="1"/>
  <c r="L7" i="1" s="1"/>
  <c r="K7" i="1" s="1"/>
  <c r="I24" i="5"/>
  <c r="D44" i="2" s="1"/>
  <c r="H56" i="5"/>
  <c r="Q75" i="5"/>
  <c r="D59" i="1"/>
  <c r="E59" i="1" s="1"/>
  <c r="F59" i="1" s="1"/>
  <c r="G59" i="1" s="1"/>
  <c r="H59" i="1" s="1"/>
  <c r="K60" i="1"/>
  <c r="I54" i="5"/>
  <c r="K85" i="5"/>
  <c r="N57" i="2"/>
  <c r="Q86" i="5"/>
  <c r="L39" i="2"/>
  <c r="C18" i="1"/>
  <c r="C24" i="1"/>
  <c r="C35" i="1"/>
  <c r="D89" i="1"/>
  <c r="E89" i="1" s="1"/>
  <c r="F89" i="1" s="1"/>
  <c r="G89" i="1" s="1"/>
  <c r="H89" i="1" s="1"/>
  <c r="I89" i="1" s="1"/>
  <c r="C62" i="1"/>
  <c r="C80" i="1"/>
  <c r="C92" i="1"/>
  <c r="I86" i="1"/>
  <c r="C46" i="1"/>
  <c r="C52" i="1"/>
  <c r="B117" i="1"/>
  <c r="C100" i="1"/>
  <c r="G10" i="9"/>
  <c r="Q79" i="5"/>
  <c r="Q83" i="5"/>
  <c r="Q85" i="5"/>
  <c r="Q87" i="5"/>
  <c r="Q89" i="5"/>
  <c r="Q91" i="5"/>
  <c r="Q94" i="5"/>
  <c r="Q96" i="5"/>
  <c r="Q98" i="5"/>
  <c r="Q101" i="5"/>
  <c r="H119" i="5"/>
  <c r="H65" i="5"/>
  <c r="H123" i="5"/>
  <c r="H148" i="5"/>
  <c r="H152" i="5"/>
  <c r="H154" i="5"/>
  <c r="I64" i="5"/>
  <c r="H124" i="5"/>
  <c r="H149" i="5"/>
  <c r="H118" i="5"/>
  <c r="H28" i="5"/>
  <c r="B92" i="5"/>
  <c r="B100" i="5" s="1"/>
  <c r="K100" i="5" s="1"/>
  <c r="K77" i="5"/>
  <c r="K82" i="5"/>
  <c r="K84" i="5"/>
  <c r="K86" i="5"/>
  <c r="K88" i="5"/>
  <c r="K90" i="5"/>
  <c r="K95" i="5"/>
  <c r="K97" i="5"/>
  <c r="K98" i="5"/>
  <c r="K101" i="5"/>
  <c r="B118" i="5"/>
  <c r="B56" i="5"/>
  <c r="B65" i="5" s="1"/>
  <c r="B66" i="5" s="1"/>
  <c r="B38" i="5"/>
  <c r="K28" i="5" s="1"/>
  <c r="B37" i="5"/>
  <c r="B125" i="5"/>
  <c r="B129" i="5"/>
  <c r="B148" i="5"/>
  <c r="B152" i="5"/>
  <c r="B154" i="5"/>
  <c r="B124" i="5"/>
  <c r="B149" i="5"/>
  <c r="H92" i="5"/>
  <c r="H129" i="5"/>
  <c r="H137" i="5"/>
  <c r="H136" i="5"/>
  <c r="F40" i="9"/>
  <c r="D56" i="1"/>
  <c r="E18" i="5"/>
  <c r="G36" i="5"/>
  <c r="I73" i="5"/>
  <c r="C219" i="1"/>
  <c r="M49" i="2"/>
  <c r="N49" i="2"/>
  <c r="N50" i="2"/>
  <c r="M50" i="2"/>
  <c r="L171" i="1"/>
  <c r="M171" i="1" s="1"/>
  <c r="N171" i="1" s="1"/>
  <c r="O171" i="1" s="1"/>
  <c r="P171" i="1" s="1"/>
  <c r="Q171" i="1" s="1"/>
  <c r="R171" i="1" s="1"/>
  <c r="S171" i="1" s="1"/>
  <c r="D65" i="2"/>
  <c r="D58" i="2"/>
  <c r="A5" i="1"/>
  <c r="A72" i="1" s="1"/>
  <c r="D44" i="1"/>
  <c r="E44" i="1" s="1"/>
  <c r="F44" i="1" s="1"/>
  <c r="G44" i="1" s="1"/>
  <c r="H44" i="1" s="1"/>
  <c r="D31" i="1"/>
  <c r="E31" i="1" s="1"/>
  <c r="D23" i="1"/>
  <c r="E23" i="1" s="1"/>
  <c r="F23" i="1" s="1"/>
  <c r="G23" i="1" s="1"/>
  <c r="H23" i="1" s="1"/>
  <c r="D17" i="2"/>
  <c r="L50" i="2"/>
  <c r="I68" i="1"/>
  <c r="I110" i="1"/>
  <c r="I173" i="1" s="1"/>
  <c r="I213" i="1" s="1"/>
  <c r="E79" i="5"/>
  <c r="E137" i="5" s="1"/>
  <c r="E91" i="5"/>
  <c r="E98" i="5"/>
  <c r="N98" i="5" s="1"/>
  <c r="F79" i="5"/>
  <c r="F98" i="5"/>
  <c r="D79" i="5"/>
  <c r="H39" i="2" s="1"/>
  <c r="D91" i="5"/>
  <c r="D98" i="5"/>
  <c r="M98" i="5" s="1"/>
  <c r="D104" i="1"/>
  <c r="D47" i="5"/>
  <c r="D18" i="5"/>
  <c r="E24" i="5"/>
  <c r="E36" i="5"/>
  <c r="G79" i="5"/>
  <c r="G98" i="5"/>
  <c r="C79" i="5"/>
  <c r="C120" i="5" s="1"/>
  <c r="D1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0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D8" i="2"/>
  <c r="B18" i="2"/>
  <c r="B20" i="2"/>
  <c r="P20" i="2"/>
  <c r="Q20" i="2"/>
  <c r="B23" i="2"/>
  <c r="B24" i="2"/>
  <c r="D91" i="1"/>
  <c r="E91" i="1" s="1"/>
  <c r="B26" i="2"/>
  <c r="B27" i="2"/>
  <c r="B28" i="2"/>
  <c r="B29" i="2"/>
  <c r="B30" i="2"/>
  <c r="B31" i="2"/>
  <c r="B34" i="2"/>
  <c r="B35" i="2"/>
  <c r="D37" i="2"/>
  <c r="B38" i="2"/>
  <c r="B66" i="2"/>
  <c r="A3" i="5"/>
  <c r="J3" i="5" s="1"/>
  <c r="J69" i="5" s="1"/>
  <c r="C18" i="5"/>
  <c r="I18" i="5" s="1"/>
  <c r="F18" i="5"/>
  <c r="D24" i="5"/>
  <c r="F24" i="5"/>
  <c r="D36" i="5"/>
  <c r="F36" i="5"/>
  <c r="G47" i="5"/>
  <c r="F47" i="5"/>
  <c r="E54" i="5"/>
  <c r="G54" i="5"/>
  <c r="F54" i="5"/>
  <c r="F64" i="5"/>
  <c r="F149" i="5" s="1"/>
  <c r="D64" i="5"/>
  <c r="D148" i="5" s="1"/>
  <c r="G64" i="5"/>
  <c r="G153" i="5" s="1"/>
  <c r="A71" i="5"/>
  <c r="B16" i="2"/>
  <c r="B17" i="2"/>
  <c r="C98" i="5"/>
  <c r="A185" i="1"/>
  <c r="A111" i="5"/>
  <c r="A3" i="1"/>
  <c r="A70" i="1" s="1"/>
  <c r="C9" i="1"/>
  <c r="A269" i="1" s="1"/>
  <c r="A280" i="1" s="1"/>
  <c r="A11" i="1"/>
  <c r="A12" i="1"/>
  <c r="B37" i="2" s="1"/>
  <c r="A14" i="1"/>
  <c r="B39" i="2" s="1"/>
  <c r="A16" i="1"/>
  <c r="B40" i="2" s="1"/>
  <c r="A17" i="1"/>
  <c r="B41" i="2" s="1"/>
  <c r="A18" i="1"/>
  <c r="A125" i="1" s="1"/>
  <c r="A20" i="1"/>
  <c r="B43" i="2" s="1"/>
  <c r="A21" i="1"/>
  <c r="B44" i="2" s="1"/>
  <c r="A22" i="1"/>
  <c r="B46" i="2" s="1"/>
  <c r="A23" i="1"/>
  <c r="B48" i="2" s="1"/>
  <c r="A24" i="1"/>
  <c r="A131" i="1" s="1"/>
  <c r="A26" i="1"/>
  <c r="B50" i="2" s="1"/>
  <c r="A28" i="1"/>
  <c r="A135" i="1" s="1"/>
  <c r="A30" i="1"/>
  <c r="A137" i="1" s="1"/>
  <c r="A31" i="1"/>
  <c r="B52" i="2" s="1"/>
  <c r="A33" i="1"/>
  <c r="B53" i="2" s="1"/>
  <c r="D33" i="1"/>
  <c r="E33" i="1" s="1"/>
  <c r="F33" i="1" s="1"/>
  <c r="G33" i="1" s="1"/>
  <c r="H33" i="1" s="1"/>
  <c r="A34" i="1"/>
  <c r="B54" i="2" s="1"/>
  <c r="A35" i="1"/>
  <c r="A143" i="1" s="1"/>
  <c r="A36" i="1"/>
  <c r="A144" i="1" s="1"/>
  <c r="A37" i="1"/>
  <c r="A145" i="1" s="1"/>
  <c r="A39" i="1"/>
  <c r="A147" i="1" s="1"/>
  <c r="A40" i="1"/>
  <c r="B56" i="2" s="1"/>
  <c r="A41" i="1"/>
  <c r="B57" i="2" s="1"/>
  <c r="A42" i="1"/>
  <c r="B58" i="2" s="1"/>
  <c r="A43" i="1"/>
  <c r="B59" i="2" s="1"/>
  <c r="A44" i="1"/>
  <c r="B60" i="2" s="1"/>
  <c r="A45" i="1"/>
  <c r="B61" i="2" s="1"/>
  <c r="A46" i="1"/>
  <c r="A154" i="1" s="1"/>
  <c r="A48" i="1"/>
  <c r="B63" i="2" s="1"/>
  <c r="A49" i="1"/>
  <c r="B64" i="2" s="1"/>
  <c r="A50" i="1"/>
  <c r="B65" i="2" s="1"/>
  <c r="A52" i="1"/>
  <c r="A160" i="1" s="1"/>
  <c r="K52" i="1"/>
  <c r="K54" i="1" s="1"/>
  <c r="L52" i="1"/>
  <c r="L54" i="1" s="1"/>
  <c r="M52" i="1"/>
  <c r="M54" i="1" s="1"/>
  <c r="N52" i="1"/>
  <c r="N54" i="1"/>
  <c r="O52" i="1"/>
  <c r="O54" i="1"/>
  <c r="P52" i="1"/>
  <c r="P54" i="1" s="1"/>
  <c r="Q52" i="1"/>
  <c r="R52" i="1"/>
  <c r="R54" i="1" s="1"/>
  <c r="S52" i="1"/>
  <c r="S54" i="1" s="1"/>
  <c r="T52" i="1"/>
  <c r="A54" i="1"/>
  <c r="A162" i="1" s="1"/>
  <c r="Q54" i="1"/>
  <c r="A56" i="1"/>
  <c r="B68" i="2" s="1"/>
  <c r="A58" i="1"/>
  <c r="A166" i="1" s="1"/>
  <c r="A60" i="1"/>
  <c r="B70" i="2" s="1"/>
  <c r="A61" i="1"/>
  <c r="B71" i="2" s="1"/>
  <c r="A62" i="1"/>
  <c r="A169" i="1" s="1"/>
  <c r="A63" i="1"/>
  <c r="A170" i="1" s="1"/>
  <c r="A183" i="1"/>
  <c r="B79" i="1"/>
  <c r="A83" i="1"/>
  <c r="A188" i="1" s="1"/>
  <c r="A84" i="1"/>
  <c r="A189" i="1" s="1"/>
  <c r="A85" i="1"/>
  <c r="A190" i="1" s="1"/>
  <c r="A87" i="1"/>
  <c r="A191" i="1" s="1"/>
  <c r="A90" i="1"/>
  <c r="A192" i="1" s="1"/>
  <c r="A91" i="1"/>
  <c r="A193" i="1" s="1"/>
  <c r="A92" i="1"/>
  <c r="A93" i="1"/>
  <c r="A97" i="1"/>
  <c r="A199" i="1" s="1"/>
  <c r="A121" i="1"/>
  <c r="A159" i="1"/>
  <c r="A184" i="1"/>
  <c r="A197" i="1"/>
  <c r="A198" i="1"/>
  <c r="A200" i="1"/>
  <c r="A201" i="1"/>
  <c r="A209" i="1"/>
  <c r="A210" i="1"/>
  <c r="A215" i="1"/>
  <c r="C268" i="1"/>
  <c r="B268" i="1"/>
  <c r="A151" i="1"/>
  <c r="E64" i="5"/>
  <c r="E152" i="5" s="1"/>
  <c r="C148" i="5"/>
  <c r="C36" i="5"/>
  <c r="C24" i="5"/>
  <c r="C91" i="5"/>
  <c r="I91" i="5" s="1"/>
  <c r="C54" i="5"/>
  <c r="K50" i="2"/>
  <c r="G28" i="5"/>
  <c r="P111" i="5" s="1"/>
  <c r="D54" i="5"/>
  <c r="D29" i="2"/>
  <c r="C47" i="5"/>
  <c r="I47" i="5" s="1"/>
  <c r="J50" i="2"/>
  <c r="E47" i="5"/>
  <c r="C149" i="5"/>
  <c r="D64" i="2"/>
  <c r="E56" i="1"/>
  <c r="A149" i="1"/>
  <c r="A153" i="1"/>
  <c r="D137" i="5"/>
  <c r="E99" i="1"/>
  <c r="B52" i="1"/>
  <c r="B18" i="1"/>
  <c r="C154" i="5"/>
  <c r="A152" i="1"/>
  <c r="A148" i="1"/>
  <c r="A156" i="1"/>
  <c r="C152" i="5"/>
  <c r="F99" i="1"/>
  <c r="A133" i="1"/>
  <c r="F91" i="5"/>
  <c r="E104" i="1"/>
  <c r="F104" i="1" s="1"/>
  <c r="G104" i="1" s="1"/>
  <c r="H104" i="1" s="1"/>
  <c r="G99" i="1"/>
  <c r="A142" i="1"/>
  <c r="A124" i="1"/>
  <c r="G91" i="5"/>
  <c r="B62" i="1"/>
  <c r="B256" i="1" s="1"/>
  <c r="D99" i="1"/>
  <c r="H99" i="1"/>
  <c r="C269" i="1"/>
  <c r="B269" i="1"/>
  <c r="R65" i="1"/>
  <c r="S65" i="1"/>
  <c r="T65" i="1"/>
  <c r="U65" i="1"/>
  <c r="R66" i="1"/>
  <c r="S66" i="1"/>
  <c r="T66" i="1"/>
  <c r="U66" i="1"/>
  <c r="C117" i="1" l="1"/>
  <c r="M57" i="2"/>
  <c r="K39" i="2"/>
  <c r="B126" i="5"/>
  <c r="H38" i="5"/>
  <c r="Q111" i="5"/>
  <c r="A175" i="1"/>
  <c r="J57" i="2"/>
  <c r="G137" i="5"/>
  <c r="C28" i="1"/>
  <c r="D24" i="1"/>
  <c r="E24" i="1" s="1"/>
  <c r="F24" i="1" s="1"/>
  <c r="G24" i="1" s="1"/>
  <c r="H24" i="1" s="1"/>
  <c r="P91" i="5"/>
  <c r="A112" i="1"/>
  <c r="A129" i="1"/>
  <c r="D136" i="5"/>
  <c r="F136" i="5"/>
  <c r="J39" i="2"/>
  <c r="O85" i="5"/>
  <c r="C76" i="1"/>
  <c r="O7" i="1"/>
  <c r="A150" i="1"/>
  <c r="G120" i="5"/>
  <c r="A127" i="1"/>
  <c r="A138" i="1"/>
  <c r="D118" i="5"/>
  <c r="E92" i="5"/>
  <c r="H120" i="5"/>
  <c r="C63" i="1"/>
  <c r="I79" i="5"/>
  <c r="D12" i="2" s="1"/>
  <c r="D78" i="1" s="1"/>
  <c r="B103" i="5"/>
  <c r="B130" i="5" s="1"/>
  <c r="A139" i="1"/>
  <c r="A69" i="5"/>
  <c r="A158" i="1"/>
  <c r="A164" i="1"/>
  <c r="C118" i="5"/>
  <c r="E129" i="5"/>
  <c r="N85" i="5"/>
  <c r="I39" i="2"/>
  <c r="M39" i="2" s="1"/>
  <c r="D39" i="2" s="1"/>
  <c r="C54" i="1"/>
  <c r="E149" i="5"/>
  <c r="E148" i="5"/>
  <c r="E124" i="5"/>
  <c r="C36" i="1"/>
  <c r="C37" i="1" s="1"/>
  <c r="C93" i="1"/>
  <c r="C102" i="1" s="1"/>
  <c r="C105" i="1" s="1"/>
  <c r="H100" i="5"/>
  <c r="H126" i="5" s="1"/>
  <c r="Q92" i="5"/>
  <c r="R97" i="5"/>
  <c r="R95" i="5"/>
  <c r="R90" i="5"/>
  <c r="R88" i="5"/>
  <c r="R86" i="5"/>
  <c r="R84" i="5"/>
  <c r="R82" i="5"/>
  <c r="R101" i="5"/>
  <c r="R98" i="5"/>
  <c r="R96" i="5"/>
  <c r="R94" i="5"/>
  <c r="R91" i="5"/>
  <c r="R89" i="5"/>
  <c r="R87" i="5"/>
  <c r="R85" i="5"/>
  <c r="R83" i="5"/>
  <c r="P85" i="5"/>
  <c r="Q62" i="5"/>
  <c r="Q56" i="5"/>
  <c r="Q53" i="5"/>
  <c r="Q51" i="5"/>
  <c r="Q42" i="5"/>
  <c r="Q36" i="5"/>
  <c r="Q34" i="5"/>
  <c r="Q21" i="5"/>
  <c r="Q17" i="5"/>
  <c r="Q63" i="5"/>
  <c r="Q61" i="5"/>
  <c r="Q54" i="5"/>
  <c r="Q52" i="5"/>
  <c r="Q43" i="5"/>
  <c r="Q35" i="5"/>
  <c r="Q33" i="5"/>
  <c r="Q26" i="5"/>
  <c r="Q22" i="5"/>
  <c r="Q13" i="5"/>
  <c r="Q24" i="5"/>
  <c r="H37" i="5"/>
  <c r="I28" i="5"/>
  <c r="Q28" i="5"/>
  <c r="H125" i="5"/>
  <c r="K92" i="5"/>
  <c r="C136" i="5"/>
  <c r="L85" i="5"/>
  <c r="C137" i="5"/>
  <c r="K105" i="5"/>
  <c r="K103" i="5"/>
  <c r="B123" i="5"/>
  <c r="C138" i="5"/>
  <c r="C76" i="2"/>
  <c r="C28" i="5"/>
  <c r="C139" i="5" s="1"/>
  <c r="K37" i="5"/>
  <c r="K24" i="5"/>
  <c r="K64" i="5"/>
  <c r="K62" i="5"/>
  <c r="K56" i="5"/>
  <c r="K53" i="5"/>
  <c r="K51" i="5"/>
  <c r="K47" i="5"/>
  <c r="K45" i="5"/>
  <c r="K43" i="5"/>
  <c r="K41" i="5"/>
  <c r="K35" i="5"/>
  <c r="K33" i="5"/>
  <c r="K21" i="5"/>
  <c r="K17" i="5"/>
  <c r="K14" i="5"/>
  <c r="K12" i="5"/>
  <c r="K65" i="5"/>
  <c r="K63" i="5"/>
  <c r="K61" i="5"/>
  <c r="K54" i="5"/>
  <c r="K52" i="5"/>
  <c r="K49" i="5"/>
  <c r="K46" i="5"/>
  <c r="K44" i="5"/>
  <c r="K42" i="5"/>
  <c r="K38" i="5"/>
  <c r="K36" i="5"/>
  <c r="K34" i="5"/>
  <c r="K32" i="5"/>
  <c r="K26" i="5"/>
  <c r="K22" i="5"/>
  <c r="K18" i="5"/>
  <c r="K15" i="5"/>
  <c r="K13" i="5"/>
  <c r="D129" i="5"/>
  <c r="M85" i="5"/>
  <c r="D56" i="5"/>
  <c r="D65" i="5" s="1"/>
  <c r="D153" i="5"/>
  <c r="D76" i="2"/>
  <c r="N92" i="5"/>
  <c r="E100" i="5"/>
  <c r="N100" i="5" s="1"/>
  <c r="F148" i="5"/>
  <c r="E154" i="5"/>
  <c r="E76" i="2"/>
  <c r="B35" i="1"/>
  <c r="B100" i="1"/>
  <c r="F137" i="5"/>
  <c r="E120" i="5"/>
  <c r="D154" i="5"/>
  <c r="L101" i="5"/>
  <c r="C129" i="5"/>
  <c r="P101" i="5"/>
  <c r="G129" i="5"/>
  <c r="O84" i="5"/>
  <c r="F129" i="5"/>
  <c r="B257" i="1"/>
  <c r="F154" i="5"/>
  <c r="D84" i="1"/>
  <c r="P98" i="5"/>
  <c r="M91" i="5"/>
  <c r="O98" i="5"/>
  <c r="F92" i="5"/>
  <c r="O92" i="5" s="1"/>
  <c r="O91" i="5"/>
  <c r="C92" i="5"/>
  <c r="I92" i="5" s="1"/>
  <c r="L91" i="5"/>
  <c r="D10" i="9"/>
  <c r="N97" i="5"/>
  <c r="N96" i="5"/>
  <c r="N95" i="5"/>
  <c r="N94" i="5"/>
  <c r="N90" i="5"/>
  <c r="N88" i="5"/>
  <c r="N87" i="5"/>
  <c r="N86" i="5"/>
  <c r="N83" i="5"/>
  <c r="N82" i="5"/>
  <c r="N79" i="5"/>
  <c r="N77" i="5"/>
  <c r="P89" i="5"/>
  <c r="N101" i="5"/>
  <c r="N84" i="5"/>
  <c r="O101" i="5"/>
  <c r="L98" i="5"/>
  <c r="L97" i="5"/>
  <c r="L95" i="5"/>
  <c r="L90" i="5"/>
  <c r="L88" i="5"/>
  <c r="L86" i="5"/>
  <c r="L83" i="5"/>
  <c r="L79" i="5"/>
  <c r="L96" i="5"/>
  <c r="L94" i="5"/>
  <c r="L87" i="5"/>
  <c r="L84" i="5"/>
  <c r="L82" i="5"/>
  <c r="L77" i="5"/>
  <c r="F10" i="9"/>
  <c r="P97" i="5"/>
  <c r="P96" i="5"/>
  <c r="P95" i="5"/>
  <c r="P94" i="5"/>
  <c r="P90" i="5"/>
  <c r="P88" i="5"/>
  <c r="P87" i="5"/>
  <c r="P86" i="5"/>
  <c r="P83" i="5"/>
  <c r="P82" i="5"/>
  <c r="P79" i="5"/>
  <c r="R79" i="5" s="1"/>
  <c r="P77" i="5"/>
  <c r="R77" i="5" s="1"/>
  <c r="C10" i="9"/>
  <c r="H10" i="9" s="1"/>
  <c r="M97" i="5"/>
  <c r="M96" i="5"/>
  <c r="M95" i="5"/>
  <c r="M94" i="5"/>
  <c r="M90" i="5"/>
  <c r="M88" i="5"/>
  <c r="M87" i="5"/>
  <c r="M86" i="5"/>
  <c r="M83" i="5"/>
  <c r="M82" i="5"/>
  <c r="M79" i="5"/>
  <c r="M77" i="5"/>
  <c r="O97" i="5"/>
  <c r="O96" i="5"/>
  <c r="O95" i="5"/>
  <c r="O94" i="5"/>
  <c r="O90" i="5"/>
  <c r="O88" i="5"/>
  <c r="O87" i="5"/>
  <c r="O86" i="5"/>
  <c r="O83" i="5"/>
  <c r="O82" i="5"/>
  <c r="O79" i="5"/>
  <c r="O77" i="5"/>
  <c r="B251" i="1"/>
  <c r="D152" i="5"/>
  <c r="D149" i="5"/>
  <c r="N91" i="5"/>
  <c r="P84" i="5"/>
  <c r="M84" i="5"/>
  <c r="L89" i="5"/>
  <c r="M89" i="5"/>
  <c r="N89" i="5"/>
  <c r="M101" i="5"/>
  <c r="O89" i="5"/>
  <c r="C119" i="5"/>
  <c r="D124" i="5"/>
  <c r="E153" i="5"/>
  <c r="G119" i="5"/>
  <c r="F118" i="5"/>
  <c r="D123" i="5"/>
  <c r="E119" i="5"/>
  <c r="G125" i="5"/>
  <c r="C124" i="5"/>
  <c r="G149" i="5"/>
  <c r="F152" i="5"/>
  <c r="F119" i="5"/>
  <c r="D119" i="5"/>
  <c r="B252" i="1"/>
  <c r="F76" i="2"/>
  <c r="B255" i="1"/>
  <c r="D9" i="1"/>
  <c r="P7" i="1" s="1"/>
  <c r="B76" i="1"/>
  <c r="A168" i="1"/>
  <c r="A128" i="1"/>
  <c r="A120" i="1"/>
  <c r="A167" i="1"/>
  <c r="A268" i="1"/>
  <c r="A279" i="1" s="1"/>
  <c r="A157" i="1"/>
  <c r="A123" i="1"/>
  <c r="A122" i="1"/>
  <c r="A130" i="1"/>
  <c r="F56" i="5"/>
  <c r="F65" i="5" s="1"/>
  <c r="F153" i="5"/>
  <c r="F120" i="5"/>
  <c r="K57" i="2"/>
  <c r="G124" i="5"/>
  <c r="E56" i="5"/>
  <c r="B10" i="9"/>
  <c r="L57" i="2"/>
  <c r="E10" i="9"/>
  <c r="G56" i="5"/>
  <c r="B54" i="1" s="1"/>
  <c r="D120" i="5"/>
  <c r="C56" i="5"/>
  <c r="I56" i="5" s="1"/>
  <c r="C38" i="5"/>
  <c r="L47" i="5" s="1"/>
  <c r="D138" i="5"/>
  <c r="I57" i="2"/>
  <c r="C201" i="1"/>
  <c r="E78" i="1"/>
  <c r="F78" i="1" s="1"/>
  <c r="G78" i="1" s="1"/>
  <c r="H78" i="1" s="1"/>
  <c r="G154" i="5"/>
  <c r="G152" i="5"/>
  <c r="G148" i="5"/>
  <c r="D92" i="5"/>
  <c r="C153" i="5"/>
  <c r="D83" i="1"/>
  <c r="E83" i="1" s="1"/>
  <c r="F83" i="1" s="1"/>
  <c r="G83" i="1" s="1"/>
  <c r="H83" i="1" s="1"/>
  <c r="I83" i="1" s="1"/>
  <c r="A109" i="5"/>
  <c r="F138" i="5"/>
  <c r="E138" i="5"/>
  <c r="E136" i="5"/>
  <c r="D85" i="1"/>
  <c r="E85" i="1" s="1"/>
  <c r="D220" i="1"/>
  <c r="C252" i="1"/>
  <c r="G92" i="5"/>
  <c r="R92" i="5" s="1"/>
  <c r="G18" i="5"/>
  <c r="H138" i="5" s="1"/>
  <c r="G136" i="5"/>
  <c r="F124" i="5"/>
  <c r="K7" i="2"/>
  <c r="E126" i="5"/>
  <c r="B80" i="1"/>
  <c r="B199" i="1" s="1"/>
  <c r="E65" i="5"/>
  <c r="F28" i="5"/>
  <c r="D28" i="5"/>
  <c r="M111" i="5" s="1"/>
  <c r="B46" i="1"/>
  <c r="C257" i="1"/>
  <c r="F31" i="1"/>
  <c r="C199" i="1"/>
  <c r="C197" i="1"/>
  <c r="C204" i="1"/>
  <c r="C191" i="1"/>
  <c r="O50" i="2"/>
  <c r="B92" i="1"/>
  <c r="B24" i="1"/>
  <c r="C256" i="1"/>
  <c r="F56" i="1"/>
  <c r="C181" i="1"/>
  <c r="C220" i="1"/>
  <c r="E84" i="1"/>
  <c r="F91" i="1"/>
  <c r="C125" i="5"/>
  <c r="E118" i="5"/>
  <c r="C37" i="5"/>
  <c r="G37" i="5"/>
  <c r="O20" i="2"/>
  <c r="E28" i="5"/>
  <c r="N111" i="5" s="1"/>
  <c r="C255" i="1"/>
  <c r="D87" i="1"/>
  <c r="D90" i="1"/>
  <c r="D34" i="1"/>
  <c r="E34" i="1" s="1"/>
  <c r="F34" i="1" s="1"/>
  <c r="I120" i="5" l="1"/>
  <c r="F100" i="5"/>
  <c r="E103" i="5"/>
  <c r="N105" i="5" s="1"/>
  <c r="I129" i="5"/>
  <c r="Q32" i="5"/>
  <c r="Q45" i="5"/>
  <c r="R111" i="5"/>
  <c r="D50" i="2" s="1"/>
  <c r="G123" i="5"/>
  <c r="D117" i="1"/>
  <c r="I149" i="5"/>
  <c r="H103" i="5"/>
  <c r="Q105" i="5" s="1"/>
  <c r="H66" i="5"/>
  <c r="Q41" i="5"/>
  <c r="Q65" i="5"/>
  <c r="Q38" i="5"/>
  <c r="Q64" i="5"/>
  <c r="C100" i="5"/>
  <c r="O57" i="2"/>
  <c r="D57" i="2" s="1"/>
  <c r="H139" i="5"/>
  <c r="O111" i="5"/>
  <c r="I148" i="5"/>
  <c r="I152" i="5"/>
  <c r="Q15" i="5"/>
  <c r="Q46" i="5"/>
  <c r="Q12" i="5"/>
  <c r="Q44" i="5"/>
  <c r="G34" i="1"/>
  <c r="H34" i="1" s="1"/>
  <c r="I119" i="5"/>
  <c r="I38" i="5"/>
  <c r="I136" i="5"/>
  <c r="B239" i="1" s="1"/>
  <c r="Q18" i="5"/>
  <c r="Q49" i="5"/>
  <c r="Q14" i="5"/>
  <c r="Q47" i="5"/>
  <c r="I137" i="5"/>
  <c r="B240" i="1" s="1"/>
  <c r="I124" i="5"/>
  <c r="I153" i="5"/>
  <c r="B229" i="1"/>
  <c r="I154" i="5"/>
  <c r="C167" i="1"/>
  <c r="G31" i="1"/>
  <c r="F35" i="1"/>
  <c r="C170" i="1"/>
  <c r="E35" i="1"/>
  <c r="I34" i="1"/>
  <c r="D80" i="1"/>
  <c r="D12" i="1" s="1"/>
  <c r="B189" i="1"/>
  <c r="D189" i="1"/>
  <c r="G12" i="9"/>
  <c r="G31" i="9" s="1"/>
  <c r="G53" i="9" s="1"/>
  <c r="Q100" i="5"/>
  <c r="I100" i="5"/>
  <c r="C195" i="1"/>
  <c r="C190" i="1"/>
  <c r="C189" i="1"/>
  <c r="C183" i="1"/>
  <c r="C206" i="1"/>
  <c r="I37" i="5"/>
  <c r="Q37" i="5"/>
  <c r="C140" i="5"/>
  <c r="H132" i="5"/>
  <c r="H130" i="5"/>
  <c r="H133" i="5"/>
  <c r="B225" i="1"/>
  <c r="E130" i="5"/>
  <c r="C240" i="1"/>
  <c r="C188" i="1"/>
  <c r="C185" i="1"/>
  <c r="C192" i="1"/>
  <c r="C239" i="1"/>
  <c r="C193" i="1"/>
  <c r="C200" i="1"/>
  <c r="C184" i="1"/>
  <c r="C251" i="1"/>
  <c r="L100" i="5"/>
  <c r="P92" i="5"/>
  <c r="N103" i="5"/>
  <c r="L92" i="5"/>
  <c r="F103" i="5"/>
  <c r="O100" i="5"/>
  <c r="D100" i="5"/>
  <c r="J7" i="2" s="1"/>
  <c r="M92" i="5"/>
  <c r="L37" i="5"/>
  <c r="L56" i="5"/>
  <c r="E123" i="5"/>
  <c r="B224" i="1"/>
  <c r="L54" i="5"/>
  <c r="G38" i="5"/>
  <c r="L62" i="5"/>
  <c r="L53" i="5"/>
  <c r="L51" i="5"/>
  <c r="L45" i="5"/>
  <c r="L43" i="5"/>
  <c r="L41" i="5"/>
  <c r="L35" i="5"/>
  <c r="L33" i="5"/>
  <c r="L21" i="5"/>
  <c r="L14" i="5"/>
  <c r="L12" i="5"/>
  <c r="L63" i="5"/>
  <c r="L61" i="5"/>
  <c r="L52" i="5"/>
  <c r="L49" i="5"/>
  <c r="L44" i="5"/>
  <c r="L42" i="5"/>
  <c r="L38" i="5"/>
  <c r="L34" i="5"/>
  <c r="L32" i="5"/>
  <c r="L26" i="5"/>
  <c r="L22" i="5"/>
  <c r="L15" i="5"/>
  <c r="L13" i="5"/>
  <c r="L64" i="5"/>
  <c r="L46" i="5"/>
  <c r="L17" i="5"/>
  <c r="C228" i="1"/>
  <c r="L18" i="5"/>
  <c r="L24" i="5"/>
  <c r="L28" i="5"/>
  <c r="L36" i="5"/>
  <c r="A270" i="1"/>
  <c r="A281" i="1" s="1"/>
  <c r="D181" i="1"/>
  <c r="D76" i="1"/>
  <c r="E9" i="1"/>
  <c r="Q7" i="1" s="1"/>
  <c r="G65" i="5"/>
  <c r="F123" i="5"/>
  <c r="B63" i="1"/>
  <c r="B198" i="1"/>
  <c r="C198" i="1"/>
  <c r="H76" i="2"/>
  <c r="B193" i="1"/>
  <c r="B197" i="1"/>
  <c r="C225" i="1"/>
  <c r="C65" i="5"/>
  <c r="I65" i="5" s="1"/>
  <c r="C123" i="5"/>
  <c r="E132" i="5"/>
  <c r="B200" i="1"/>
  <c r="B201" i="1"/>
  <c r="B204" i="1"/>
  <c r="B184" i="1"/>
  <c r="C229" i="1"/>
  <c r="I42" i="1"/>
  <c r="C103" i="5"/>
  <c r="C131" i="5" s="1"/>
  <c r="C126" i="5"/>
  <c r="B190" i="1"/>
  <c r="B183" i="1"/>
  <c r="B206" i="1"/>
  <c r="B185" i="1"/>
  <c r="B188" i="1"/>
  <c r="B192" i="1"/>
  <c r="B191" i="1"/>
  <c r="G100" i="5"/>
  <c r="G138" i="5"/>
  <c r="G118" i="5"/>
  <c r="C241" i="1"/>
  <c r="I7" i="2"/>
  <c r="F126" i="5"/>
  <c r="L7" i="2"/>
  <c r="D63" i="2"/>
  <c r="D48" i="1" s="1"/>
  <c r="E48" i="1" s="1"/>
  <c r="F48" i="1" s="1"/>
  <c r="G48" i="1" s="1"/>
  <c r="H48" i="1" s="1"/>
  <c r="D40" i="1"/>
  <c r="D37" i="5"/>
  <c r="F139" i="5"/>
  <c r="D125" i="5"/>
  <c r="D139" i="5"/>
  <c r="D38" i="5"/>
  <c r="F37" i="5"/>
  <c r="F125" i="5"/>
  <c r="F38" i="5"/>
  <c r="O45" i="5" s="1"/>
  <c r="B93" i="1"/>
  <c r="B194" i="1"/>
  <c r="C224" i="1"/>
  <c r="C223" i="1"/>
  <c r="B28" i="1"/>
  <c r="H31" i="1"/>
  <c r="E90" i="1"/>
  <c r="D92" i="1"/>
  <c r="D194" i="1" s="1"/>
  <c r="C194" i="1"/>
  <c r="E60" i="1"/>
  <c r="E38" i="5"/>
  <c r="N45" i="5" s="1"/>
  <c r="E37" i="5"/>
  <c r="G139" i="5"/>
  <c r="E125" i="5"/>
  <c r="F85" i="1"/>
  <c r="F84" i="1"/>
  <c r="E80" i="1"/>
  <c r="E190" i="1" s="1"/>
  <c r="D35" i="1"/>
  <c r="E87" i="1"/>
  <c r="G91" i="1"/>
  <c r="C230" i="1"/>
  <c r="G56" i="1"/>
  <c r="D200" i="1"/>
  <c r="D204" i="1"/>
  <c r="D185" i="1"/>
  <c r="D183" i="1"/>
  <c r="D201" i="1"/>
  <c r="E139" i="5"/>
  <c r="D188" i="1" l="1"/>
  <c r="D192" i="1"/>
  <c r="D206" i="1"/>
  <c r="D193" i="1"/>
  <c r="D184" i="1"/>
  <c r="D191" i="1"/>
  <c r="M45" i="5"/>
  <c r="R12" i="5"/>
  <c r="D12" i="9"/>
  <c r="D31" i="9" s="1"/>
  <c r="H131" i="5"/>
  <c r="P45" i="5"/>
  <c r="P32" i="5"/>
  <c r="E133" i="5"/>
  <c r="Q103" i="5"/>
  <c r="I123" i="5"/>
  <c r="B228" i="1" s="1"/>
  <c r="I139" i="5"/>
  <c r="D103" i="5"/>
  <c r="F132" i="5"/>
  <c r="O105" i="5"/>
  <c r="I103" i="5"/>
  <c r="G35" i="1"/>
  <c r="I125" i="5"/>
  <c r="B230" i="1" s="1"/>
  <c r="D190" i="1"/>
  <c r="D14" i="1"/>
  <c r="H35" i="1"/>
  <c r="I35" i="1" s="1"/>
  <c r="P100" i="5"/>
  <c r="R100" i="5"/>
  <c r="I118" i="5"/>
  <c r="B223" i="1" s="1"/>
  <c r="I138" i="5"/>
  <c r="B241" i="1" s="1"/>
  <c r="P18" i="5"/>
  <c r="R64" i="5"/>
  <c r="R62" i="5"/>
  <c r="R56" i="5"/>
  <c r="R53" i="5"/>
  <c r="R51" i="5"/>
  <c r="R47" i="5"/>
  <c r="R45" i="5"/>
  <c r="R43" i="5"/>
  <c r="R41" i="5"/>
  <c r="R35" i="5"/>
  <c r="R33" i="5"/>
  <c r="R21" i="5"/>
  <c r="R17" i="5"/>
  <c r="R15" i="5"/>
  <c r="D40" i="2" s="1"/>
  <c r="R13" i="5"/>
  <c r="R65" i="5"/>
  <c r="R63" i="5"/>
  <c r="R61" i="5"/>
  <c r="R54" i="5"/>
  <c r="R52" i="5"/>
  <c r="R49" i="5"/>
  <c r="R46" i="5"/>
  <c r="R44" i="5"/>
  <c r="R42" i="5"/>
  <c r="R38" i="5"/>
  <c r="R36" i="5"/>
  <c r="R34" i="5"/>
  <c r="R32" i="5"/>
  <c r="R26" i="5"/>
  <c r="R22" i="5"/>
  <c r="R18" i="5"/>
  <c r="R16" i="5"/>
  <c r="R14" i="5"/>
  <c r="H140" i="5"/>
  <c r="R24" i="5"/>
  <c r="R28" i="5"/>
  <c r="R37" i="5"/>
  <c r="C133" i="5"/>
  <c r="C132" i="5"/>
  <c r="G66" i="5"/>
  <c r="D96" i="1"/>
  <c r="D198" i="1" s="1"/>
  <c r="C130" i="5"/>
  <c r="F133" i="5"/>
  <c r="F130" i="5"/>
  <c r="P65" i="5"/>
  <c r="D133" i="5"/>
  <c r="D132" i="5"/>
  <c r="D131" i="5"/>
  <c r="C12" i="9"/>
  <c r="M103" i="5"/>
  <c r="L103" i="5"/>
  <c r="L105" i="5"/>
  <c r="D126" i="5"/>
  <c r="M100" i="5"/>
  <c r="E12" i="9"/>
  <c r="E31" i="9" s="1"/>
  <c r="O103" i="5"/>
  <c r="P56" i="5"/>
  <c r="B12" i="9"/>
  <c r="N63" i="5"/>
  <c r="N62" i="5"/>
  <c r="N61" i="5"/>
  <c r="N53" i="5"/>
  <c r="N52" i="5"/>
  <c r="N51" i="5"/>
  <c r="N49" i="5"/>
  <c r="N44" i="5"/>
  <c r="N43" i="5"/>
  <c r="N42" i="5"/>
  <c r="N41" i="5"/>
  <c r="N38" i="5"/>
  <c r="N35" i="5"/>
  <c r="N34" i="5"/>
  <c r="N33" i="5"/>
  <c r="N32" i="5"/>
  <c r="N26" i="5"/>
  <c r="N22" i="5"/>
  <c r="N21" i="5"/>
  <c r="N15" i="5"/>
  <c r="N14" i="5"/>
  <c r="N13" i="5"/>
  <c r="N12" i="5"/>
  <c r="N17" i="5"/>
  <c r="N46" i="5"/>
  <c r="N64" i="5"/>
  <c r="N36" i="5"/>
  <c r="N47" i="5"/>
  <c r="N24" i="5"/>
  <c r="N54" i="5"/>
  <c r="N18" i="5"/>
  <c r="M63" i="5"/>
  <c r="M62" i="5"/>
  <c r="M61" i="5"/>
  <c r="M53" i="5"/>
  <c r="M52" i="5"/>
  <c r="M51" i="5"/>
  <c r="M49" i="5"/>
  <c r="M44" i="5"/>
  <c r="M43" i="5"/>
  <c r="M42" i="5"/>
  <c r="M41" i="5"/>
  <c r="M38" i="5"/>
  <c r="M35" i="5"/>
  <c r="M34" i="5"/>
  <c r="M33" i="5"/>
  <c r="M32" i="5"/>
  <c r="M26" i="5"/>
  <c r="M22" i="5"/>
  <c r="M21" i="5"/>
  <c r="M15" i="5"/>
  <c r="M14" i="5"/>
  <c r="M12" i="5"/>
  <c r="M17" i="5"/>
  <c r="M13" i="5"/>
  <c r="M46" i="5"/>
  <c r="M36" i="5"/>
  <c r="M56" i="5"/>
  <c r="M24" i="5"/>
  <c r="M47" i="5"/>
  <c r="M54" i="5"/>
  <c r="M64" i="5"/>
  <c r="M18" i="5"/>
  <c r="M65" i="5"/>
  <c r="L65" i="5"/>
  <c r="B242" i="1"/>
  <c r="N37" i="5"/>
  <c r="M37" i="5"/>
  <c r="N65" i="5"/>
  <c r="P37" i="5"/>
  <c r="M28" i="5"/>
  <c r="N56" i="5"/>
  <c r="O63" i="5"/>
  <c r="O62" i="5"/>
  <c r="O61" i="5"/>
  <c r="O53" i="5"/>
  <c r="O52" i="5"/>
  <c r="O51" i="5"/>
  <c r="O49" i="5"/>
  <c r="O44" i="5"/>
  <c r="O43" i="5"/>
  <c r="O42" i="5"/>
  <c r="O41" i="5"/>
  <c r="O38" i="5"/>
  <c r="O35" i="5"/>
  <c r="O34" i="5"/>
  <c r="O33" i="5"/>
  <c r="O32" i="5"/>
  <c r="O26" i="5"/>
  <c r="O22" i="5"/>
  <c r="O21" i="5"/>
  <c r="O15" i="5"/>
  <c r="O14" i="5"/>
  <c r="O12" i="5"/>
  <c r="O46" i="5"/>
  <c r="O17" i="5"/>
  <c r="O13" i="5"/>
  <c r="O24" i="5"/>
  <c r="O18" i="5"/>
  <c r="O54" i="5"/>
  <c r="O64" i="5"/>
  <c r="O47" i="5"/>
  <c r="O36" i="5"/>
  <c r="P63" i="5"/>
  <c r="P62" i="5"/>
  <c r="P61" i="5"/>
  <c r="P53" i="5"/>
  <c r="P52" i="5"/>
  <c r="P51" i="5"/>
  <c r="P49" i="5"/>
  <c r="P44" i="5"/>
  <c r="P43" i="5"/>
  <c r="P42" i="5"/>
  <c r="P41" i="5"/>
  <c r="P38" i="5"/>
  <c r="P35" i="5"/>
  <c r="P34" i="5"/>
  <c r="P33" i="5"/>
  <c r="P26" i="5"/>
  <c r="P22" i="5"/>
  <c r="P21" i="5"/>
  <c r="P15" i="5"/>
  <c r="P14" i="5"/>
  <c r="P12" i="5"/>
  <c r="P46" i="5"/>
  <c r="P17" i="5"/>
  <c r="P24" i="5"/>
  <c r="P13" i="5"/>
  <c r="P47" i="5"/>
  <c r="P28" i="5"/>
  <c r="P64" i="5"/>
  <c r="P54" i="5"/>
  <c r="P36" i="5"/>
  <c r="O37" i="5"/>
  <c r="O56" i="5"/>
  <c r="O28" i="5"/>
  <c r="O65" i="5"/>
  <c r="N28" i="5"/>
  <c r="E220" i="1"/>
  <c r="F9" i="1"/>
  <c r="R7" i="1" s="1"/>
  <c r="E181" i="1"/>
  <c r="E76" i="1"/>
  <c r="E117" i="1"/>
  <c r="A271" i="1"/>
  <c r="A282" i="1" s="1"/>
  <c r="D53" i="9"/>
  <c r="E66" i="5"/>
  <c r="F66" i="5"/>
  <c r="C242" i="1"/>
  <c r="C66" i="5"/>
  <c r="D66" i="5"/>
  <c r="F131" i="5"/>
  <c r="D21" i="1"/>
  <c r="C77" i="2"/>
  <c r="D93" i="1"/>
  <c r="D195" i="1" s="1"/>
  <c r="G103" i="5"/>
  <c r="G126" i="5"/>
  <c r="E40" i="1"/>
  <c r="K172" i="1"/>
  <c r="D140" i="5"/>
  <c r="N172" i="1"/>
  <c r="G140" i="5"/>
  <c r="D41" i="1"/>
  <c r="B36" i="1"/>
  <c r="B195" i="1"/>
  <c r="B102" i="1"/>
  <c r="D199" i="1"/>
  <c r="C144" i="1"/>
  <c r="D77" i="2"/>
  <c r="E21" i="1"/>
  <c r="H56" i="1"/>
  <c r="H91" i="1"/>
  <c r="F87" i="1"/>
  <c r="E191" i="1"/>
  <c r="C202" i="1"/>
  <c r="C231" i="1"/>
  <c r="E183" i="1"/>
  <c r="E189" i="1"/>
  <c r="E92" i="1"/>
  <c r="E93" i="1" s="1"/>
  <c r="E188" i="1"/>
  <c r="E204" i="1"/>
  <c r="E201" i="1"/>
  <c r="E12" i="1"/>
  <c r="E206" i="1"/>
  <c r="E185" i="1"/>
  <c r="E184" i="1"/>
  <c r="E199" i="1"/>
  <c r="E200" i="1"/>
  <c r="E193" i="1"/>
  <c r="F80" i="1"/>
  <c r="G84" i="1"/>
  <c r="G85" i="1"/>
  <c r="F140" i="5"/>
  <c r="E140" i="5"/>
  <c r="E131" i="5"/>
  <c r="F60" i="1"/>
  <c r="F90" i="1"/>
  <c r="E192" i="1"/>
  <c r="R103" i="5" l="1"/>
  <c r="P105" i="5"/>
  <c r="S105" i="5" s="1"/>
  <c r="C31" i="9"/>
  <c r="H12" i="9"/>
  <c r="D130" i="5"/>
  <c r="M105" i="5"/>
  <c r="R105" i="5" s="1"/>
  <c r="D35" i="2" s="1"/>
  <c r="I126" i="5"/>
  <c r="B231" i="1" s="1"/>
  <c r="F40" i="1"/>
  <c r="F96" i="1" s="1"/>
  <c r="I140" i="5"/>
  <c r="B243" i="1" s="1"/>
  <c r="E96" i="1"/>
  <c r="E198" i="1" s="1"/>
  <c r="G133" i="5"/>
  <c r="I133" i="5" s="1"/>
  <c r="B236" i="1" s="1"/>
  <c r="G130" i="5"/>
  <c r="B31" i="9"/>
  <c r="P103" i="5"/>
  <c r="E53" i="9"/>
  <c r="A272" i="1"/>
  <c r="A283" i="1" s="1"/>
  <c r="F76" i="1"/>
  <c r="F117" i="1"/>
  <c r="F220" i="1"/>
  <c r="G9" i="1"/>
  <c r="S7" i="1" s="1"/>
  <c r="F181" i="1"/>
  <c r="F12" i="9"/>
  <c r="F31" i="9" s="1"/>
  <c r="D26" i="1"/>
  <c r="E26" i="1"/>
  <c r="E28" i="1" s="1"/>
  <c r="E36" i="1" s="1"/>
  <c r="E41" i="1"/>
  <c r="G131" i="5"/>
  <c r="G132" i="5"/>
  <c r="B202" i="1"/>
  <c r="B105" i="1"/>
  <c r="B37" i="1"/>
  <c r="E195" i="1"/>
  <c r="G90" i="1"/>
  <c r="F192" i="1"/>
  <c r="G60" i="1"/>
  <c r="L172" i="1"/>
  <c r="M172" i="1"/>
  <c r="G87" i="1"/>
  <c r="F191" i="1"/>
  <c r="L65" i="1"/>
  <c r="C120" i="1"/>
  <c r="C122" i="1"/>
  <c r="C124" i="1"/>
  <c r="C128" i="1"/>
  <c r="C130" i="1"/>
  <c r="C133" i="1"/>
  <c r="C138" i="1"/>
  <c r="C142" i="1"/>
  <c r="C148" i="1"/>
  <c r="C150" i="1"/>
  <c r="C152" i="1"/>
  <c r="C154" i="1"/>
  <c r="C158" i="1"/>
  <c r="C160" i="1"/>
  <c r="C164" i="1"/>
  <c r="C168" i="1"/>
  <c r="C280" i="1"/>
  <c r="B280" i="1" s="1"/>
  <c r="D16" i="1"/>
  <c r="L66" i="1"/>
  <c r="C121" i="1"/>
  <c r="C123" i="1"/>
  <c r="C125" i="1"/>
  <c r="C129" i="1"/>
  <c r="C131" i="1"/>
  <c r="C139" i="1"/>
  <c r="C143" i="1"/>
  <c r="C145" i="1"/>
  <c r="C149" i="1"/>
  <c r="C151" i="1"/>
  <c r="C153" i="1"/>
  <c r="C157" i="1"/>
  <c r="C159" i="1"/>
  <c r="C162" i="1"/>
  <c r="C169" i="1"/>
  <c r="C156" i="1"/>
  <c r="C135" i="1"/>
  <c r="F190" i="1"/>
  <c r="F189" i="1"/>
  <c r="F92" i="1"/>
  <c r="F194" i="1" s="1"/>
  <c r="F183" i="1"/>
  <c r="H85" i="1"/>
  <c r="H84" i="1"/>
  <c r="I84" i="1" s="1"/>
  <c r="G80" i="1"/>
  <c r="G189" i="1" s="1"/>
  <c r="F12" i="1"/>
  <c r="F201" i="1"/>
  <c r="F185" i="1"/>
  <c r="F204" i="1"/>
  <c r="F188" i="1"/>
  <c r="F41" i="1"/>
  <c r="F184" i="1"/>
  <c r="F200" i="1"/>
  <c r="F206" i="1"/>
  <c r="F199" i="1"/>
  <c r="F193" i="1"/>
  <c r="G40" i="1"/>
  <c r="E194" i="1"/>
  <c r="C209" i="1"/>
  <c r="C235" i="1"/>
  <c r="C207" i="1"/>
  <c r="C210" i="1"/>
  <c r="C236" i="1"/>
  <c r="I91" i="1"/>
  <c r="F21" i="1"/>
  <c r="E77" i="2"/>
  <c r="F26" i="1"/>
  <c r="I130" i="5" l="1"/>
  <c r="C53" i="9"/>
  <c r="H31" i="9"/>
  <c r="B144" i="1"/>
  <c r="B170" i="1"/>
  <c r="G92" i="1"/>
  <c r="G194" i="1" s="1"/>
  <c r="C234" i="1"/>
  <c r="I132" i="5"/>
  <c r="B235" i="1" s="1"/>
  <c r="I131" i="5"/>
  <c r="B234" i="1" s="1"/>
  <c r="B53" i="9"/>
  <c r="A273" i="1"/>
  <c r="A284" i="1" s="1"/>
  <c r="G117" i="1"/>
  <c r="G76" i="1"/>
  <c r="G220" i="1"/>
  <c r="G181" i="1"/>
  <c r="H9" i="1"/>
  <c r="T7" i="1" s="1"/>
  <c r="F53" i="9"/>
  <c r="K26" i="1"/>
  <c r="D28" i="1"/>
  <c r="L26" i="1"/>
  <c r="F93" i="1"/>
  <c r="F195" i="1" s="1"/>
  <c r="G183" i="1"/>
  <c r="C243" i="1"/>
  <c r="B157" i="1"/>
  <c r="B124" i="1"/>
  <c r="B143" i="1"/>
  <c r="B128" i="1"/>
  <c r="C279" i="1"/>
  <c r="B279" i="1" s="1"/>
  <c r="B121" i="1"/>
  <c r="B149" i="1"/>
  <c r="B156" i="1"/>
  <c r="B130" i="1"/>
  <c r="B145" i="1"/>
  <c r="B150" i="1"/>
  <c r="B125" i="1"/>
  <c r="B123" i="1"/>
  <c r="B153" i="1"/>
  <c r="B160" i="1"/>
  <c r="B152" i="1"/>
  <c r="B167" i="1"/>
  <c r="B133" i="1"/>
  <c r="B120" i="1"/>
  <c r="B122" i="1"/>
  <c r="B151" i="1"/>
  <c r="B159" i="1"/>
  <c r="B158" i="1"/>
  <c r="B168" i="1"/>
  <c r="B164" i="1"/>
  <c r="B169" i="1"/>
  <c r="B138" i="1"/>
  <c r="B154" i="1"/>
  <c r="B148" i="1"/>
  <c r="B139" i="1"/>
  <c r="B142" i="1"/>
  <c r="B162" i="1"/>
  <c r="B129" i="1"/>
  <c r="B131" i="1"/>
  <c r="B135" i="1"/>
  <c r="B210" i="1"/>
  <c r="B209" i="1"/>
  <c r="B207" i="1"/>
  <c r="G26" i="1"/>
  <c r="G28" i="1" s="1"/>
  <c r="F77" i="2"/>
  <c r="G21" i="1"/>
  <c r="M26" i="1"/>
  <c r="F198" i="1"/>
  <c r="G96" i="1"/>
  <c r="G198" i="1" s="1"/>
  <c r="H40" i="1"/>
  <c r="G188" i="1"/>
  <c r="G12" i="1"/>
  <c r="G200" i="1"/>
  <c r="G93" i="1"/>
  <c r="G201" i="1"/>
  <c r="G204" i="1"/>
  <c r="G185" i="1"/>
  <c r="G184" i="1"/>
  <c r="G206" i="1"/>
  <c r="G41" i="1"/>
  <c r="G193" i="1"/>
  <c r="H80" i="1"/>
  <c r="H183" i="1" s="1"/>
  <c r="I78" i="1"/>
  <c r="H87" i="1"/>
  <c r="G191" i="1"/>
  <c r="F28" i="1"/>
  <c r="G190" i="1"/>
  <c r="M174" i="1"/>
  <c r="I85" i="1"/>
  <c r="H60" i="1"/>
  <c r="H90" i="1"/>
  <c r="I90" i="1" s="1"/>
  <c r="G192" i="1"/>
  <c r="I185" i="1" l="1"/>
  <c r="H76" i="1"/>
  <c r="A274" i="1"/>
  <c r="A285" i="1" s="1"/>
  <c r="H220" i="1"/>
  <c r="H117" i="1"/>
  <c r="H181" i="1"/>
  <c r="E242" i="1"/>
  <c r="D36" i="1"/>
  <c r="D242" i="1"/>
  <c r="H189" i="1"/>
  <c r="I183" i="1"/>
  <c r="H190" i="1"/>
  <c r="H92" i="1"/>
  <c r="H194" i="1" s="1"/>
  <c r="G36" i="1"/>
  <c r="H192" i="1"/>
  <c r="I192" i="1"/>
  <c r="I60" i="1"/>
  <c r="F36" i="1"/>
  <c r="F242" i="1"/>
  <c r="G199" i="1"/>
  <c r="G195" i="1"/>
  <c r="I40" i="1"/>
  <c r="I48" i="1"/>
  <c r="H96" i="1"/>
  <c r="I198" i="1" s="1"/>
  <c r="H21" i="1"/>
  <c r="H26" i="1"/>
  <c r="H28" i="1" s="1"/>
  <c r="H242" i="1" s="1"/>
  <c r="I24" i="1"/>
  <c r="G242" i="1"/>
  <c r="H191" i="1"/>
  <c r="I87" i="1"/>
  <c r="I191" i="1"/>
  <c r="H12" i="1"/>
  <c r="H185" i="1"/>
  <c r="H201" i="1"/>
  <c r="H188" i="1"/>
  <c r="H206" i="1"/>
  <c r="H41" i="1"/>
  <c r="H184" i="1"/>
  <c r="H200" i="1"/>
  <c r="H204" i="1"/>
  <c r="I80" i="1"/>
  <c r="I190" i="1"/>
  <c r="I189" i="1"/>
  <c r="I200" i="1"/>
  <c r="I201" i="1"/>
  <c r="I206" i="1"/>
  <c r="I188" i="1"/>
  <c r="H193" i="1"/>
  <c r="I193" i="1"/>
  <c r="I184" i="1"/>
  <c r="N26" i="1"/>
  <c r="B57" i="9" l="1"/>
  <c r="H93" i="1"/>
  <c r="I93" i="1" s="1"/>
  <c r="I92" i="1"/>
  <c r="I194" i="1"/>
  <c r="I242" i="1"/>
  <c r="H199" i="1"/>
  <c r="I21" i="1"/>
  <c r="I96" i="1"/>
  <c r="H198" i="1"/>
  <c r="I41" i="1"/>
  <c r="I12" i="1"/>
  <c r="H36" i="1"/>
  <c r="I28" i="1"/>
  <c r="I26" i="1"/>
  <c r="O26" i="1"/>
  <c r="I199" i="1"/>
  <c r="H195" i="1" l="1"/>
  <c r="I195" i="1"/>
  <c r="I36" i="1"/>
  <c r="C57" i="9" l="1"/>
  <c r="F14" i="1"/>
  <c r="D55" i="9" l="1"/>
  <c r="D57" i="9" s="1"/>
  <c r="D240" i="1"/>
  <c r="H14" i="1"/>
  <c r="E14" i="1"/>
  <c r="G14" i="1"/>
  <c r="E225" i="1" l="1"/>
  <c r="D225" i="1"/>
  <c r="H225" i="1"/>
  <c r="H240" i="1"/>
  <c r="I14" i="1"/>
  <c r="F240" i="1"/>
  <c r="F225" i="1"/>
  <c r="G240" i="1"/>
  <c r="E240" i="1"/>
  <c r="G225" i="1"/>
  <c r="I17" i="1"/>
  <c r="E55" i="9" l="1"/>
  <c r="I240" i="1"/>
  <c r="I225" i="1"/>
  <c r="E46" i="1"/>
  <c r="F46" i="1"/>
  <c r="G46" i="1"/>
  <c r="H46" i="1"/>
  <c r="I46" i="1" s="1"/>
  <c r="E57" i="9" l="1"/>
  <c r="F55" i="9" l="1"/>
  <c r="F57" i="9" l="1"/>
  <c r="G55" i="9" s="1"/>
  <c r="G57" i="9" l="1"/>
  <c r="H57" i="9" s="1"/>
  <c r="H55" i="9"/>
  <c r="D13" i="1"/>
  <c r="E13" i="1"/>
  <c r="F13" i="1"/>
  <c r="G13" i="1"/>
  <c r="H13" i="1"/>
  <c r="E16" i="1"/>
  <c r="F16" i="1"/>
  <c r="G16" i="1"/>
  <c r="H16" i="1"/>
  <c r="I16" i="1"/>
  <c r="D18" i="1"/>
  <c r="E18" i="1"/>
  <c r="F18" i="1"/>
  <c r="G18" i="1"/>
  <c r="H18" i="1"/>
  <c r="I18" i="1"/>
  <c r="D37" i="1"/>
  <c r="E37" i="1"/>
  <c r="F37" i="1"/>
  <c r="G37" i="1"/>
  <c r="H37" i="1"/>
  <c r="I37" i="1"/>
  <c r="D45" i="1"/>
  <c r="D46" i="1"/>
  <c r="D51" i="1"/>
  <c r="E51" i="1"/>
  <c r="F51" i="1"/>
  <c r="G51" i="1"/>
  <c r="H51" i="1"/>
  <c r="D52" i="1"/>
  <c r="E52" i="1"/>
  <c r="F52" i="1"/>
  <c r="G52" i="1"/>
  <c r="H52" i="1"/>
  <c r="I52" i="1"/>
  <c r="D54" i="1"/>
  <c r="E54" i="1"/>
  <c r="F54" i="1"/>
  <c r="G54" i="1"/>
  <c r="H54" i="1"/>
  <c r="I54" i="1"/>
  <c r="D61" i="1"/>
  <c r="E61" i="1"/>
  <c r="F61" i="1"/>
  <c r="G61" i="1"/>
  <c r="H61" i="1"/>
  <c r="D62" i="1"/>
  <c r="E62" i="1"/>
  <c r="F62" i="1"/>
  <c r="G62" i="1"/>
  <c r="H62" i="1"/>
  <c r="I62" i="1"/>
  <c r="D63" i="1"/>
  <c r="E63" i="1"/>
  <c r="F63" i="1"/>
  <c r="G63" i="1"/>
  <c r="H63" i="1"/>
  <c r="I63" i="1"/>
  <c r="M65" i="1"/>
  <c r="N65" i="1"/>
  <c r="O65" i="1"/>
  <c r="P65" i="1"/>
  <c r="Q65" i="1"/>
  <c r="M66" i="1"/>
  <c r="N66" i="1"/>
  <c r="O66" i="1"/>
  <c r="P66" i="1"/>
  <c r="Q66" i="1"/>
  <c r="D95" i="1"/>
  <c r="E95" i="1"/>
  <c r="F95" i="1"/>
  <c r="G95" i="1"/>
  <c r="H95" i="1"/>
  <c r="D100" i="1"/>
  <c r="E100" i="1"/>
  <c r="F100" i="1"/>
  <c r="G100" i="1"/>
  <c r="H100" i="1"/>
  <c r="D102" i="1"/>
  <c r="E102" i="1"/>
  <c r="F102" i="1"/>
  <c r="G102" i="1"/>
  <c r="H102" i="1"/>
  <c r="I102" i="1"/>
  <c r="D105" i="1"/>
  <c r="E105" i="1"/>
  <c r="F105" i="1"/>
  <c r="G105" i="1"/>
  <c r="H105" i="1"/>
  <c r="I105" i="1"/>
  <c r="J105" i="1"/>
  <c r="D108" i="1"/>
  <c r="E108" i="1"/>
  <c r="F108" i="1"/>
  <c r="G108" i="1"/>
  <c r="H108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3" i="1"/>
  <c r="E133" i="1"/>
  <c r="F133" i="1"/>
  <c r="G133" i="1"/>
  <c r="H133" i="1"/>
  <c r="I133" i="1"/>
  <c r="D135" i="1"/>
  <c r="E135" i="1"/>
  <c r="F135" i="1"/>
  <c r="G135" i="1"/>
  <c r="H135" i="1"/>
  <c r="I135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2" i="1"/>
  <c r="E162" i="1"/>
  <c r="F162" i="1"/>
  <c r="G162" i="1"/>
  <c r="H162" i="1"/>
  <c r="I162" i="1"/>
  <c r="D164" i="1"/>
  <c r="E164" i="1"/>
  <c r="F164" i="1"/>
  <c r="G164" i="1"/>
  <c r="H164" i="1"/>
  <c r="I164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O172" i="1"/>
  <c r="P172" i="1"/>
  <c r="Q172" i="1"/>
  <c r="R172" i="1"/>
  <c r="S172" i="1"/>
  <c r="Q174" i="1"/>
  <c r="D197" i="1"/>
  <c r="E197" i="1"/>
  <c r="F197" i="1"/>
  <c r="G197" i="1"/>
  <c r="H197" i="1"/>
  <c r="I197" i="1"/>
  <c r="D202" i="1"/>
  <c r="E202" i="1"/>
  <c r="F202" i="1"/>
  <c r="G202" i="1"/>
  <c r="H202" i="1"/>
  <c r="I202" i="1"/>
  <c r="I204" i="1"/>
  <c r="D207" i="1"/>
  <c r="E207" i="1"/>
  <c r="F207" i="1"/>
  <c r="G207" i="1"/>
  <c r="H207" i="1"/>
  <c r="I207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9" i="1"/>
  <c r="E239" i="1"/>
  <c r="F239" i="1"/>
  <c r="G239" i="1"/>
  <c r="H239" i="1"/>
  <c r="I239" i="1"/>
  <c r="D241" i="1"/>
  <c r="E241" i="1"/>
  <c r="F241" i="1"/>
  <c r="G241" i="1"/>
  <c r="H241" i="1"/>
  <c r="I241" i="1"/>
  <c r="D243" i="1"/>
  <c r="E243" i="1"/>
  <c r="F243" i="1"/>
  <c r="G243" i="1"/>
  <c r="H243" i="1"/>
  <c r="I243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B270" i="1"/>
  <c r="C270" i="1"/>
  <c r="B271" i="1"/>
  <c r="C271" i="1"/>
  <c r="B272" i="1"/>
  <c r="C272" i="1"/>
  <c r="B273" i="1"/>
  <c r="C273" i="1"/>
  <c r="B274" i="1"/>
  <c r="C274" i="1"/>
  <c r="B281" i="1"/>
  <c r="C281" i="1"/>
  <c r="B282" i="1"/>
  <c r="C282" i="1"/>
  <c r="B283" i="1"/>
  <c r="C283" i="1"/>
  <c r="B284" i="1"/>
  <c r="C284" i="1"/>
  <c r="B285" i="1"/>
  <c r="C285" i="1"/>
</calcChain>
</file>

<file path=xl/sharedStrings.xml><?xml version="1.0" encoding="utf-8"?>
<sst xmlns="http://schemas.openxmlformats.org/spreadsheetml/2006/main" count="372" uniqueCount="241">
  <si>
    <t>::</t>
  </si>
  <si>
    <t>Account Name</t>
  </si>
  <si>
    <t>Additional Loans</t>
  </si>
  <si>
    <t>Asset Value</t>
  </si>
  <si>
    <t>Asset-utilization Ratios:</t>
  </si>
  <si>
    <t>Average</t>
  </si>
  <si>
    <t>Avg. Annual</t>
  </si>
  <si>
    <t>Cash &amp; Equivalents</t>
  </si>
  <si>
    <t>computed by forecast model</t>
  </si>
  <si>
    <t>Current</t>
  </si>
  <si>
    <t>Current Assets:</t>
  </si>
  <si>
    <t>Current Liabilities:</t>
  </si>
  <si>
    <t>Days Revenues Receivable</t>
  </si>
  <si>
    <t>Deferred Income Taxes</t>
  </si>
  <si>
    <t>Depreciation Rate</t>
  </si>
  <si>
    <t>Difference</t>
  </si>
  <si>
    <t>Difference in Total Assets &amp; Total Liabilities</t>
  </si>
  <si>
    <t xml:space="preserve">Dividend Payout </t>
  </si>
  <si>
    <t>Earnings Before Taxes</t>
  </si>
  <si>
    <t>Earnings From Operations</t>
  </si>
  <si>
    <t>FORECAST ASSUMPTIONS</t>
  </si>
  <si>
    <t>Forecast Year</t>
  </si>
  <si>
    <t>Historical</t>
  </si>
  <si>
    <t>Historical Income Statements</t>
  </si>
  <si>
    <t>Income Tax Rate</t>
  </si>
  <si>
    <t>Income Taxes</t>
  </si>
  <si>
    <t>Inflation (GDP)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</si>
  <si>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</si>
  <si>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</si>
  <si>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</si>
  <si>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</si>
  <si>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</si>
  <si>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</si>
  <si>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</si>
  <si>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Other Current Assets</t>
  </si>
  <si>
    <t>Pct. Change</t>
  </si>
  <si>
    <t>Plant &amp; Equipment:</t>
  </si>
  <si>
    <t>Previous Value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</si>
  <si>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</si>
  <si>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</si>
  <si>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</si>
  <si>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</si>
  <si>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</si>
  <si>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</si>
  <si>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</si>
  <si>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</si>
  <si>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</si>
  <si>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</si>
  <si>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Surplus Cash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</si>
  <si>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</si>
  <si>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</si>
  <si>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</si>
  <si>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</si>
  <si>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</si>
  <si>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</si>
  <si>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</si>
  <si>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</si>
  <si>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Forecast Balance Sheets</t>
  </si>
  <si>
    <t>Company Name</t>
  </si>
  <si>
    <t>Forecast Income Statements</t>
  </si>
  <si>
    <t>Common Size</t>
  </si>
  <si>
    <t>Historical Balance Sheets</t>
  </si>
  <si>
    <t>Forecast</t>
  </si>
  <si>
    <t>of revenue</t>
  </si>
  <si>
    <t xml:space="preserve">   Interest expense (net)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</si>
  <si>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</si>
  <si>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</si>
  <si>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</si>
  <si>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</si>
  <si>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</si>
  <si>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Other PP&amp;E</t>
  </si>
  <si>
    <t>Accumulated Depreciation &amp; Amort.</t>
  </si>
  <si>
    <t>Net Plant &amp; Equipment</t>
  </si>
  <si>
    <t>Regulatory Assets</t>
  </si>
  <si>
    <t>Long-Term Debt</t>
  </si>
  <si>
    <t>Other Deferred Credits</t>
  </si>
  <si>
    <t>Total LTD &amp; Deferrals</t>
  </si>
  <si>
    <t>Total Plant &amp; Equipment:</t>
  </si>
  <si>
    <t>Common Equity:</t>
  </si>
  <si>
    <t>Return On Total Capital</t>
  </si>
  <si>
    <t>Profitability Ratios:</t>
  </si>
  <si>
    <t>Other Assets:</t>
  </si>
  <si>
    <t>Total Other Assets</t>
  </si>
  <si>
    <t>Calculated on forecast sheet</t>
  </si>
  <si>
    <t>avg. of hist. amounts</t>
  </si>
  <si>
    <t>calculation</t>
  </si>
  <si>
    <t>by assumption</t>
  </si>
  <si>
    <t>of pfd. Stock balance</t>
  </si>
  <si>
    <t>approx. hist. avg.</t>
  </si>
  <si>
    <t>of total assets</t>
  </si>
  <si>
    <t>approx. hist. average</t>
  </si>
  <si>
    <t>latest year</t>
  </si>
  <si>
    <t>or revenues</t>
  </si>
  <si>
    <t>calculated</t>
  </si>
  <si>
    <t>fixed at latest year</t>
  </si>
  <si>
    <t>Acounts Payable</t>
  </si>
  <si>
    <t>Years Ended December 31</t>
  </si>
  <si>
    <t>no preferred stock</t>
  </si>
  <si>
    <t>Exhibit 1</t>
  </si>
  <si>
    <t>Annual Rate 2.50%</t>
  </si>
  <si>
    <t xml:space="preserve">   Interest and Other Income</t>
  </si>
  <si>
    <t>Plant in Service</t>
  </si>
  <si>
    <t>Averages</t>
  </si>
  <si>
    <t>Capital Structure (Regulatory):</t>
  </si>
  <si>
    <t>Common Equity</t>
  </si>
  <si>
    <t>Capital Structure:</t>
  </si>
  <si>
    <t>Short-Term Debt</t>
  </si>
  <si>
    <t>2006e</t>
  </si>
  <si>
    <t>2007e</t>
  </si>
  <si>
    <t xml:space="preserve"> </t>
  </si>
  <si>
    <t>assumes about two weeks of cash</t>
  </si>
  <si>
    <t>1/24th of revenues</t>
  </si>
  <si>
    <t>approx. hist. average, 2004-2007</t>
  </si>
  <si>
    <t>Patrons Capital</t>
  </si>
  <si>
    <t>annual growth</t>
  </si>
  <si>
    <t>Revenues</t>
  </si>
  <si>
    <t>Other Revenues</t>
  </si>
  <si>
    <t>inflation growth rate</t>
  </si>
  <si>
    <t>Operating Revenues</t>
  </si>
  <si>
    <t>of plant in service</t>
  </si>
  <si>
    <t>Page 5 of 5</t>
  </si>
  <si>
    <t>Page 4 of 5</t>
  </si>
  <si>
    <t>Return of Patronage Capital</t>
  </si>
  <si>
    <t>approximate current yield on money market funds</t>
  </si>
  <si>
    <t>of LTD (including Current)</t>
  </si>
  <si>
    <t>2006 estimated weighted average yield on existing debt</t>
  </si>
  <si>
    <t>Current Portion of LTD</t>
  </si>
  <si>
    <t>Customer Deposits</t>
  </si>
  <si>
    <t>Cost of Purchased Power</t>
  </si>
  <si>
    <t xml:space="preserve">   Other (Income) Expense</t>
  </si>
  <si>
    <t>approx. 2004-2007 hist. avg.</t>
  </si>
  <si>
    <t>approx. 2004-2007 hist. median</t>
  </si>
  <si>
    <t>of reveneues</t>
  </si>
  <si>
    <t>approx. hist. avg. (2004-2007)</t>
  </si>
  <si>
    <t>Approximate 2007 amount</t>
  </si>
  <si>
    <t>Annual Rate 3.5%</t>
  </si>
  <si>
    <t>of patronage capital</t>
  </si>
  <si>
    <t>approximate 2004-2007 median</t>
  </si>
  <si>
    <t>Total Patronage Equity</t>
  </si>
  <si>
    <t>set at zero, plant in service is total amount</t>
  </si>
  <si>
    <t>of LTD</t>
  </si>
  <si>
    <t>Interest on LTD</t>
  </si>
  <si>
    <t>2004-2007 avg. growth to reflect addition of new patrons and remove some of retained earnings</t>
  </si>
  <si>
    <t>avg. % of PP&amp;E</t>
  </si>
  <si>
    <t>Administrative and General Expenses</t>
  </si>
  <si>
    <t>only pays income taxes on unregulated propane sub.</t>
  </si>
  <si>
    <t>Return of Patrons Capital</t>
  </si>
  <si>
    <t>Historical Average</t>
  </si>
  <si>
    <t>Forecast Financial Ratios</t>
  </si>
  <si>
    <t>Constant</t>
  </si>
  <si>
    <t>Added per year</t>
  </si>
  <si>
    <t>Net Margin</t>
  </si>
  <si>
    <t>Exhibit 2</t>
  </si>
  <si>
    <t>Loan Covenants:</t>
  </si>
  <si>
    <t>Return On Patrons Capital</t>
  </si>
  <si>
    <t>Other Current and Accrued Liabilities</t>
  </si>
  <si>
    <t>Other Deferred Credit</t>
  </si>
  <si>
    <t>Accrued Expenses</t>
  </si>
  <si>
    <t>page 3 of 6</t>
  </si>
  <si>
    <t>page 5 of 6</t>
  </si>
  <si>
    <t>page 1 of 6</t>
  </si>
  <si>
    <t>page 2 of 6</t>
  </si>
  <si>
    <t>Interest (Surplus Cash)/Add. Loans</t>
  </si>
  <si>
    <t>Material and Supplies</t>
  </si>
  <si>
    <t>Customer Advances for Construction</t>
  </si>
  <si>
    <t>Deferred Revenue - Impact Fees</t>
  </si>
  <si>
    <t>Patronage Capital Credits</t>
  </si>
  <si>
    <t>Non-utility Property</t>
  </si>
  <si>
    <t>Construction Work in Progress</t>
  </si>
  <si>
    <t>Historical Cash Flow Statements</t>
  </si>
  <si>
    <t>(Thousands of dollars)</t>
  </si>
  <si>
    <t>Cash flows from operating activities:</t>
  </si>
  <si>
    <t xml:space="preserve">       Depreciation and amortization</t>
  </si>
  <si>
    <t xml:space="preserve">       Cumulative Affect of Accounting Chng and Other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</si>
  <si>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</si>
  <si>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</si>
  <si>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</si>
  <si>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</si>
  <si>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</si>
  <si>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</si>
  <si>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</si>
  <si>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Proceeds from long-term debt</t>
  </si>
  <si>
    <t xml:space="preserve">     Long-term debt repaid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</si>
  <si>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</si>
  <si>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</si>
  <si>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</si>
  <si>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</si>
  <si>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 xml:space="preserve">   Net Margin</t>
  </si>
  <si>
    <t xml:space="preserve">   Adjustments to reconcile net income to net cash</t>
  </si>
  <si>
    <t xml:space="preserve">       Accretion of deferred revenue</t>
  </si>
  <si>
    <t xml:space="preserve">       Accretion of deferred gain on debt restructuring</t>
  </si>
  <si>
    <t xml:space="preserve">      (increase)/decrease in CFC Investment</t>
  </si>
  <si>
    <t xml:space="preserve">      (increase)/decrease in Accounts Receivable</t>
  </si>
  <si>
    <t xml:space="preserve">      (increase)/decrease in Materials and Supplies</t>
  </si>
  <si>
    <t xml:space="preserve">      (increase)/decrease in Other Assets</t>
  </si>
  <si>
    <t xml:space="preserve">      (increase)/decrease in Notes Receivable</t>
  </si>
  <si>
    <t xml:space="preserve">      increase/(decrease) in Accounts Payable</t>
  </si>
  <si>
    <t xml:space="preserve">      increase/(decrease) in Accrued Expenses</t>
  </si>
  <si>
    <t xml:space="preserve">      increase/(decrease) in Unclaimed Capital Credits</t>
  </si>
  <si>
    <t xml:space="preserve">   Changes in assets and liabilities: </t>
  </si>
  <si>
    <t xml:space="preserve">     Purchase of non utility property</t>
  </si>
  <si>
    <t xml:space="preserve">     Sale of non utility property</t>
  </si>
  <si>
    <t xml:space="preserve">     Refund of Capital Credits</t>
  </si>
  <si>
    <t xml:space="preserve">     Refund of customer advance</t>
  </si>
  <si>
    <t>Accounts Receivable - Customers</t>
  </si>
  <si>
    <t>Accounts Receivable - Other</t>
  </si>
  <si>
    <t xml:space="preserve">       Gain or Loss on sale of assets</t>
  </si>
  <si>
    <t>Historical Balance Sheet</t>
  </si>
  <si>
    <t>Wt Average</t>
  </si>
  <si>
    <t>Financial Ratios</t>
  </si>
  <si>
    <t>Gross Margin</t>
  </si>
  <si>
    <t>page 4 of 6</t>
  </si>
  <si>
    <t>Historical Income Statement</t>
  </si>
  <si>
    <t>Additional Revenue Requirements</t>
  </si>
  <si>
    <t>Bridger Valley Electric Association, Inc.</t>
  </si>
  <si>
    <t>Investment in associated organizations</t>
  </si>
  <si>
    <t>Deferred Charges</t>
  </si>
  <si>
    <t>Other Equities</t>
  </si>
  <si>
    <t>Line of Credit</t>
  </si>
  <si>
    <t>Distribution  Expense - Operation</t>
  </si>
  <si>
    <t>Distribution  Expense - Maintenance</t>
  </si>
  <si>
    <t>Depreciation and amortization</t>
  </si>
  <si>
    <t>Consumer Accounts</t>
  </si>
  <si>
    <t>Customer Service</t>
  </si>
  <si>
    <t>Transmission Expense</t>
  </si>
  <si>
    <t>Taxes, other than income taxes</t>
  </si>
  <si>
    <t xml:space="preserve">      increase/(decrease) in Accrued Liabilities</t>
  </si>
  <si>
    <t xml:space="preserve">      increase/(decrease) in Deferred Credits</t>
  </si>
  <si>
    <t xml:space="preserve">     Change in Investments </t>
  </si>
  <si>
    <t xml:space="preserve">     Repayment of Short-term Debt</t>
  </si>
  <si>
    <t>Note Receivable, due within one year</t>
  </si>
  <si>
    <t xml:space="preserve">     Borrowing on Line of Credit</t>
  </si>
  <si>
    <t xml:space="preserve">Notes Receivable </t>
  </si>
  <si>
    <t xml:space="preserve">5 Year </t>
  </si>
  <si>
    <t>2009 to 2013</t>
  </si>
  <si>
    <t>inflation growth rate X 2</t>
  </si>
  <si>
    <t>Historical Average *.5</t>
  </si>
  <si>
    <t>Avg</t>
  </si>
  <si>
    <t>Page 2 of 3</t>
  </si>
  <si>
    <t>Page 1 of 3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</si>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</sst>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%"/>
    <numFmt numFmtId="165" formatCode="&quot;$&quot;#,##0"/>
    <numFmt numFmtId="166" formatCode="0.0000%"/>
    <numFmt numFmtId="167" formatCode="[$-409]mmmm\ d\,\ yyyy;@"/>
    <numFmt numFmtId="168" formatCode="[$-409]d\-mmm\-yy;@"/>
    <numFmt numFmtId="169" formatCode="_(* #,##0_);_(* \(#,##0\);_(* &quot;-&quot;??_);_(@_)"/>
  </numFmts>
  <fonts count="2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rgb="FFFFFF00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double">
        <color indexed="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3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</cellStyleXfs>
  <cellXfs count="232">
    <xf numFmtId="5" fontId="0" fillId="2" borderId="0" xfId="0" applyNumberFormat="1" applyFill="1"/>
    <xf numFmtId="10" fontId="0" fillId="2" borderId="0" xfId="0" applyNumberFormat="1" applyFill="1"/>
    <xf numFmtId="5" fontId="4" fillId="2" borderId="0" xfId="0" applyNumberFormat="1" applyFont="1" applyFill="1"/>
    <xf numFmtId="10" fontId="4" fillId="2" borderId="0" xfId="0" applyNumberFormat="1" applyFont="1" applyFill="1"/>
    <xf numFmtId="5" fontId="4" fillId="2" borderId="0" xfId="0" applyNumberFormat="1" applyFont="1" applyFill="1" applyAlignment="1">
      <alignment horizontal="centerContinuous"/>
    </xf>
    <xf numFmtId="10" fontId="4" fillId="2" borderId="0" xfId="0" applyNumberFormat="1" applyFont="1" applyFill="1" applyAlignment="1">
      <alignment horizontal="centerContinuous"/>
    </xf>
    <xf numFmtId="5" fontId="0" fillId="2" borderId="0" xfId="0" applyNumberFormat="1" applyFill="1" applyBorder="1"/>
    <xf numFmtId="5" fontId="6" fillId="2" borderId="0" xfId="0" applyNumberFormat="1" applyFont="1" applyFill="1"/>
    <xf numFmtId="5" fontId="6" fillId="2" borderId="0" xfId="0" applyNumberFormat="1" applyFont="1" applyFill="1" applyAlignment="1">
      <alignment horizontal="right"/>
    </xf>
    <xf numFmtId="0" fontId="6" fillId="2" borderId="2" xfId="0" applyFont="1" applyFill="1" applyBorder="1"/>
    <xf numFmtId="10" fontId="6" fillId="2" borderId="0" xfId="0" applyNumberFormat="1" applyFont="1" applyFill="1"/>
    <xf numFmtId="0" fontId="6" fillId="2" borderId="0" xfId="0" applyFont="1" applyFill="1"/>
    <xf numFmtId="5" fontId="8" fillId="2" borderId="0" xfId="0" applyNumberFormat="1" applyFont="1" applyFill="1"/>
    <xf numFmtId="0" fontId="6" fillId="2" borderId="0" xfId="0" applyNumberFormat="1" applyFont="1" applyFill="1"/>
    <xf numFmtId="5" fontId="11" fillId="2" borderId="0" xfId="0" applyNumberFormat="1" applyFont="1" applyFill="1"/>
    <xf numFmtId="5" fontId="6" fillId="2" borderId="0" xfId="0" quotePrefix="1" applyNumberFormat="1" applyFont="1" applyFill="1" applyAlignment="1">
      <alignment horizontal="left"/>
    </xf>
    <xf numFmtId="166" fontId="6" fillId="2" borderId="0" xfId="0" applyNumberFormat="1" applyFont="1" applyFill="1"/>
    <xf numFmtId="2" fontId="6" fillId="2" borderId="0" xfId="0" applyNumberFormat="1" applyFont="1" applyFill="1"/>
    <xf numFmtId="5" fontId="6" fillId="2" borderId="0" xfId="0" quotePrefix="1" applyNumberFormat="1" applyFont="1" applyFill="1" applyAlignment="1">
      <alignment horizontal="right"/>
    </xf>
    <xf numFmtId="164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5" fontId="6" fillId="2" borderId="0" xfId="0" applyNumberFormat="1" applyFont="1" applyFill="1" applyAlignment="1">
      <alignment horizontal="left"/>
    </xf>
    <xf numFmtId="39" fontId="6" fillId="2" borderId="0" xfId="0" applyNumberFormat="1" applyFont="1" applyFill="1"/>
    <xf numFmtId="0" fontId="0" fillId="2" borderId="0" xfId="0" applyNumberFormat="1" applyFill="1"/>
    <xf numFmtId="7" fontId="6" fillId="2" borderId="0" xfId="0" quotePrefix="1" applyNumberFormat="1" applyFont="1" applyFill="1" applyAlignment="1">
      <alignment horizontal="left"/>
    </xf>
    <xf numFmtId="22" fontId="8" fillId="2" borderId="0" xfId="0" applyNumberFormat="1" applyFont="1" applyFill="1"/>
    <xf numFmtId="5" fontId="9" fillId="2" borderId="0" xfId="0" applyNumberFormat="1" applyFont="1" applyFill="1"/>
    <xf numFmtId="0" fontId="6" fillId="2" borderId="0" xfId="0" applyFont="1" applyFill="1" applyAlignment="1">
      <alignment horizontal="left"/>
    </xf>
    <xf numFmtId="0" fontId="0" fillId="0" borderId="0" xfId="0" applyNumberFormat="1" applyFill="1" applyBorder="1"/>
    <xf numFmtId="4" fontId="6" fillId="2" borderId="0" xfId="0" applyNumberFormat="1" applyFont="1" applyFill="1"/>
    <xf numFmtId="5" fontId="7" fillId="2" borderId="0" xfId="0" applyNumberFormat="1" applyFont="1" applyFill="1"/>
    <xf numFmtId="5" fontId="6" fillId="2" borderId="2" xfId="0" applyNumberFormat="1" applyFont="1" applyFill="1" applyBorder="1"/>
    <xf numFmtId="5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Continuous"/>
    </xf>
    <xf numFmtId="5" fontId="6" fillId="2" borderId="0" xfId="0" applyNumberFormat="1" applyFont="1" applyFill="1" applyBorder="1"/>
    <xf numFmtId="9" fontId="6" fillId="2" borderId="0" xfId="0" applyNumberFormat="1" applyFont="1" applyFill="1"/>
    <xf numFmtId="10" fontId="6" fillId="0" borderId="0" xfId="0" applyNumberFormat="1" applyFont="1" applyFill="1"/>
    <xf numFmtId="7" fontId="6" fillId="2" borderId="0" xfId="0" applyNumberFormat="1" applyFont="1" applyFill="1"/>
    <xf numFmtId="168" fontId="6" fillId="2" borderId="0" xfId="0" applyNumberFormat="1" applyFont="1" applyFill="1"/>
    <xf numFmtId="5" fontId="10" fillId="2" borderId="0" xfId="0" applyNumberFormat="1" applyFont="1" applyFill="1" applyAlignment="1">
      <alignment horizontal="centerContinuous"/>
    </xf>
    <xf numFmtId="10" fontId="6" fillId="4" borderId="0" xfId="0" applyNumberFormat="1" applyFont="1" applyFill="1"/>
    <xf numFmtId="0" fontId="6" fillId="2" borderId="0" xfId="0" applyNumberFormat="1" applyFont="1" applyFill="1" applyAlignment="1">
      <alignment horizontal="right"/>
    </xf>
    <xf numFmtId="5" fontId="6" fillId="2" borderId="0" xfId="0" applyNumberFormat="1" applyFont="1" applyFill="1" applyAlignment="1">
      <alignment horizontal="left" wrapText="1"/>
    </xf>
    <xf numFmtId="5" fontId="6" fillId="0" borderId="0" xfId="0" applyNumberFormat="1" applyFont="1" applyFill="1"/>
    <xf numFmtId="165" fontId="6" fillId="0" borderId="0" xfId="0" applyNumberFormat="1" applyFont="1" applyFill="1"/>
    <xf numFmtId="43" fontId="6" fillId="0" borderId="0" xfId="1" applyFont="1" applyFill="1"/>
    <xf numFmtId="1" fontId="6" fillId="2" borderId="0" xfId="0" applyNumberFormat="1" applyFont="1" applyFill="1"/>
    <xf numFmtId="1" fontId="6" fillId="2" borderId="0" xfId="0" applyNumberFormat="1" applyFont="1" applyFill="1" applyAlignment="1">
      <alignment horizontal="right"/>
    </xf>
    <xf numFmtId="1" fontId="6" fillId="2" borderId="0" xfId="0" quotePrefix="1" applyNumberFormat="1" applyFont="1" applyFill="1" applyAlignment="1">
      <alignment horizontal="right"/>
    </xf>
    <xf numFmtId="5" fontId="6" fillId="2" borderId="13" xfId="0" applyNumberFormat="1" applyFont="1" applyFill="1" applyBorder="1"/>
    <xf numFmtId="5" fontId="3" fillId="2" borderId="0" xfId="0" applyNumberFormat="1" applyFont="1" applyFill="1"/>
    <xf numFmtId="5" fontId="13" fillId="2" borderId="0" xfId="0" applyNumberFormat="1" applyFont="1" applyFill="1"/>
    <xf numFmtId="0" fontId="7" fillId="2" borderId="8" xfId="0" applyNumberFormat="1" applyFont="1" applyFill="1" applyBorder="1"/>
    <xf numFmtId="5" fontId="7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centerContinuous"/>
    </xf>
    <xf numFmtId="10" fontId="12" fillId="2" borderId="0" xfId="0" quotePrefix="1" applyNumberFormat="1" applyFont="1" applyFill="1" applyAlignment="1">
      <alignment horizontal="right"/>
    </xf>
    <xf numFmtId="5" fontId="7" fillId="2" borderId="0" xfId="0" applyNumberFormat="1" applyFont="1" applyFill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2" xfId="0" applyFont="1" applyFill="1" applyBorder="1"/>
    <xf numFmtId="0" fontId="12" fillId="2" borderId="8" xfId="0" applyNumberFormat="1" applyFont="1" applyFill="1" applyBorder="1" applyAlignment="1">
      <alignment horizontal="right"/>
    </xf>
    <xf numFmtId="167" fontId="12" fillId="2" borderId="0" xfId="0" quotePrefix="1" applyNumberFormat="1" applyFont="1" applyFill="1" applyAlignment="1">
      <alignment horizontal="centerContinuous"/>
    </xf>
    <xf numFmtId="5" fontId="14" fillId="2" borderId="0" xfId="0" applyNumberFormat="1" applyFont="1" applyFill="1"/>
    <xf numFmtId="10" fontId="7" fillId="2" borderId="0" xfId="0" applyNumberFormat="1" applyFont="1" applyFill="1"/>
    <xf numFmtId="37" fontId="7" fillId="0" borderId="0" xfId="0" applyNumberFormat="1" applyFont="1"/>
    <xf numFmtId="5" fontId="7" fillId="2" borderId="0" xfId="0" quotePrefix="1" applyNumberFormat="1" applyFont="1" applyFill="1" applyAlignment="1">
      <alignment horizontal="left"/>
    </xf>
    <xf numFmtId="5" fontId="7" fillId="2" borderId="0" xfId="0" applyNumberFormat="1" applyFont="1" applyFill="1" applyAlignment="1">
      <alignment horizontal="left"/>
    </xf>
    <xf numFmtId="10" fontId="7" fillId="2" borderId="8" xfId="0" applyNumberFormat="1" applyFont="1" applyFill="1" applyBorder="1"/>
    <xf numFmtId="5" fontId="7" fillId="2" borderId="0" xfId="0" applyNumberFormat="1" applyFont="1" applyFill="1" applyBorder="1" applyAlignment="1">
      <alignment horizontal="right"/>
    </xf>
    <xf numFmtId="5" fontId="7" fillId="2" borderId="4" xfId="0" applyNumberFormat="1" applyFont="1" applyFill="1" applyBorder="1"/>
    <xf numFmtId="5" fontId="7" fillId="2" borderId="0" xfId="0" applyNumberFormat="1" applyFont="1" applyFill="1" applyBorder="1"/>
    <xf numFmtId="10" fontId="7" fillId="2" borderId="11" xfId="0" applyNumberFormat="1" applyFont="1" applyFill="1" applyBorder="1"/>
    <xf numFmtId="10" fontId="7" fillId="2" borderId="5" xfId="0" applyNumberFormat="1" applyFont="1" applyFill="1" applyBorder="1"/>
    <xf numFmtId="5" fontId="7" fillId="2" borderId="6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0" fontId="7" fillId="2" borderId="12" xfId="0" applyNumberFormat="1" applyFont="1" applyFill="1" applyBorder="1"/>
    <xf numFmtId="5" fontId="15" fillId="2" borderId="0" xfId="0" applyNumberFormat="1" applyFont="1" applyFill="1" applyAlignment="1">
      <alignment horizontal="centerContinuous"/>
    </xf>
    <xf numFmtId="5" fontId="2" fillId="2" borderId="0" xfId="0" applyNumberFormat="1" applyFont="1" applyFill="1" applyAlignment="1">
      <alignment horizontal="centerContinuous"/>
    </xf>
    <xf numFmtId="167" fontId="2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right"/>
    </xf>
    <xf numFmtId="5" fontId="7" fillId="2" borderId="2" xfId="0" applyNumberFormat="1" applyFont="1" applyFill="1" applyBorder="1"/>
    <xf numFmtId="0" fontId="7" fillId="2" borderId="0" xfId="0" applyFont="1" applyFill="1" applyBorder="1"/>
    <xf numFmtId="10" fontId="7" fillId="2" borderId="0" xfId="0" applyNumberFormat="1" applyFont="1" applyFill="1" applyBorder="1" applyAlignment="1">
      <alignment horizontal="right"/>
    </xf>
    <xf numFmtId="10" fontId="7" fillId="2" borderId="2" xfId="0" applyNumberFormat="1" applyFont="1" applyFill="1" applyBorder="1"/>
    <xf numFmtId="10" fontId="7" fillId="2" borderId="0" xfId="0" applyNumberFormat="1" applyFont="1" applyFill="1" applyBorder="1"/>
    <xf numFmtId="10" fontId="7" fillId="2" borderId="4" xfId="0" applyNumberFormat="1" applyFont="1" applyFill="1" applyBorder="1"/>
    <xf numFmtId="10" fontId="7" fillId="2" borderId="3" xfId="0" applyNumberFormat="1" applyFont="1" applyFill="1" applyBorder="1"/>
    <xf numFmtId="10" fontId="7" fillId="2" borderId="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3" borderId="0" xfId="0" quotePrefix="1" applyFont="1" applyFill="1" applyBorder="1" applyAlignment="1">
      <alignment horizontal="left"/>
    </xf>
    <xf numFmtId="0" fontId="16" fillId="3" borderId="0" xfId="0" applyFont="1" applyFill="1" applyBorder="1"/>
    <xf numFmtId="5" fontId="16" fillId="2" borderId="0" xfId="0" quotePrefix="1" applyNumberFormat="1" applyFont="1" applyFill="1" applyAlignment="1">
      <alignment horizontal="left"/>
    </xf>
    <xf numFmtId="37" fontId="7" fillId="2" borderId="0" xfId="8" applyNumberFormat="1" applyFont="1" applyFill="1" applyBorder="1" applyAlignment="1">
      <alignment horizontal="right"/>
    </xf>
    <xf numFmtId="0" fontId="7" fillId="2" borderId="4" xfId="0" applyFont="1" applyFill="1" applyBorder="1"/>
    <xf numFmtId="2" fontId="7" fillId="2" borderId="0" xfId="0" applyNumberFormat="1" applyFont="1" applyFill="1" applyBorder="1"/>
    <xf numFmtId="2" fontId="7" fillId="2" borderId="0" xfId="0" applyNumberFormat="1" applyFont="1" applyFill="1"/>
    <xf numFmtId="10" fontId="7" fillId="2" borderId="0" xfId="9" applyFont="1"/>
    <xf numFmtId="2" fontId="7" fillId="2" borderId="0" xfId="0" applyNumberFormat="1" applyFont="1" applyFill="1" applyAlignment="1">
      <alignment horizontal="right"/>
    </xf>
    <xf numFmtId="169" fontId="7" fillId="2" borderId="0" xfId="1" applyNumberFormat="1" applyFont="1" applyFill="1"/>
    <xf numFmtId="169" fontId="7" fillId="2" borderId="8" xfId="1" applyNumberFormat="1" applyFont="1" applyFill="1" applyBorder="1"/>
    <xf numFmtId="5" fontId="7" fillId="2" borderId="7" xfId="0" applyNumberFormat="1" applyFont="1" applyFill="1" applyBorder="1" applyAlignment="1">
      <alignment horizontal="right"/>
    </xf>
    <xf numFmtId="0" fontId="7" fillId="2" borderId="10" xfId="0" applyNumberFormat="1" applyFont="1" applyFill="1" applyBorder="1"/>
    <xf numFmtId="0" fontId="7" fillId="2" borderId="9" xfId="0" applyFont="1" applyFill="1" applyBorder="1"/>
    <xf numFmtId="5" fontId="7" fillId="2" borderId="7" xfId="0" applyNumberFormat="1" applyFont="1" applyFill="1" applyBorder="1"/>
    <xf numFmtId="10" fontId="7" fillId="2" borderId="6" xfId="0" applyNumberFormat="1" applyFont="1" applyFill="1" applyBorder="1"/>
    <xf numFmtId="5" fontId="17" fillId="2" borderId="0" xfId="0" applyNumberFormat="1" applyFont="1" applyFill="1" applyAlignment="1">
      <alignment horizontal="centerContinuous"/>
    </xf>
    <xf numFmtId="5" fontId="7" fillId="2" borderId="0" xfId="0" applyNumberFormat="1" applyFont="1" applyFill="1" applyBorder="1" applyAlignment="1">
      <alignment horizontal="centerContinuous"/>
    </xf>
    <xf numFmtId="22" fontId="12" fillId="2" borderId="0" xfId="0" applyNumberFormat="1" applyFont="1" applyFill="1" applyAlignment="1">
      <alignment horizontal="centerContinuous"/>
    </xf>
    <xf numFmtId="22" fontId="12" fillId="2" borderId="0" xfId="0" applyNumberFormat="1" applyFont="1" applyFill="1"/>
    <xf numFmtId="5" fontId="16" fillId="2" borderId="0" xfId="0" applyNumberFormat="1" applyFont="1" applyFill="1"/>
    <xf numFmtId="5" fontId="7" fillId="2" borderId="13" xfId="0" applyNumberFormat="1" applyFont="1" applyFill="1" applyBorder="1" applyAlignment="1">
      <alignment horizontal="right"/>
    </xf>
    <xf numFmtId="0" fontId="7" fillId="2" borderId="14" xfId="0" applyNumberFormat="1" applyFont="1" applyFill="1" applyBorder="1"/>
    <xf numFmtId="5" fontId="7" fillId="2" borderId="13" xfId="0" applyNumberFormat="1" applyFont="1" applyFill="1" applyBorder="1"/>
    <xf numFmtId="10" fontId="7" fillId="2" borderId="13" xfId="0" applyNumberFormat="1" applyFont="1" applyFill="1" applyBorder="1"/>
    <xf numFmtId="10" fontId="7" fillId="2" borderId="15" xfId="0" applyNumberFormat="1" applyFont="1" applyFill="1" applyBorder="1"/>
    <xf numFmtId="10" fontId="7" fillId="2" borderId="16" xfId="0" applyNumberFormat="1" applyFont="1" applyFill="1" applyBorder="1"/>
    <xf numFmtId="168" fontId="7" fillId="2" borderId="8" xfId="0" applyNumberFormat="1" applyFont="1" applyFill="1" applyBorder="1" applyAlignment="1">
      <alignment horizontal="right"/>
    </xf>
    <xf numFmtId="5" fontId="7" fillId="2" borderId="2" xfId="0" applyNumberFormat="1" applyFont="1" applyFill="1" applyBorder="1" applyAlignment="1">
      <alignment horizontal="right"/>
    </xf>
    <xf numFmtId="0" fontId="7" fillId="2" borderId="13" xfId="0" applyFont="1" applyFill="1" applyBorder="1"/>
    <xf numFmtId="2" fontId="7" fillId="2" borderId="13" xfId="0" applyNumberFormat="1" applyFont="1" applyFill="1" applyBorder="1"/>
    <xf numFmtId="2" fontId="7" fillId="2" borderId="13" xfId="0" applyNumberFormat="1" applyFont="1" applyFill="1" applyBorder="1" applyAlignment="1">
      <alignment horizontal="right"/>
    </xf>
    <xf numFmtId="10" fontId="7" fillId="2" borderId="13" xfId="9" applyFont="1" applyBorder="1"/>
    <xf numFmtId="10" fontId="18" fillId="2" borderId="0" xfId="0" applyNumberFormat="1" applyFont="1" applyFill="1" applyBorder="1" applyAlignment="1">
      <alignment horizontal="right"/>
    </xf>
    <xf numFmtId="10" fontId="18" fillId="2" borderId="8" xfId="0" applyNumberFormat="1" applyFont="1" applyFill="1" applyBorder="1" applyAlignment="1">
      <alignment horizontal="right"/>
    </xf>
    <xf numFmtId="169" fontId="7" fillId="2" borderId="0" xfId="1" applyNumberFormat="1" applyFont="1" applyFill="1" applyBorder="1"/>
    <xf numFmtId="5" fontId="12" fillId="2" borderId="0" xfId="0" applyNumberFormat="1" applyFont="1" applyFill="1"/>
    <xf numFmtId="5" fontId="4" fillId="2" borderId="0" xfId="0" applyNumberFormat="1" applyFont="1" applyFill="1" applyAlignment="1">
      <alignment horizontal="left"/>
    </xf>
    <xf numFmtId="0" fontId="12" fillId="2" borderId="8" xfId="0" applyNumberFormat="1" applyFont="1" applyFill="1" applyBorder="1"/>
    <xf numFmtId="5" fontId="12" fillId="2" borderId="0" xfId="0" applyNumberFormat="1" applyFont="1" applyFill="1" applyAlignment="1">
      <alignment horizontal="right"/>
    </xf>
    <xf numFmtId="10" fontId="12" fillId="2" borderId="0" xfId="0" applyNumberFormat="1" applyFont="1" applyFill="1" applyAlignment="1">
      <alignment horizontal="right"/>
    </xf>
    <xf numFmtId="5" fontId="12" fillId="2" borderId="2" xfId="0" applyNumberFormat="1" applyFont="1" applyFill="1" applyBorder="1"/>
    <xf numFmtId="10" fontId="12" fillId="2" borderId="2" xfId="0" applyNumberFormat="1" applyFont="1" applyFill="1" applyBorder="1" applyAlignment="1">
      <alignment horizontal="right"/>
    </xf>
    <xf numFmtId="15" fontId="12" fillId="2" borderId="0" xfId="0" applyNumberFormat="1" applyFont="1" applyFill="1" applyAlignment="1">
      <alignment horizontal="right"/>
    </xf>
    <xf numFmtId="169" fontId="7" fillId="2" borderId="0" xfId="1" applyNumberFormat="1" applyFont="1" applyFill="1" applyAlignment="1">
      <alignment horizontal="right"/>
    </xf>
    <xf numFmtId="169" fontId="7" fillId="2" borderId="8" xfId="1" applyNumberFormat="1" applyFont="1" applyFill="1" applyBorder="1" applyAlignment="1">
      <alignment horizontal="right"/>
    </xf>
    <xf numFmtId="169" fontId="7" fillId="2" borderId="4" xfId="1" applyNumberFormat="1" applyFont="1" applyFill="1" applyBorder="1"/>
    <xf numFmtId="169" fontId="7" fillId="2" borderId="11" xfId="1" applyNumberFormat="1" applyFont="1" applyFill="1" applyBorder="1"/>
    <xf numFmtId="169" fontId="7" fillId="2" borderId="5" xfId="1" applyNumberFormat="1" applyFont="1" applyFill="1" applyBorder="1"/>
    <xf numFmtId="169" fontId="7" fillId="0" borderId="0" xfId="1" applyNumberFormat="1" applyFont="1"/>
    <xf numFmtId="169" fontId="4" fillId="2" borderId="0" xfId="1" applyNumberFormat="1" applyFont="1" applyFill="1"/>
    <xf numFmtId="169" fontId="16" fillId="0" borderId="0" xfId="1" applyNumberFormat="1" applyFont="1" applyFill="1" applyBorder="1"/>
    <xf numFmtId="169" fontId="16" fillId="3" borderId="0" xfId="1" applyNumberFormat="1" applyFont="1" applyFill="1" applyBorder="1"/>
    <xf numFmtId="169" fontId="16" fillId="3" borderId="4" xfId="1" applyNumberFormat="1" applyFont="1" applyFill="1" applyBorder="1"/>
    <xf numFmtId="169" fontId="16" fillId="0" borderId="4" xfId="1" applyNumberFormat="1" applyFont="1" applyFill="1" applyBorder="1"/>
    <xf numFmtId="169" fontId="16" fillId="3" borderId="0" xfId="1" applyNumberFormat="1" applyFont="1" applyFill="1" applyBorder="1" applyAlignment="1">
      <alignment horizontal="right"/>
    </xf>
    <xf numFmtId="169" fontId="16" fillId="0" borderId="0" xfId="1" applyNumberFormat="1" applyFont="1" applyFill="1" applyBorder="1" applyAlignment="1">
      <alignment horizontal="right"/>
    </xf>
    <xf numFmtId="169" fontId="16" fillId="0" borderId="8" xfId="1" applyNumberFormat="1" applyFont="1" applyFill="1" applyBorder="1"/>
    <xf numFmtId="169" fontId="16" fillId="0" borderId="5" xfId="1" applyNumberFormat="1" applyFont="1" applyFill="1" applyBorder="1"/>
    <xf numFmtId="169" fontId="16" fillId="3" borderId="6" xfId="1" applyNumberFormat="1" applyFont="1" applyFill="1" applyBorder="1"/>
    <xf numFmtId="10" fontId="18" fillId="2" borderId="0" xfId="0" applyNumberFormat="1" applyFont="1" applyFill="1" applyAlignment="1">
      <alignment horizontal="right"/>
    </xf>
    <xf numFmtId="0" fontId="7" fillId="2" borderId="0" xfId="8" applyFont="1" applyFill="1"/>
    <xf numFmtId="0" fontId="7" fillId="2" borderId="0" xfId="8" applyFill="1"/>
    <xf numFmtId="0" fontId="4" fillId="2" borderId="0" xfId="8" applyFont="1" applyFill="1"/>
    <xf numFmtId="0" fontId="4" fillId="2" borderId="0" xfId="8" applyFont="1" applyFill="1" applyAlignment="1">
      <alignment horizontal="centerContinuous"/>
    </xf>
    <xf numFmtId="5" fontId="15" fillId="2" borderId="0" xfId="8" applyNumberFormat="1" applyFont="1" applyFill="1" applyAlignment="1">
      <alignment horizontal="centerContinuous"/>
    </xf>
    <xf numFmtId="0" fontId="19" fillId="2" borderId="0" xfId="8" applyFont="1" applyFill="1" applyAlignment="1">
      <alignment horizontal="centerContinuous"/>
    </xf>
    <xf numFmtId="0" fontId="20" fillId="2" borderId="0" xfId="8" applyFont="1" applyFill="1" applyAlignment="1">
      <alignment horizontal="centerContinuous"/>
    </xf>
    <xf numFmtId="37" fontId="12" fillId="2" borderId="0" xfId="8" applyNumberFormat="1" applyFont="1" applyFill="1" applyAlignment="1">
      <alignment horizontal="centerContinuous"/>
    </xf>
    <xf numFmtId="37" fontId="12" fillId="0" borderId="0" xfId="8" applyNumberFormat="1" applyFont="1" applyBorder="1" applyAlignment="1"/>
    <xf numFmtId="37" fontId="12" fillId="2" borderId="0" xfId="0" quotePrefix="1" applyNumberFormat="1" applyFont="1" applyFill="1" applyAlignment="1">
      <alignment horizontal="right"/>
    </xf>
    <xf numFmtId="0" fontId="12" fillId="0" borderId="0" xfId="8" applyNumberFormat="1" applyFont="1" applyFill="1" applyBorder="1" applyAlignment="1">
      <alignment horizontal="right"/>
    </xf>
    <xf numFmtId="0" fontId="12" fillId="0" borderId="8" xfId="8" applyNumberFormat="1" applyFont="1" applyFill="1" applyBorder="1" applyAlignment="1">
      <alignment horizontal="right"/>
    </xf>
    <xf numFmtId="37" fontId="7" fillId="0" borderId="0" xfId="8" applyNumberFormat="1" applyFont="1" applyBorder="1" applyAlignment="1"/>
    <xf numFmtId="37" fontId="7" fillId="0" borderId="0" xfId="8" applyNumberFormat="1" applyFont="1" applyFill="1" applyBorder="1" applyAlignment="1">
      <alignment horizontal="right"/>
    </xf>
    <xf numFmtId="37" fontId="7" fillId="2" borderId="0" xfId="0" applyNumberFormat="1" applyFont="1" applyFill="1" applyBorder="1" applyAlignment="1">
      <alignment horizontal="right"/>
    </xf>
    <xf numFmtId="37" fontId="7" fillId="0" borderId="0" xfId="8" applyNumberFormat="1" applyFont="1" applyFill="1" applyBorder="1" applyAlignment="1">
      <alignment vertical="center"/>
    </xf>
    <xf numFmtId="10" fontId="7" fillId="2" borderId="0" xfId="8" applyNumberFormat="1" applyFont="1" applyFill="1" applyBorder="1"/>
    <xf numFmtId="37" fontId="7" fillId="0" borderId="0" xfId="8" applyNumberFormat="1" applyFont="1" applyBorder="1" applyAlignment="1">
      <alignment vertical="center"/>
    </xf>
    <xf numFmtId="37" fontId="7" fillId="3" borderId="0" xfId="8" quotePrefix="1" applyNumberFormat="1" applyFont="1" applyFill="1" applyBorder="1" applyAlignment="1">
      <alignment horizontal="left"/>
    </xf>
    <xf numFmtId="37" fontId="7" fillId="0" borderId="0" xfId="8" quotePrefix="1" applyNumberFormat="1" applyFont="1" applyBorder="1" applyAlignment="1">
      <alignment horizontal="left" vertical="center"/>
    </xf>
    <xf numFmtId="37" fontId="7" fillId="0" borderId="0" xfId="8" applyNumberFormat="1" applyFont="1" applyBorder="1" applyAlignment="1">
      <alignment horizontal="left" vertical="center"/>
    </xf>
    <xf numFmtId="2" fontId="7" fillId="2" borderId="0" xfId="8" applyNumberFormat="1" applyFont="1" applyFill="1" applyBorder="1"/>
    <xf numFmtId="2" fontId="7" fillId="2" borderId="6" xfId="8" applyNumberFormat="1" applyFont="1" applyFill="1" applyBorder="1"/>
    <xf numFmtId="10" fontId="7" fillId="2" borderId="0" xfId="0" quotePrefix="1" applyNumberFormat="1" applyFont="1" applyFill="1" applyAlignment="1">
      <alignment horizontal="right"/>
    </xf>
    <xf numFmtId="37" fontId="18" fillId="2" borderId="0" xfId="8" applyNumberFormat="1" applyFont="1" applyFill="1" applyAlignment="1">
      <alignment horizontal="right"/>
    </xf>
    <xf numFmtId="37" fontId="18" fillId="2" borderId="0" xfId="0" applyNumberFormat="1" applyFont="1" applyFill="1" applyAlignment="1">
      <alignment horizontal="right"/>
    </xf>
    <xf numFmtId="37" fontId="18" fillId="2" borderId="2" xfId="0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/>
    <xf numFmtId="169" fontId="7" fillId="2" borderId="0" xfId="1" applyNumberFormat="1" applyFont="1" applyFill="1" applyBorder="1" applyAlignment="1">
      <alignment horizontal="right"/>
    </xf>
    <xf numFmtId="169" fontId="7" fillId="0" borderId="4" xfId="1" applyNumberFormat="1" applyFont="1" applyBorder="1" applyAlignment="1">
      <alignment horizontal="right"/>
    </xf>
    <xf numFmtId="169" fontId="7" fillId="0" borderId="8" xfId="1" applyNumberFormat="1" applyFont="1" applyBorder="1" applyAlignment="1">
      <alignment horizontal="right"/>
    </xf>
    <xf numFmtId="169" fontId="7" fillId="0" borderId="0" xfId="1" applyNumberFormat="1" applyFont="1" applyBorder="1" applyAlignment="1">
      <alignment horizontal="right"/>
    </xf>
    <xf numFmtId="169" fontId="7" fillId="3" borderId="4" xfId="1" applyNumberFormat="1" applyFont="1" applyFill="1" applyBorder="1" applyAlignment="1">
      <alignment horizontal="right"/>
    </xf>
    <xf numFmtId="169" fontId="7" fillId="2" borderId="4" xfId="1" applyNumberFormat="1" applyFont="1" applyFill="1" applyBorder="1" applyAlignment="1">
      <alignment horizontal="right"/>
    </xf>
    <xf numFmtId="169" fontId="7" fillId="2" borderId="6" xfId="1" applyNumberFormat="1" applyFont="1" applyFill="1" applyBorder="1"/>
    <xf numFmtId="37" fontId="12" fillId="0" borderId="0" xfId="8" applyNumberFormat="1" applyFont="1" applyBorder="1" applyAlignment="1">
      <alignment vertical="center"/>
    </xf>
    <xf numFmtId="37" fontId="12" fillId="0" borderId="0" xfId="8" applyNumberFormat="1" applyFont="1" applyFill="1" applyBorder="1" applyAlignment="1">
      <alignment vertical="center"/>
    </xf>
    <xf numFmtId="169" fontId="7" fillId="0" borderId="0" xfId="1" applyNumberFormat="1" applyFont="1" applyFill="1"/>
    <xf numFmtId="169" fontId="7" fillId="0" borderId="0" xfId="1" applyNumberFormat="1" applyFont="1" applyFill="1" applyAlignment="1">
      <alignment horizontal="right"/>
    </xf>
    <xf numFmtId="169" fontId="7" fillId="0" borderId="8" xfId="1" applyNumberFormat="1" applyFont="1" applyFill="1" applyBorder="1"/>
    <xf numFmtId="10" fontId="7" fillId="2" borderId="12" xfId="9" applyFont="1" applyBorder="1"/>
    <xf numFmtId="10" fontId="7" fillId="2" borderId="8" xfId="9" applyFont="1" applyBorder="1"/>
    <xf numFmtId="5" fontId="0" fillId="2" borderId="8" xfId="0" applyNumberFormat="1" applyFill="1" applyBorder="1"/>
    <xf numFmtId="10" fontId="0" fillId="2" borderId="0" xfId="0" applyNumberFormat="1" applyFill="1" applyAlignment="1">
      <alignment horizontal="right"/>
    </xf>
    <xf numFmtId="0" fontId="12" fillId="2" borderId="2" xfId="0" applyFont="1" applyFill="1" applyBorder="1" applyAlignment="1">
      <alignment horizontal="right"/>
    </xf>
    <xf numFmtId="10" fontId="18" fillId="2" borderId="2" xfId="0" applyNumberFormat="1" applyFont="1" applyFill="1" applyBorder="1" applyAlignment="1">
      <alignment horizontal="right"/>
    </xf>
    <xf numFmtId="10" fontId="18" fillId="2" borderId="0" xfId="0" quotePrefix="1" applyNumberFormat="1" applyFont="1" applyFill="1" applyAlignment="1">
      <alignment horizontal="right"/>
    </xf>
    <xf numFmtId="10" fontId="7" fillId="2" borderId="11" xfId="9" applyFont="1" applyBorder="1"/>
    <xf numFmtId="10" fontId="7" fillId="2" borderId="0" xfId="0" applyNumberFormat="1" applyFont="1" applyFill="1" applyBorder="1" applyAlignment="1">
      <alignment horizontal="centerContinuous"/>
    </xf>
    <xf numFmtId="5" fontId="14" fillId="2" borderId="0" xfId="0" applyNumberFormat="1" applyFont="1" applyFill="1" applyBorder="1"/>
    <xf numFmtId="5" fontId="7" fillId="0" borderId="0" xfId="0" applyNumberFormat="1" applyFont="1" applyFill="1"/>
    <xf numFmtId="169" fontId="7" fillId="0" borderId="4" xfId="1" applyNumberFormat="1" applyFont="1" applyFill="1" applyBorder="1" applyAlignment="1">
      <alignment horizontal="right"/>
    </xf>
    <xf numFmtId="169" fontId="7" fillId="2" borderId="0" xfId="0" applyNumberFormat="1" applyFont="1" applyFill="1" applyAlignment="1">
      <alignment horizontal="centerContinuous"/>
    </xf>
    <xf numFmtId="10" fontId="7" fillId="0" borderId="0" xfId="0" applyNumberFormat="1" applyFont="1" applyFill="1"/>
    <xf numFmtId="2" fontId="7" fillId="0" borderId="0" xfId="0" applyNumberFormat="1" applyFont="1" applyFill="1"/>
    <xf numFmtId="10" fontId="7" fillId="0" borderId="0" xfId="9" applyFont="1" applyFill="1"/>
    <xf numFmtId="10" fontId="4" fillId="2" borderId="0" xfId="9" applyFont="1"/>
    <xf numFmtId="0" fontId="16" fillId="3" borderId="0" xfId="0" applyFont="1" applyFill="1" applyBorder="1" applyAlignment="1">
      <alignment horizontal="left"/>
    </xf>
    <xf numFmtId="169" fontId="7" fillId="2" borderId="6" xfId="0" applyNumberFormat="1" applyFont="1" applyFill="1" applyBorder="1"/>
    <xf numFmtId="10" fontId="7" fillId="0" borderId="11" xfId="0" applyNumberFormat="1" applyFont="1" applyFill="1" applyBorder="1"/>
    <xf numFmtId="10" fontId="6" fillId="5" borderId="0" xfId="0" applyNumberFormat="1" applyFont="1" applyFill="1"/>
    <xf numFmtId="0" fontId="7" fillId="2" borderId="8" xfId="0" quotePrefix="1" applyNumberFormat="1" applyFont="1" applyFill="1" applyBorder="1" applyAlignment="1">
      <alignment horizontal="right"/>
    </xf>
    <xf numFmtId="0" fontId="4" fillId="2" borderId="0" xfId="0" applyNumberFormat="1" applyFont="1" applyFill="1"/>
    <xf numFmtId="10" fontId="7" fillId="0" borderId="12" xfId="0" applyNumberFormat="1" applyFont="1" applyFill="1" applyBorder="1"/>
    <xf numFmtId="10" fontId="7" fillId="0" borderId="3" xfId="0" applyNumberFormat="1" applyFont="1" applyFill="1" applyBorder="1"/>
    <xf numFmtId="169" fontId="7" fillId="2" borderId="0" xfId="0" applyNumberFormat="1" applyFont="1" applyFill="1"/>
    <xf numFmtId="169" fontId="7" fillId="2" borderId="0" xfId="0" applyNumberFormat="1" applyFont="1" applyFill="1" applyBorder="1"/>
    <xf numFmtId="169" fontId="7" fillId="2" borderId="7" xfId="1" applyNumberFormat="1" applyFont="1" applyFill="1" applyBorder="1"/>
    <xf numFmtId="169" fontId="7" fillId="2" borderId="10" xfId="1" applyNumberFormat="1" applyFont="1" applyFill="1" applyBorder="1"/>
    <xf numFmtId="169" fontId="7" fillId="2" borderId="2" xfId="1" applyNumberFormat="1" applyFont="1" applyFill="1" applyBorder="1"/>
    <xf numFmtId="169" fontId="7" fillId="2" borderId="7" xfId="1" applyNumberFormat="1" applyFont="1" applyFill="1" applyBorder="1" applyAlignment="1">
      <alignment horizontal="right"/>
    </xf>
    <xf numFmtId="169" fontId="7" fillId="2" borderId="10" xfId="1" applyNumberFormat="1" applyFont="1" applyFill="1" applyBorder="1" applyAlignment="1">
      <alignment horizontal="right"/>
    </xf>
    <xf numFmtId="169" fontId="7" fillId="2" borderId="18" xfId="1" applyNumberFormat="1" applyFont="1" applyFill="1" applyBorder="1"/>
    <xf numFmtId="169" fontId="7" fillId="2" borderId="19" xfId="1" applyNumberFormat="1" applyFont="1" applyFill="1" applyBorder="1"/>
    <xf numFmtId="169" fontId="7" fillId="2" borderId="3" xfId="1" applyNumberFormat="1" applyFont="1" applyFill="1" applyBorder="1"/>
    <xf numFmtId="169" fontId="7" fillId="0" borderId="2" xfId="1" applyNumberFormat="1" applyFont="1" applyFill="1" applyBorder="1"/>
    <xf numFmtId="169" fontId="7" fillId="2" borderId="12" xfId="1" applyNumberFormat="1" applyFont="1" applyFill="1" applyBorder="1"/>
    <xf numFmtId="169" fontId="7" fillId="2" borderId="17" xfId="1" applyNumberFormat="1" applyFont="1" applyFill="1" applyBorder="1"/>
    <xf numFmtId="10" fontId="7" fillId="0" borderId="13" xfId="0" applyNumberFormat="1" applyFont="1" applyFill="1" applyBorder="1"/>
    <xf numFmtId="5" fontId="7" fillId="0" borderId="13" xfId="0" applyNumberFormat="1" applyFont="1" applyFill="1" applyBorder="1"/>
    <xf numFmtId="1" fontId="0" fillId="2" borderId="0" xfId="0" applyNumberFormat="1" applyFill="1"/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Bridger Valley Electric Association</a:t>
            </a: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'Forecast '!$A$48</c:f>
              <c:strCache>
                <c:ptCount val="1"/>
                <c:pt idx="0">
                  <c:v>Long-Term Debt</c:v>
                </c:pt>
              </c:strCache>
            </c:strRef>
          </c:tx>
          <c:invertIfNegative val="0"/>
          <c:cat>
            <c:multiLvlStrRef>
              <c:f>'Forecast '!$B$8:$H$9</c:f>
              <c:multiLvlStrCache>
                <c:ptCount val="7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  <c:lvl>
                  <c:pt idx="0">
                    <c:v>Historical</c:v>
                  </c:pt>
                  <c:pt idx="1">
                    <c:v>Historical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</c:lvl>
              </c:multiLvlStrCache>
            </c:multiLvlStrRef>
          </c:cat>
          <c:val>
            <c:numRef>
              <c:f>'Forecast '!$B$48:$H$48</c:f>
              <c:numCache>
                <c:formatCode>_(* #,##0_);_(* \(#,##0\);_(* "-"??_);_(@_)</c:formatCode>
                <c:ptCount val="7"/>
                <c:pt idx="0">
                  <c:v>6513045</c:v>
                </c:pt>
                <c:pt idx="1">
                  <c:v>6022164</c:v>
                </c:pt>
                <c:pt idx="2">
                  <c:v>5642217.1158392867</c:v>
                </c:pt>
                <c:pt idx="3">
                  <c:v>5286241.6204988435</c:v>
                </c:pt>
                <c:pt idx="4">
                  <c:v>4952725.1249950323</c:v>
                </c:pt>
                <c:pt idx="5">
                  <c:v>4640250.6591142723</c:v>
                </c:pt>
                <c:pt idx="6">
                  <c:v>4347490.6513072513</c:v>
                </c:pt>
              </c:numCache>
            </c:numRef>
          </c:val>
        </c:ser>
        <c:ser>
          <c:idx val="3"/>
          <c:order val="1"/>
          <c:tx>
            <c:strRef>
              <c:f>'Forecast '!$A$62</c:f>
              <c:strCache>
                <c:ptCount val="1"/>
                <c:pt idx="0">
                  <c:v>Total Patronage Equity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'Forecast '!$B$8:$H$9</c:f>
              <c:multiLvlStrCache>
                <c:ptCount val="7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  <c:lvl>
                  <c:pt idx="0">
                    <c:v>Historical</c:v>
                  </c:pt>
                  <c:pt idx="1">
                    <c:v>Historical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</c:lvl>
              </c:multiLvlStrCache>
            </c:multiLvlStrRef>
          </c:cat>
          <c:val>
            <c:numRef>
              <c:f>'Forecast '!$B$62:$H$62</c:f>
              <c:numCache>
                <c:formatCode>_(* #,##0_);_(* \(#,##0\);_(* "-"??_);_(@_)</c:formatCode>
                <c:ptCount val="7"/>
                <c:pt idx="0">
                  <c:v>14110148</c:v>
                </c:pt>
                <c:pt idx="1">
                  <c:v>15115167</c:v>
                </c:pt>
                <c:pt idx="2">
                  <c:v>16289212.730437873</c:v>
                </c:pt>
                <c:pt idx="3">
                  <c:v>17650211.711929627</c:v>
                </c:pt>
                <c:pt idx="4">
                  <c:v>18967674.210551605</c:v>
                </c:pt>
                <c:pt idx="5">
                  <c:v>20229099.921439447</c:v>
                </c:pt>
                <c:pt idx="6">
                  <c:v>21420426.466151021</c:v>
                </c:pt>
              </c:numCache>
            </c:numRef>
          </c:val>
        </c:ser>
        <c:ser>
          <c:idx val="4"/>
          <c:order val="2"/>
          <c:tx>
            <c:strRef>
              <c:f>'Forecast '!$A$63</c:f>
              <c:strCache>
                <c:ptCount val="1"/>
                <c:pt idx="0">
                  <c:v>Total Liabilities &amp; Equity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'Forecast '!$B$8:$H$9</c:f>
              <c:multiLvlStrCache>
                <c:ptCount val="7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  <c:lvl>
                  <c:pt idx="0">
                    <c:v>Historical</c:v>
                  </c:pt>
                  <c:pt idx="1">
                    <c:v>Historical</c:v>
                  </c:pt>
                  <c:pt idx="2">
                    <c:v>Forecast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</c:lvl>
              </c:multiLvlStrCache>
            </c:multiLvlStrRef>
          </c:cat>
          <c:val>
            <c:numRef>
              <c:f>'Forecast '!$B$63:$H$63</c:f>
              <c:numCache>
                <c:formatCode>_(* #,##0_);_(* \(#,##0\);_(* "-"??_);_(@_)</c:formatCode>
                <c:ptCount val="7"/>
                <c:pt idx="0">
                  <c:v>24100997</c:v>
                </c:pt>
                <c:pt idx="1">
                  <c:v>23606383</c:v>
                </c:pt>
                <c:pt idx="2">
                  <c:v>24278802.275371611</c:v>
                </c:pt>
                <c:pt idx="3">
                  <c:v>25317831.736560911</c:v>
                </c:pt>
                <c:pt idx="4">
                  <c:v>26339131.410247188</c:v>
                </c:pt>
                <c:pt idx="5">
                  <c:v>27328749.058333822</c:v>
                </c:pt>
                <c:pt idx="6">
                  <c:v>28271267.820179358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622904"/>
        <c:axId val="129388640"/>
      </c:barChart>
      <c:catAx>
        <c:axId val="20562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38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8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5622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Bridger Valley Electric Association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08552055993003"/>
          <c:y val="0.15776647710702835"/>
          <c:w val="0.81235892388451469"/>
          <c:h val="0.53182086614173241"/>
        </c:manualLayout>
      </c:layout>
      <c:lineChart>
        <c:grouping val="standard"/>
        <c:varyColors val="0"/>
        <c:ser>
          <c:idx val="0"/>
          <c:order val="0"/>
          <c:tx>
            <c:strRef>
              <c:f>'Forecast '!$A$78</c:f>
              <c:strCache>
                <c:ptCount val="1"/>
                <c:pt idx="0">
                  <c:v>Operating Revenues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('Financial Statements'!$D$77:$H$77,'Financial Statements'!$D$78:$H$78)</c:f>
              <c:numCache>
                <c:formatCode>_(* #,##0_);_(* \(#,##0\);_(* "-"??_);_(@_)</c:formatCode>
                <c:ptCount val="10"/>
                <c:pt idx="0">
                  <c:v>9583098</c:v>
                </c:pt>
                <c:pt idx="1">
                  <c:v>10290162</c:v>
                </c:pt>
                <c:pt idx="2">
                  <c:v>10733146</c:v>
                </c:pt>
                <c:pt idx="3">
                  <c:v>11344663</c:v>
                </c:pt>
                <c:pt idx="4">
                  <c:v>12304949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'Forecast '!$A$92</c:f>
              <c:strCache>
                <c:ptCount val="1"/>
                <c:pt idx="0">
                  <c:v>Total Operating Expenses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trendline>
            <c:trendlineType val="linear"/>
            <c:dispRSqr val="0"/>
            <c:dispEq val="0"/>
          </c:trendline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('Financial Statements'!$D$91:$H$91,'Financial Statements'!$D$93:$H$93)</c:f>
              <c:numCache>
                <c:formatCode>_(* #,##0_);_(* \(#,##0\);_(* "-"??_);_(@_)</c:formatCode>
                <c:ptCount val="10"/>
                <c:pt idx="0">
                  <c:v>8929700</c:v>
                </c:pt>
                <c:pt idx="1">
                  <c:v>9513810</c:v>
                </c:pt>
                <c:pt idx="2">
                  <c:v>9978654</c:v>
                </c:pt>
                <c:pt idx="3">
                  <c:v>10236659</c:v>
                </c:pt>
                <c:pt idx="4">
                  <c:v>11024409</c:v>
                </c:pt>
              </c:numCache>
            </c:numRef>
          </c:val>
          <c:smooth val="0"/>
        </c:ser>
        <c:ser>
          <c:idx val="4"/>
          <c:order val="2"/>
          <c:tx>
            <c:v>Operating Revenue Forecast</c:v>
          </c:tx>
          <c:spPr>
            <a:ln>
              <a:prstDash val="sysDash"/>
            </a:ln>
          </c:spPr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('Forecast '!$D$77:$H$77,'Forecast '!$D$78:$H$78)</c:f>
              <c:numCache>
                <c:formatCode>"$"#,##0_);\("$"#,##0\)</c:formatCode>
                <c:ptCount val="10"/>
                <c:pt idx="5" formatCode="_(* #,##0_);_(* \(#,##0\);_(* &quot;-&quot;??_);_(@_)">
                  <c:v>12526436.787096847</c:v>
                </c:pt>
                <c:pt idx="6" formatCode="_(* #,##0_);_(* \(#,##0\);_(* &quot;-&quot;??_);_(@_)">
                  <c:v>12955511.310006449</c:v>
                </c:pt>
                <c:pt idx="7" formatCode="_(* #,##0_);_(* \(#,##0\);_(* &quot;-&quot;??_);_(@_)">
                  <c:v>13399283.144636789</c:v>
                </c:pt>
                <c:pt idx="8" formatCode="_(* #,##0_);_(* \(#,##0\);_(* &quot;-&quot;??_);_(@_)">
                  <c:v>13858255.72561352</c:v>
                </c:pt>
                <c:pt idx="9" formatCode="_(* #,##0_);_(* \(#,##0\);_(* &quot;-&quot;??_);_(@_)">
                  <c:v>14332949.731969096</c:v>
                </c:pt>
              </c:numCache>
            </c:numRef>
          </c:val>
          <c:smooth val="0"/>
        </c:ser>
        <c:ser>
          <c:idx val="7"/>
          <c:order val="3"/>
          <c:tx>
            <c:v>Total Operating Expense Forecast</c:v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('Forecast '!$D$94:$H$94,'Forecast '!$D$92:$H$92)</c:f>
              <c:numCache>
                <c:formatCode>_(* #,##0_);_(* \(#,##0\);_(* "-"??_);_(@_)</c:formatCode>
                <c:ptCount val="10"/>
                <c:pt idx="5">
                  <c:v>11479909.859505828</c:v>
                </c:pt>
                <c:pt idx="6">
                  <c:v>11956164.665593471</c:v>
                </c:pt>
                <c:pt idx="7">
                  <c:v>12454156.865068531</c:v>
                </c:pt>
                <c:pt idx="8">
                  <c:v>12974918.287106942</c:v>
                </c:pt>
                <c:pt idx="9">
                  <c:v>13519531.609632792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79696"/>
        <c:axId val="206817304"/>
      </c:lineChart>
      <c:catAx>
        <c:axId val="2062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817304"/>
        <c:crosses val="autoZero"/>
        <c:auto val="1"/>
        <c:lblAlgn val="ctr"/>
        <c:lblOffset val="100"/>
        <c:noMultiLvlLbl val="0"/>
      </c:catAx>
      <c:valAx>
        <c:axId val="206817304"/>
        <c:scaling>
          <c:orientation val="minMax"/>
          <c:min val="8000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06279696"/>
        <c:crosses val="autoZero"/>
        <c:crossBetween val="between"/>
        <c:majorUnit val="2000000"/>
        <c:minorUnit val="1000000"/>
        <c:dispUnits>
          <c:builtInUnit val="thousands"/>
          <c:dispUnitsLbl>
            <c:layout>
              <c:manualLayout>
                <c:xMode val="edge"/>
                <c:yMode val="edge"/>
                <c:x val="6.1248906386701663E-3"/>
                <c:y val="0.22721092155147277"/>
              </c:manualLayout>
            </c:layout>
          </c:dispUnitsLbl>
        </c:dispUnits>
      </c:valAx>
    </c:plotArea>
    <c:legend>
      <c:legendPos val="b"/>
      <c:layout>
        <c:manualLayout>
          <c:xMode val="edge"/>
          <c:yMode val="edge"/>
          <c:x val="3.0340113735783016E-2"/>
          <c:y val="0.79630796150481187"/>
          <c:w val="0.94487510936132979"/>
          <c:h val="0.175914260717410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Bridger Valley Electric Association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08552055993008"/>
          <c:y val="0.15776647710702849"/>
          <c:w val="0.81235892388451469"/>
          <c:h val="0.55033938466025067"/>
        </c:manualLayout>
      </c:layout>
      <c:lineChart>
        <c:grouping val="standard"/>
        <c:varyColors val="0"/>
        <c:ser>
          <c:idx val="0"/>
          <c:order val="0"/>
          <c:tx>
            <c:strRef>
              <c:f>'Forecast '!$A$78</c:f>
              <c:strCache>
                <c:ptCount val="1"/>
                <c:pt idx="0">
                  <c:v>Operating Revenues</c:v>
                </c:pt>
              </c:strCache>
            </c:strRef>
          </c:tx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('Financial Statements'!$D$77:$H$77,'Financial Statements'!$D$78:$H$78)</c:f>
              <c:numCache>
                <c:formatCode>_(* #,##0_);_(* \(#,##0\);_(* "-"??_);_(@_)</c:formatCode>
                <c:ptCount val="10"/>
                <c:pt idx="0">
                  <c:v>9583098</c:v>
                </c:pt>
                <c:pt idx="1">
                  <c:v>10290162</c:v>
                </c:pt>
                <c:pt idx="2">
                  <c:v>10733146</c:v>
                </c:pt>
                <c:pt idx="3">
                  <c:v>11344663</c:v>
                </c:pt>
                <c:pt idx="4">
                  <c:v>12304949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'Forecast '!$A$92</c:f>
              <c:strCache>
                <c:ptCount val="1"/>
                <c:pt idx="0">
                  <c:v>Total Operating Expenses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('Financial Statements'!$D$91:$H$91,'Financial Statements'!$D$93:$H$93)</c:f>
              <c:numCache>
                <c:formatCode>_(* #,##0_);_(* \(#,##0\);_(* "-"??_);_(@_)</c:formatCode>
                <c:ptCount val="10"/>
                <c:pt idx="0">
                  <c:v>8929700</c:v>
                </c:pt>
                <c:pt idx="1">
                  <c:v>9513810</c:v>
                </c:pt>
                <c:pt idx="2">
                  <c:v>9978654</c:v>
                </c:pt>
                <c:pt idx="3">
                  <c:v>10236659</c:v>
                </c:pt>
                <c:pt idx="4">
                  <c:v>11024409</c:v>
                </c:pt>
              </c:numCache>
            </c:numRef>
          </c:val>
          <c:smooth val="0"/>
        </c:ser>
        <c:ser>
          <c:idx val="4"/>
          <c:order val="2"/>
          <c:tx>
            <c:v>Operating Revenue Forecast</c:v>
          </c:tx>
          <c:spPr>
            <a:ln>
              <a:prstDash val="sysDash"/>
            </a:ln>
          </c:spPr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('Forecast '!$D$77:$H$77,'Forecast '!$D$78:$H$78)</c:f>
              <c:numCache>
                <c:formatCode>"$"#,##0_);\("$"#,##0\)</c:formatCode>
                <c:ptCount val="10"/>
                <c:pt idx="5" formatCode="_(* #,##0_);_(* \(#,##0\);_(* &quot;-&quot;??_);_(@_)">
                  <c:v>12526436.787096847</c:v>
                </c:pt>
                <c:pt idx="6" formatCode="_(* #,##0_);_(* \(#,##0\);_(* &quot;-&quot;??_);_(@_)">
                  <c:v>12955511.310006449</c:v>
                </c:pt>
                <c:pt idx="7" formatCode="_(* #,##0_);_(* \(#,##0\);_(* &quot;-&quot;??_);_(@_)">
                  <c:v>13399283.144636789</c:v>
                </c:pt>
                <c:pt idx="8" formatCode="_(* #,##0_);_(* \(#,##0\);_(* &quot;-&quot;??_);_(@_)">
                  <c:v>13858255.72561352</c:v>
                </c:pt>
                <c:pt idx="9" formatCode="_(* #,##0_);_(* \(#,##0\);_(* &quot;-&quot;??_);_(@_)">
                  <c:v>14332949.731969096</c:v>
                </c:pt>
              </c:numCache>
            </c:numRef>
          </c:val>
          <c:smooth val="0"/>
        </c:ser>
        <c:ser>
          <c:idx val="7"/>
          <c:order val="3"/>
          <c:tx>
            <c:v>Total Operating Expense Forecast</c:v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('Forecast '!$D$94:$H$94,'Forecast '!$D$92:$H$92)</c:f>
              <c:numCache>
                <c:formatCode>_(* #,##0_);_(* \(#,##0\);_(* "-"??_);_(@_)</c:formatCode>
                <c:ptCount val="10"/>
                <c:pt idx="5">
                  <c:v>11479909.859505828</c:v>
                </c:pt>
                <c:pt idx="6">
                  <c:v>11956164.665593471</c:v>
                </c:pt>
                <c:pt idx="7">
                  <c:v>12454156.865068531</c:v>
                </c:pt>
                <c:pt idx="8">
                  <c:v>12974918.287106942</c:v>
                </c:pt>
                <c:pt idx="9">
                  <c:v>13519531.609632792</c:v>
                </c:pt>
              </c:numCache>
            </c:numRef>
          </c:val>
          <c:smooth val="0"/>
        </c:ser>
        <c:ser>
          <c:idx val="1"/>
          <c:order val="4"/>
          <c:tx>
            <c:v>Purchased Power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rgbClr val="9BBB59">
                    <a:lumMod val="75000"/>
                  </a:srgbClr>
                </a:solidFill>
              </a:ln>
            </c:spPr>
          </c:marker>
          <c:val>
            <c:numRef>
              <c:f>('Financial Statements'!$D$82:$H$82,'Financial Statements'!$D$81:$H$81)</c:f>
              <c:numCache>
                <c:formatCode>_(* #,##0_);_(* \(#,##0\);_(* "-"??_);_(@_)</c:formatCode>
                <c:ptCount val="10"/>
                <c:pt idx="0">
                  <c:v>4251305</c:v>
                </c:pt>
                <c:pt idx="1">
                  <c:v>4877371</c:v>
                </c:pt>
                <c:pt idx="2">
                  <c:v>5159703</c:v>
                </c:pt>
                <c:pt idx="3">
                  <c:v>5388895</c:v>
                </c:pt>
                <c:pt idx="4">
                  <c:v>6027011</c:v>
                </c:pt>
              </c:numCache>
            </c:numRef>
          </c:val>
          <c:smooth val="0"/>
        </c:ser>
        <c:ser>
          <c:idx val="2"/>
          <c:order val="5"/>
          <c:tx>
            <c:v>Purchased Power Forecast</c:v>
          </c:tx>
          <c:spPr>
            <a:ln>
              <a:solidFill>
                <a:srgbClr val="92D050"/>
              </a:solidFill>
              <a:prstDash val="lg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('Forecast '!$D$82:$H$82,'Forecast '!$D$83:$H$83)</c:f>
              <c:numCache>
                <c:formatCode>_(* #,##0_);_(* \(#,##0\);_(* "-"??_);_(@_)</c:formatCode>
                <c:ptCount val="10"/>
                <c:pt idx="5">
                  <c:v>6284915.3088893509</c:v>
                </c:pt>
                <c:pt idx="6">
                  <c:v>6553855.7072339375</c:v>
                </c:pt>
                <c:pt idx="7">
                  <c:v>6834304.4448809559</c:v>
                </c:pt>
                <c:pt idx="8">
                  <c:v>7126753.9799152277</c:v>
                </c:pt>
                <c:pt idx="9">
                  <c:v>7431717.8433982152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40928"/>
        <c:axId val="206885432"/>
      </c:lineChart>
      <c:catAx>
        <c:axId val="2069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885432"/>
        <c:crosses val="autoZero"/>
        <c:auto val="1"/>
        <c:lblAlgn val="ctr"/>
        <c:lblOffset val="100"/>
        <c:noMultiLvlLbl val="0"/>
      </c:catAx>
      <c:valAx>
        <c:axId val="206885432"/>
        <c:scaling>
          <c:orientation val="minMax"/>
          <c:max val="16000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06940928"/>
        <c:crosses val="autoZero"/>
        <c:crossBetween val="between"/>
        <c:majorUnit val="2000000"/>
        <c:minorUnit val="1000000"/>
        <c:dispUnits>
          <c:builtInUnit val="thousands"/>
          <c:dispUnitsLbl>
            <c:layout>
              <c:manualLayout>
                <c:xMode val="edge"/>
                <c:yMode val="edge"/>
                <c:x val="6.1248906386701663E-3"/>
                <c:y val="0.22721092155147288"/>
              </c:manualLayout>
            </c:layout>
          </c:dispUnitsLbl>
        </c:dispUnits>
      </c:valAx>
    </c:plotArea>
    <c:legend>
      <c:legendPos val="b"/>
      <c:layout>
        <c:manualLayout>
          <c:xMode val="edge"/>
          <c:yMode val="edge"/>
          <c:x val="3.0340113735783016E-2"/>
          <c:y val="0.79630796150481187"/>
          <c:w val="0.95219444444444457"/>
          <c:h val="0.203692038495188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Bridger Valley Electric Association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08552055993014"/>
          <c:y val="0.1577664771070286"/>
          <c:w val="0.81235892388451469"/>
          <c:h val="0.55033938466025056"/>
        </c:manualLayout>
      </c:layout>
      <c:lineChart>
        <c:grouping val="standard"/>
        <c:varyColors val="0"/>
        <c:ser>
          <c:idx val="0"/>
          <c:order val="0"/>
          <c:tx>
            <c:strRef>
              <c:f>'Forecast '!$A$105</c:f>
              <c:strCache>
                <c:ptCount val="1"/>
                <c:pt idx="0">
                  <c:v>Net Margin</c:v>
                </c:pt>
              </c:strCache>
            </c:strRef>
          </c:tx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('Financial Statements'!$D$103:$H$103,'Financial Statements'!$D$104:$H$104)</c:f>
              <c:numCache>
                <c:formatCode>_(* #,##0_);_(* \(#,##0\);_(* "-"??_);_(@_)</c:formatCode>
                <c:ptCount val="10"/>
                <c:pt idx="0">
                  <c:v>539948</c:v>
                </c:pt>
                <c:pt idx="1">
                  <c:v>720522</c:v>
                </c:pt>
                <c:pt idx="2">
                  <c:v>719150</c:v>
                </c:pt>
                <c:pt idx="3">
                  <c:v>1101341</c:v>
                </c:pt>
                <c:pt idx="4">
                  <c:v>1308605</c:v>
                </c:pt>
              </c:numCache>
            </c:numRef>
          </c:val>
          <c:smooth val="0"/>
        </c:ser>
        <c:ser>
          <c:idx val="4"/>
          <c:order val="1"/>
          <c:tx>
            <c:v>Net Margin Forecast</c:v>
          </c:tx>
          <c:spPr>
            <a:ln>
              <a:prstDash val="sysDash"/>
            </a:ln>
          </c:spPr>
          <c:cat>
            <c:numRef>
              <c:f>'Forecast '!$K$7:$T$7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('Forecast '!$D$106:$H$106,'Forecast '!$D$105:$H$105)</c:f>
              <c:numCache>
                <c:formatCode>_(* #,##0_);_(* \(#,##0\);_(* "-"??_);_(@_)</c:formatCode>
                <c:ptCount val="10"/>
                <c:pt idx="5">
                  <c:v>1078595.4279740963</c:v>
                </c:pt>
                <c:pt idx="6">
                  <c:v>1068155.4803901787</c:v>
                </c:pt>
                <c:pt idx="7">
                  <c:v>1033986.6577793786</c:v>
                </c:pt>
                <c:pt idx="8">
                  <c:v>990007.19656547008</c:v>
                </c:pt>
                <c:pt idx="9">
                  <c:v>934991.13150093378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0896"/>
        <c:axId val="205307704"/>
      </c:lineChart>
      <c:catAx>
        <c:axId val="2067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07704"/>
        <c:crosses val="autoZero"/>
        <c:auto val="1"/>
        <c:lblAlgn val="ctr"/>
        <c:lblOffset val="100"/>
        <c:noMultiLvlLbl val="0"/>
      </c:catAx>
      <c:valAx>
        <c:axId val="2053077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067608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1248906386701663E-3"/>
                <c:y val="0.22721092155147296"/>
              </c:manualLayout>
            </c:layout>
          </c:dispUnitsLbl>
        </c:dispUnits>
      </c:valAx>
    </c:plotArea>
    <c:legend>
      <c:legendPos val="b"/>
      <c:layout>
        <c:manualLayout>
          <c:xMode val="edge"/>
          <c:yMode val="edge"/>
          <c:x val="3.0340113735783016E-2"/>
          <c:y val="0.79630796150481187"/>
          <c:w val="0.9521944444444449"/>
          <c:h val="0.203692038495188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142875</xdr:rowOff>
    </xdr:from>
    <xdr:to>
      <xdr:col>7</xdr:col>
      <xdr:colOff>476250</xdr:colOff>
      <xdr:row>17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19</xdr:row>
      <xdr:rowOff>28575</xdr:rowOff>
    </xdr:from>
    <xdr:to>
      <xdr:col>7</xdr:col>
      <xdr:colOff>485775</xdr:colOff>
      <xdr:row>36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37</xdr:row>
      <xdr:rowOff>85725</xdr:rowOff>
    </xdr:from>
    <xdr:to>
      <xdr:col>7</xdr:col>
      <xdr:colOff>504825</xdr:colOff>
      <xdr:row>54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Questar\QUESTAR%20GAS%20Financial%20Forecasting%20Exhib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- Exhibit 1"/>
      <sheetName val="Historical CF - Exhibit 1B"/>
    </sheetNames>
    <sheetDataSet>
      <sheetData sheetId="0">
        <row r="5">
          <cell r="A5" t="str">
            <v>Years Ended December 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6"/>
  <sheetViews>
    <sheetView showGridLines="0" zoomScaleNormal="100" workbookViewId="0">
      <selection activeCell="S105" sqref="S105"/>
    </sheetView>
  </sheetViews>
  <sheetFormatPr defaultColWidth="13.7109375" defaultRowHeight="12.75" x14ac:dyDescent="0.2"/>
  <cols>
    <col min="1" max="1" width="31.140625" customWidth="1"/>
    <col min="2" max="3" width="13.7109375" hidden="1" customWidth="1"/>
    <col min="4" max="8" width="13.7109375" customWidth="1"/>
    <col min="9" max="9" width="11.140625" style="1" customWidth="1"/>
    <col min="10" max="10" width="31.140625" customWidth="1"/>
    <col min="11" max="11" width="11.5703125" hidden="1" customWidth="1"/>
    <col min="12" max="12" width="11.7109375" hidden="1" customWidth="1"/>
    <col min="13" max="18" width="11.7109375" customWidth="1"/>
  </cols>
  <sheetData>
    <row r="1" spans="1:24" x14ac:dyDescent="0.2">
      <c r="I1" s="194" t="s">
        <v>98</v>
      </c>
      <c r="R1" s="194" t="s">
        <v>98</v>
      </c>
    </row>
    <row r="2" spans="1:24" x14ac:dyDescent="0.2">
      <c r="I2" s="173" t="s">
        <v>161</v>
      </c>
      <c r="R2" s="173" t="s">
        <v>159</v>
      </c>
    </row>
    <row r="3" spans="1:24" ht="18" x14ac:dyDescent="0.25">
      <c r="A3" s="76" t="str">
        <f>Assumptions!D3</f>
        <v>Bridger Valley Electric Association, Inc.</v>
      </c>
      <c r="B3" s="76"/>
      <c r="C3" s="4"/>
      <c r="D3" s="4"/>
      <c r="E3" s="4"/>
      <c r="F3" s="4"/>
      <c r="G3" s="4"/>
      <c r="H3" s="4"/>
      <c r="I3" s="5"/>
      <c r="J3" s="76" t="str">
        <f>+A3</f>
        <v>Bridger Valley Electric Association, Inc.</v>
      </c>
      <c r="K3" s="76"/>
      <c r="L3" s="4"/>
      <c r="M3" s="4"/>
      <c r="N3" s="4"/>
      <c r="O3" s="4"/>
      <c r="P3" s="4"/>
      <c r="Q3" s="4"/>
      <c r="R3" s="5"/>
    </row>
    <row r="4" spans="1:24" ht="15.75" x14ac:dyDescent="0.25">
      <c r="A4" s="77" t="s">
        <v>61</v>
      </c>
      <c r="B4" s="77"/>
      <c r="C4" s="4"/>
      <c r="D4" s="4"/>
      <c r="E4" s="4"/>
      <c r="F4" s="4"/>
      <c r="G4" s="4"/>
      <c r="H4" s="4"/>
      <c r="I4" s="5"/>
      <c r="J4" s="77" t="s">
        <v>60</v>
      </c>
      <c r="K4" s="77"/>
      <c r="L4" s="4"/>
      <c r="M4" s="4"/>
      <c r="N4" s="4"/>
      <c r="O4" s="4"/>
      <c r="P4" s="4"/>
      <c r="Q4" s="4"/>
      <c r="R4" s="5"/>
    </row>
    <row r="5" spans="1:24" ht="15.75" x14ac:dyDescent="0.25">
      <c r="A5" s="78" t="s">
        <v>96</v>
      </c>
      <c r="B5" s="78"/>
      <c r="C5" s="4"/>
      <c r="D5" s="4"/>
      <c r="E5" s="4"/>
      <c r="F5" s="4"/>
      <c r="G5" s="4"/>
      <c r="H5" s="4"/>
      <c r="I5" s="5"/>
      <c r="J5" s="78" t="s">
        <v>207</v>
      </c>
      <c r="K5" s="78"/>
      <c r="L5" s="4"/>
      <c r="M5" s="4"/>
      <c r="N5" s="4"/>
      <c r="O5" s="4"/>
      <c r="P5" s="4"/>
      <c r="Q5" s="4"/>
      <c r="R5" s="5"/>
    </row>
    <row r="6" spans="1:24" x14ac:dyDescent="0.2">
      <c r="A6" s="61"/>
      <c r="B6" s="61"/>
      <c r="C6" s="53"/>
      <c r="D6" s="53"/>
      <c r="E6" s="53"/>
      <c r="F6" s="53"/>
      <c r="I6" s="54"/>
      <c r="J6" s="61"/>
      <c r="K6" s="61"/>
      <c r="L6" s="53"/>
      <c r="M6" s="53"/>
      <c r="N6" s="53"/>
      <c r="O6" s="53"/>
      <c r="P6" s="53"/>
      <c r="Q6" s="53"/>
      <c r="R6" s="54"/>
    </row>
    <row r="7" spans="1:24" x14ac:dyDescent="0.2">
      <c r="A7" s="53"/>
      <c r="B7" s="53"/>
      <c r="C7" s="53"/>
      <c r="D7" s="53"/>
      <c r="E7" s="53"/>
      <c r="F7" s="53"/>
      <c r="G7" s="53"/>
      <c r="H7" s="53"/>
      <c r="I7" s="197" t="s">
        <v>234</v>
      </c>
      <c r="J7" s="53"/>
      <c r="K7" s="53"/>
      <c r="L7" s="53"/>
      <c r="M7" s="53"/>
      <c r="N7" s="53"/>
      <c r="O7" s="53"/>
      <c r="P7" s="53"/>
      <c r="Q7" s="53"/>
    </row>
    <row r="8" spans="1:24" x14ac:dyDescent="0.2">
      <c r="A8" s="30"/>
      <c r="B8" s="30"/>
      <c r="C8" s="30"/>
      <c r="D8" s="56"/>
      <c r="E8" s="57"/>
      <c r="F8" s="57"/>
      <c r="G8" s="203"/>
      <c r="H8" s="203"/>
      <c r="I8" s="122" t="s">
        <v>6</v>
      </c>
      <c r="J8" s="30"/>
      <c r="K8" s="30"/>
      <c r="L8" s="30"/>
      <c r="M8" s="56"/>
      <c r="N8" s="57"/>
      <c r="O8" s="57"/>
      <c r="P8" s="58"/>
      <c r="Q8" s="58"/>
      <c r="R8" s="55" t="s">
        <v>234</v>
      </c>
    </row>
    <row r="9" spans="1:24" x14ac:dyDescent="0.2">
      <c r="A9" s="59" t="s">
        <v>1</v>
      </c>
      <c r="B9" s="195">
        <v>2007</v>
      </c>
      <c r="C9" s="195">
        <v>2008</v>
      </c>
      <c r="D9" s="195">
        <v>2009</v>
      </c>
      <c r="E9" s="60">
        <v>2010</v>
      </c>
      <c r="F9" s="60">
        <v>2011</v>
      </c>
      <c r="G9" s="60">
        <v>2012</v>
      </c>
      <c r="H9" s="60">
        <f>+G9+1</f>
        <v>2013</v>
      </c>
      <c r="I9" s="123" t="s">
        <v>35</v>
      </c>
      <c r="J9" s="59" t="s">
        <v>1</v>
      </c>
      <c r="K9" s="59">
        <v>2007</v>
      </c>
      <c r="L9" s="59">
        <v>2008</v>
      </c>
      <c r="M9" s="59">
        <v>2009</v>
      </c>
      <c r="N9" s="60">
        <v>2010</v>
      </c>
      <c r="O9" s="60">
        <v>2011</v>
      </c>
      <c r="P9" s="60">
        <v>2012</v>
      </c>
      <c r="Q9" s="60">
        <f>+P9+1</f>
        <v>2013</v>
      </c>
      <c r="R9" s="123" t="s">
        <v>208</v>
      </c>
      <c r="S9" s="231">
        <f>+Q9+1</f>
        <v>2014</v>
      </c>
      <c r="T9" s="23">
        <f>+S9+1</f>
        <v>2015</v>
      </c>
      <c r="U9" s="23">
        <f t="shared" ref="U9:X9" si="0">+T9+1</f>
        <v>2016</v>
      </c>
      <c r="V9" s="23">
        <f t="shared" si="0"/>
        <v>2017</v>
      </c>
      <c r="W9" s="23">
        <f t="shared" si="0"/>
        <v>2018</v>
      </c>
      <c r="X9" s="23">
        <f t="shared" si="0"/>
        <v>2019</v>
      </c>
    </row>
    <row r="10" spans="1:24" ht="7.5" customHeight="1" x14ac:dyDescent="0.2">
      <c r="A10" s="53"/>
      <c r="B10" s="53"/>
      <c r="C10" s="53"/>
      <c r="D10" s="53"/>
      <c r="E10" s="53"/>
      <c r="F10" s="53"/>
      <c r="G10" s="53"/>
      <c r="H10" s="53"/>
      <c r="I10" s="54"/>
    </row>
    <row r="11" spans="1:24" x14ac:dyDescent="0.2">
      <c r="A11" s="51" t="s">
        <v>10</v>
      </c>
      <c r="B11" s="30"/>
      <c r="C11" s="30"/>
      <c r="D11" s="30"/>
      <c r="E11" s="30"/>
      <c r="F11" s="30"/>
      <c r="G11" s="30"/>
      <c r="H11" s="30"/>
      <c r="I11" s="63"/>
      <c r="J11" s="51" t="str">
        <f>+A11</f>
        <v>Current Assets:</v>
      </c>
    </row>
    <row r="12" spans="1:24" x14ac:dyDescent="0.2">
      <c r="A12" s="30" t="s">
        <v>7</v>
      </c>
      <c r="B12" s="98">
        <v>77256</v>
      </c>
      <c r="C12" s="98">
        <v>101763</v>
      </c>
      <c r="D12" s="138">
        <v>378689</v>
      </c>
      <c r="E12" s="138">
        <v>523304</v>
      </c>
      <c r="F12" s="138">
        <v>320028</v>
      </c>
      <c r="G12" s="138">
        <v>1403437</v>
      </c>
      <c r="H12" s="138">
        <v>888897</v>
      </c>
      <c r="I12" s="63">
        <f>RATE(5,,-C12,H12)</f>
        <v>0.54259637964730278</v>
      </c>
      <c r="J12" t="str">
        <f t="shared" ref="J12:J65" si="1">+A12</f>
        <v>Cash &amp; Equivalents</v>
      </c>
      <c r="K12" s="96">
        <f>+B12/B$38</f>
        <v>3.9788962343251391E-3</v>
      </c>
      <c r="L12" s="96">
        <f>+C12/C$38</f>
        <v>5.2208038384910678E-3</v>
      </c>
      <c r="M12" s="96">
        <f t="shared" ref="M12:Q18" si="2">+D12/D$38</f>
        <v>1.8628526745231778E-2</v>
      </c>
      <c r="N12" s="96">
        <f t="shared" si="2"/>
        <v>2.6018052303392932E-2</v>
      </c>
      <c r="O12" s="96">
        <f t="shared" si="2"/>
        <v>1.5516575294963683E-2</v>
      </c>
      <c r="P12" s="96">
        <f t="shared" si="2"/>
        <v>5.8231491419213903E-2</v>
      </c>
      <c r="Q12" s="96">
        <f t="shared" si="2"/>
        <v>3.7654942733073508E-2</v>
      </c>
      <c r="R12" s="63">
        <f>SUM(D12:H12)/SUM(D$38:H$38)</f>
        <v>3.2308822386998344E-2</v>
      </c>
    </row>
    <row r="13" spans="1:24" x14ac:dyDescent="0.2">
      <c r="A13" s="65" t="s">
        <v>204</v>
      </c>
      <c r="B13" s="98">
        <v>874465</v>
      </c>
      <c r="C13" s="98">
        <v>849456</v>
      </c>
      <c r="D13" s="98">
        <v>1348123</v>
      </c>
      <c r="E13" s="98">
        <v>1149021</v>
      </c>
      <c r="F13" s="98">
        <v>1229750</v>
      </c>
      <c r="G13" s="98">
        <v>1364129</v>
      </c>
      <c r="H13" s="98">
        <v>1509793</v>
      </c>
      <c r="I13" s="63">
        <f t="shared" ref="I13:I18" si="3">RATE(5,,-C13,H13)</f>
        <v>0.1219029858013146</v>
      </c>
      <c r="J13" t="str">
        <f t="shared" si="1"/>
        <v>Accounts Receivable - Customers</v>
      </c>
      <c r="K13" s="96">
        <f t="shared" ref="K13:L18" si="4">+B13/B$38</f>
        <v>4.5037349792237918E-2</v>
      </c>
      <c r="L13" s="96">
        <f t="shared" si="4"/>
        <v>4.3580114043702219E-2</v>
      </c>
      <c r="M13" s="96">
        <f t="shared" si="2"/>
        <v>6.6317071162252147E-2</v>
      </c>
      <c r="N13" s="96">
        <f t="shared" si="2"/>
        <v>5.7127957125680001E-2</v>
      </c>
      <c r="O13" s="96">
        <f t="shared" si="2"/>
        <v>5.962449682209553E-2</v>
      </c>
      <c r="P13" s="96">
        <f t="shared" si="2"/>
        <v>5.6600521546888702E-2</v>
      </c>
      <c r="Q13" s="96">
        <f t="shared" si="2"/>
        <v>6.3956981465563778E-2</v>
      </c>
      <c r="R13" s="63">
        <f t="shared" ref="R13:R18" si="5">SUM(D13:H13)/SUM(D$38:H$38)</f>
        <v>6.0683850024615293E-2</v>
      </c>
    </row>
    <row r="14" spans="1:24" x14ac:dyDescent="0.2">
      <c r="A14" s="65" t="s">
        <v>205</v>
      </c>
      <c r="B14" s="188"/>
      <c r="C14" s="188"/>
      <c r="D14" s="188"/>
      <c r="E14" s="188"/>
      <c r="F14" s="188"/>
      <c r="G14" s="188"/>
      <c r="H14" s="188"/>
      <c r="I14" s="63"/>
      <c r="J14" t="str">
        <f t="shared" si="1"/>
        <v>Accounts Receivable - Other</v>
      </c>
      <c r="K14" s="206">
        <f t="shared" si="4"/>
        <v>0</v>
      </c>
      <c r="L14" s="206">
        <f t="shared" si="4"/>
        <v>0</v>
      </c>
      <c r="M14" s="206">
        <f t="shared" si="2"/>
        <v>0</v>
      </c>
      <c r="N14" s="206">
        <f t="shared" si="2"/>
        <v>0</v>
      </c>
      <c r="O14" s="206">
        <f t="shared" si="2"/>
        <v>0</v>
      </c>
      <c r="P14" s="206">
        <f t="shared" si="2"/>
        <v>0</v>
      </c>
      <c r="Q14" s="206">
        <f t="shared" si="2"/>
        <v>0</v>
      </c>
      <c r="R14" s="63">
        <f t="shared" si="5"/>
        <v>0</v>
      </c>
    </row>
    <row r="15" spans="1:24" x14ac:dyDescent="0.2">
      <c r="A15" s="66" t="s">
        <v>163</v>
      </c>
      <c r="B15" s="98">
        <v>395244</v>
      </c>
      <c r="C15" s="98">
        <v>340312</v>
      </c>
      <c r="D15" s="98">
        <v>336024</v>
      </c>
      <c r="E15" s="98">
        <v>380589</v>
      </c>
      <c r="F15" s="98">
        <v>444788</v>
      </c>
      <c r="G15" s="98">
        <v>367195</v>
      </c>
      <c r="H15" s="98">
        <v>453271</v>
      </c>
      <c r="I15" s="63">
        <f t="shared" si="3"/>
        <v>5.9000424367497549E-2</v>
      </c>
      <c r="J15" t="str">
        <f t="shared" si="1"/>
        <v>Material and Supplies</v>
      </c>
      <c r="K15" s="96">
        <f t="shared" si="4"/>
        <v>2.0356151797136859E-2</v>
      </c>
      <c r="L15" s="96">
        <f t="shared" si="4"/>
        <v>1.7459215981098949E-2</v>
      </c>
      <c r="M15" s="96">
        <f t="shared" si="2"/>
        <v>1.6529743591812182E-2</v>
      </c>
      <c r="N15" s="96">
        <f t="shared" si="2"/>
        <v>1.8922432291929761E-2</v>
      </c>
      <c r="O15" s="96">
        <f t="shared" si="2"/>
        <v>2.1565570800980871E-2</v>
      </c>
      <c r="P15" s="96">
        <f t="shared" si="2"/>
        <v>1.5235676764741309E-2</v>
      </c>
      <c r="Q15" s="96">
        <f t="shared" si="2"/>
        <v>1.9201205030012432E-2</v>
      </c>
      <c r="R15" s="63">
        <f t="shared" si="5"/>
        <v>1.822006851830656E-2</v>
      </c>
    </row>
    <row r="16" spans="1:24" x14ac:dyDescent="0.2">
      <c r="A16" s="66" t="s">
        <v>230</v>
      </c>
      <c r="B16" s="98">
        <v>156726</v>
      </c>
      <c r="C16" s="98">
        <v>166807</v>
      </c>
      <c r="D16" s="98">
        <v>162306</v>
      </c>
      <c r="E16" s="98"/>
      <c r="F16" s="98"/>
      <c r="G16" s="98"/>
      <c r="H16" s="98"/>
      <c r="I16" s="63"/>
      <c r="J16" t="str">
        <f t="shared" si="1"/>
        <v>Note Receivable, due within one year</v>
      </c>
      <c r="K16" s="96"/>
      <c r="L16" s="96"/>
      <c r="M16" s="96"/>
      <c r="N16" s="96"/>
      <c r="O16" s="96"/>
      <c r="P16" s="96"/>
      <c r="Q16" s="96"/>
      <c r="R16" s="63">
        <f t="shared" si="5"/>
        <v>1.4921417234013505E-3</v>
      </c>
    </row>
    <row r="17" spans="1:18" x14ac:dyDescent="0.2">
      <c r="A17" s="30" t="s">
        <v>34</v>
      </c>
      <c r="B17" s="98">
        <v>31814</v>
      </c>
      <c r="C17" s="98">
        <v>29304</v>
      </c>
      <c r="D17" s="98">
        <v>48641</v>
      </c>
      <c r="E17" s="99">
        <v>44195</v>
      </c>
      <c r="F17" s="99">
        <v>46114</v>
      </c>
      <c r="G17" s="124">
        <v>52618</v>
      </c>
      <c r="H17" s="124">
        <v>63692</v>
      </c>
      <c r="I17" s="67">
        <f t="shared" si="3"/>
        <v>0.16796975351031537</v>
      </c>
      <c r="J17" t="str">
        <f t="shared" si="1"/>
        <v>Other Current Assets</v>
      </c>
      <c r="K17" s="192">
        <f t="shared" si="4"/>
        <v>1.6385083980379514E-3</v>
      </c>
      <c r="L17" s="192">
        <f t="shared" si="4"/>
        <v>1.5033994249692153E-3</v>
      </c>
      <c r="M17" s="192">
        <f t="shared" si="2"/>
        <v>2.3927554521383483E-3</v>
      </c>
      <c r="N17" s="192">
        <f t="shared" si="2"/>
        <v>2.1973228210532512E-3</v>
      </c>
      <c r="O17" s="192">
        <f t="shared" si="2"/>
        <v>2.2358398426136315E-3</v>
      </c>
      <c r="P17" s="192">
        <f t="shared" si="2"/>
        <v>2.1832291834234076E-3</v>
      </c>
      <c r="Q17" s="192">
        <f t="shared" si="2"/>
        <v>2.6980838191094331E-3</v>
      </c>
      <c r="R17" s="67">
        <f t="shared" si="5"/>
        <v>2.3467037343993984E-3</v>
      </c>
    </row>
    <row r="18" spans="1:18" x14ac:dyDescent="0.2">
      <c r="A18" s="30" t="s">
        <v>51</v>
      </c>
      <c r="B18" s="135">
        <f t="shared" ref="B18:H18" si="6">SUM(B11:B17)</f>
        <v>1535505</v>
      </c>
      <c r="C18" s="135">
        <f t="shared" si="6"/>
        <v>1487642</v>
      </c>
      <c r="D18" s="135">
        <f t="shared" si="6"/>
        <v>2273783</v>
      </c>
      <c r="E18" s="135">
        <f t="shared" si="6"/>
        <v>2097109</v>
      </c>
      <c r="F18" s="135">
        <f t="shared" si="6"/>
        <v>2040680</v>
      </c>
      <c r="G18" s="135">
        <f t="shared" si="6"/>
        <v>3187379</v>
      </c>
      <c r="H18" s="135">
        <f t="shared" si="6"/>
        <v>2915653</v>
      </c>
      <c r="I18" s="63">
        <f t="shared" si="3"/>
        <v>0.14405652130719065</v>
      </c>
      <c r="J18" t="str">
        <f t="shared" si="1"/>
        <v>Total Current Assets</v>
      </c>
      <c r="K18" s="96">
        <f t="shared" si="4"/>
        <v>7.9082725772592705E-2</v>
      </c>
      <c r="L18" s="96">
        <f t="shared" si="4"/>
        <v>7.6321325667487491E-2</v>
      </c>
      <c r="M18" s="96">
        <f t="shared" si="2"/>
        <v>0.11185227832958801</v>
      </c>
      <c r="N18" s="96">
        <f t="shared" si="2"/>
        <v>0.10426576454205595</v>
      </c>
      <c r="O18" s="96">
        <f t="shared" si="2"/>
        <v>9.8942482760653719E-2</v>
      </c>
      <c r="P18" s="96">
        <f t="shared" si="2"/>
        <v>0.13225091891426732</v>
      </c>
      <c r="Q18" s="96">
        <f t="shared" si="2"/>
        <v>0.12351121304775915</v>
      </c>
      <c r="R18" s="63">
        <f t="shared" si="5"/>
        <v>0.11505158638772095</v>
      </c>
    </row>
    <row r="19" spans="1:18" x14ac:dyDescent="0.2">
      <c r="A19" s="30"/>
      <c r="B19" s="98"/>
      <c r="C19" s="98"/>
      <c r="D19" s="98"/>
      <c r="E19" s="98"/>
      <c r="F19" s="98"/>
      <c r="G19" s="98"/>
      <c r="H19" s="98"/>
      <c r="I19" s="63"/>
      <c r="K19" s="98"/>
      <c r="L19" s="98"/>
      <c r="M19" s="98"/>
      <c r="N19" s="98"/>
      <c r="O19" s="98"/>
      <c r="P19" s="98"/>
      <c r="Q19" s="98"/>
    </row>
    <row r="20" spans="1:18" x14ac:dyDescent="0.2">
      <c r="A20" s="51" t="s">
        <v>36</v>
      </c>
      <c r="B20" s="30"/>
      <c r="C20" s="30"/>
      <c r="D20" s="30"/>
      <c r="E20" s="30"/>
      <c r="F20" s="30"/>
      <c r="G20" s="30"/>
      <c r="H20" s="30"/>
      <c r="I20" s="63"/>
      <c r="J20" s="51" t="str">
        <f t="shared" si="1"/>
        <v>Plant &amp; Equipment:</v>
      </c>
      <c r="K20" s="30"/>
      <c r="L20" s="30"/>
      <c r="M20" s="30"/>
      <c r="N20" s="30"/>
      <c r="O20" s="30"/>
      <c r="P20" s="30"/>
      <c r="Q20" s="30"/>
    </row>
    <row r="21" spans="1:18" x14ac:dyDescent="0.2">
      <c r="A21" s="30" t="s">
        <v>101</v>
      </c>
      <c r="B21" s="98">
        <v>27659822</v>
      </c>
      <c r="C21" s="98">
        <v>31396834</v>
      </c>
      <c r="D21" s="98">
        <v>32481367</v>
      </c>
      <c r="E21" s="98">
        <v>33652917</v>
      </c>
      <c r="F21" s="98">
        <v>35323174</v>
      </c>
      <c r="G21" s="98">
        <v>36403911</v>
      </c>
      <c r="H21" s="98">
        <v>37565552</v>
      </c>
      <c r="I21" s="63">
        <f t="shared" ref="I21:I22" si="7">RATE(5,,-C21,H21)</f>
        <v>3.652739214830289E-2</v>
      </c>
      <c r="J21" t="str">
        <f t="shared" si="1"/>
        <v>Plant in Service</v>
      </c>
      <c r="K21" s="96">
        <f t="shared" ref="K21:L22" si="8">+B21/B$38</f>
        <v>1.4245568188607181</v>
      </c>
      <c r="L21" s="96">
        <f t="shared" si="8"/>
        <v>1.6107692527113673</v>
      </c>
      <c r="M21" s="96">
        <f t="shared" ref="M21:M22" si="9">+D21/D$38</f>
        <v>1.5978283337545822</v>
      </c>
      <c r="N21" s="96">
        <f t="shared" ref="N21:N22" si="10">+E21/E$38</f>
        <v>1.6731829962464286</v>
      </c>
      <c r="O21" s="96">
        <f t="shared" ref="O21:O22" si="11">+F21/F$38</f>
        <v>1.7126460466837385</v>
      </c>
      <c r="P21" s="96">
        <f t="shared" ref="P21:Q22" si="12">+G21/G$38</f>
        <v>1.5104732389286635</v>
      </c>
      <c r="Q21" s="96">
        <f t="shared" si="12"/>
        <v>1.5913302770695537</v>
      </c>
      <c r="R21" s="63">
        <f t="shared" ref="R21:R22" si="13">SUM(D21:H21)/SUM(D$38:H$38)</f>
        <v>1.6127674160655341</v>
      </c>
    </row>
    <row r="22" spans="1:18" x14ac:dyDescent="0.2">
      <c r="A22" s="30" t="s">
        <v>168</v>
      </c>
      <c r="B22" s="98">
        <v>3065055</v>
      </c>
      <c r="C22" s="98">
        <v>480640</v>
      </c>
      <c r="D22" s="133">
        <v>575283</v>
      </c>
      <c r="E22" s="133">
        <v>227877</v>
      </c>
      <c r="F22" s="133">
        <v>4530</v>
      </c>
      <c r="G22" s="133">
        <v>2157715</v>
      </c>
      <c r="H22" s="133">
        <v>1483739</v>
      </c>
      <c r="I22" s="63">
        <f t="shared" si="7"/>
        <v>0.25287435634775285</v>
      </c>
      <c r="J22" t="str">
        <f t="shared" si="1"/>
        <v>Construction Work in Progress</v>
      </c>
      <c r="K22" s="96">
        <f t="shared" si="8"/>
        <v>0.15785875268586827</v>
      </c>
      <c r="L22" s="96">
        <f t="shared" si="8"/>
        <v>2.4658541482978556E-2</v>
      </c>
      <c r="M22" s="96">
        <f t="shared" si="9"/>
        <v>2.8299408621790371E-2</v>
      </c>
      <c r="N22" s="96">
        <f t="shared" si="10"/>
        <v>1.132977333393261E-2</v>
      </c>
      <c r="O22" s="96">
        <f t="shared" si="11"/>
        <v>2.1963730075551352E-4</v>
      </c>
      <c r="P22" s="96">
        <f t="shared" si="12"/>
        <v>8.9528039026767231E-2</v>
      </c>
      <c r="Q22" s="96">
        <f t="shared" si="12"/>
        <v>6.2853296923971791E-2</v>
      </c>
      <c r="R22" s="63">
        <f t="shared" si="13"/>
        <v>4.0902698580587156E-2</v>
      </c>
    </row>
    <row r="23" spans="1:18" x14ac:dyDescent="0.2">
      <c r="A23" s="30" t="s">
        <v>70</v>
      </c>
      <c r="B23" s="98"/>
      <c r="C23" s="98"/>
      <c r="D23" s="133"/>
      <c r="E23" s="134"/>
      <c r="F23" s="134"/>
      <c r="G23" s="134"/>
      <c r="H23" s="134"/>
      <c r="I23" s="67"/>
      <c r="J23" t="str">
        <f t="shared" si="1"/>
        <v>Other PP&amp;E</v>
      </c>
      <c r="K23" s="134"/>
      <c r="L23" s="134"/>
      <c r="M23" s="134"/>
      <c r="N23" s="134"/>
      <c r="O23" s="134"/>
      <c r="P23" s="134"/>
      <c r="Q23" s="134"/>
      <c r="R23" s="193"/>
    </row>
    <row r="24" spans="1:18" ht="12.75" customHeight="1" x14ac:dyDescent="0.2">
      <c r="A24" s="30" t="s">
        <v>77</v>
      </c>
      <c r="B24" s="135">
        <f t="shared" ref="B24:H24" si="14">SUM(B21:B23)</f>
        <v>30724877</v>
      </c>
      <c r="C24" s="135">
        <f t="shared" si="14"/>
        <v>31877474</v>
      </c>
      <c r="D24" s="135">
        <f t="shared" si="14"/>
        <v>33056650</v>
      </c>
      <c r="E24" s="124">
        <f t="shared" si="14"/>
        <v>33880794</v>
      </c>
      <c r="F24" s="124">
        <f t="shared" si="14"/>
        <v>35327704</v>
      </c>
      <c r="G24" s="124">
        <f t="shared" si="14"/>
        <v>38561626</v>
      </c>
      <c r="H24" s="124">
        <f t="shared" si="14"/>
        <v>39049291</v>
      </c>
      <c r="I24" s="63">
        <f>RATE(5,,-C24,H24)</f>
        <v>4.1419848236877263E-2</v>
      </c>
      <c r="J24" t="str">
        <f t="shared" si="1"/>
        <v>Total Plant &amp; Equipment:</v>
      </c>
      <c r="K24" s="96">
        <f>+B24/B$38</f>
        <v>1.5824155715465862</v>
      </c>
      <c r="L24" s="96">
        <f>+C24/C$38</f>
        <v>1.6354277941943458</v>
      </c>
      <c r="M24" s="96">
        <f t="shared" ref="M24:Q24" si="15">+D24/D$38</f>
        <v>1.6261277423763725</v>
      </c>
      <c r="N24" s="96">
        <f t="shared" si="15"/>
        <v>1.6845127695803612</v>
      </c>
      <c r="O24" s="96">
        <f t="shared" si="15"/>
        <v>1.712865683984494</v>
      </c>
      <c r="P24" s="96">
        <f t="shared" si="15"/>
        <v>1.6000012779554307</v>
      </c>
      <c r="Q24" s="96">
        <f t="shared" si="15"/>
        <v>1.6541835739935253</v>
      </c>
      <c r="R24" s="63">
        <f>SUM(D24:H24)/SUM(D$38:H$38)</f>
        <v>1.6536701146461212</v>
      </c>
    </row>
    <row r="25" spans="1:18" ht="7.5" customHeight="1" x14ac:dyDescent="0.2">
      <c r="A25" s="30"/>
      <c r="B25" s="98"/>
      <c r="C25" s="98"/>
      <c r="D25" s="98"/>
      <c r="E25" s="98"/>
      <c r="F25" s="98"/>
      <c r="G25" s="98"/>
      <c r="H25" s="98"/>
      <c r="I25" s="63"/>
      <c r="K25" s="98"/>
      <c r="L25" s="98"/>
      <c r="M25" s="98"/>
      <c r="N25" s="98"/>
      <c r="O25" s="98"/>
      <c r="P25" s="98"/>
      <c r="Q25" s="98"/>
    </row>
    <row r="26" spans="1:18" ht="12.75" customHeight="1" x14ac:dyDescent="0.2">
      <c r="A26" s="30" t="s">
        <v>71</v>
      </c>
      <c r="B26" s="98">
        <v>13955455</v>
      </c>
      <c r="C26" s="98">
        <v>14812691</v>
      </c>
      <c r="D26" s="98">
        <v>15786185</v>
      </c>
      <c r="E26" s="98">
        <v>16637191</v>
      </c>
      <c r="F26" s="98">
        <v>17514160</v>
      </c>
      <c r="G26" s="98">
        <v>18420307</v>
      </c>
      <c r="H26" s="98">
        <v>19194686</v>
      </c>
      <c r="I26" s="63">
        <f>RATE(5,,-C26,H26)</f>
        <v>5.3196506197044191E-2</v>
      </c>
      <c r="J26" t="str">
        <f t="shared" si="1"/>
        <v>Accumulated Depreciation &amp; Amort.</v>
      </c>
      <c r="K26" s="96">
        <f>+B26/B$38</f>
        <v>0.71874427031937882</v>
      </c>
      <c r="L26" s="96">
        <f>+C26/C$38</f>
        <v>0.75994373231117496</v>
      </c>
      <c r="M26" s="96">
        <f t="shared" ref="M26:Q26" si="16">+D26/D$38</f>
        <v>0.77655640770573409</v>
      </c>
      <c r="N26" s="96">
        <f t="shared" si="16"/>
        <v>0.82718134319542391</v>
      </c>
      <c r="O26" s="96">
        <f t="shared" si="16"/>
        <v>0.84917501708613352</v>
      </c>
      <c r="P26" s="96">
        <f t="shared" si="16"/>
        <v>0.76429647288035429</v>
      </c>
      <c r="Q26" s="96">
        <f t="shared" si="16"/>
        <v>0.81311423270562033</v>
      </c>
      <c r="R26" s="63">
        <f>SUM(D26:H26)/SUM(D$38:H$38)</f>
        <v>0.80490420261855211</v>
      </c>
    </row>
    <row r="27" spans="1:18" ht="7.5" customHeight="1" x14ac:dyDescent="0.2">
      <c r="A27" s="30"/>
      <c r="B27" s="98"/>
      <c r="C27" s="98"/>
      <c r="D27" s="98"/>
      <c r="E27" s="98"/>
      <c r="F27" s="98"/>
      <c r="G27" s="98"/>
      <c r="H27" s="98"/>
      <c r="I27" s="63"/>
      <c r="K27" s="98"/>
      <c r="L27" s="98"/>
      <c r="M27" s="98"/>
      <c r="N27" s="98"/>
      <c r="O27" s="98"/>
      <c r="P27" s="98"/>
      <c r="Q27" s="98"/>
    </row>
    <row r="28" spans="1:18" x14ac:dyDescent="0.2">
      <c r="A28" s="30" t="s">
        <v>72</v>
      </c>
      <c r="B28" s="98">
        <f t="shared" ref="B28:H28" si="17">B24-B26</f>
        <v>16769422</v>
      </c>
      <c r="C28" s="98">
        <f t="shared" si="17"/>
        <v>17064783</v>
      </c>
      <c r="D28" s="98">
        <f t="shared" si="17"/>
        <v>17270465</v>
      </c>
      <c r="E28" s="98">
        <f t="shared" si="17"/>
        <v>17243603</v>
      </c>
      <c r="F28" s="98">
        <f t="shared" si="17"/>
        <v>17813544</v>
      </c>
      <c r="G28" s="98">
        <f t="shared" si="17"/>
        <v>20141319</v>
      </c>
      <c r="H28" s="98">
        <f t="shared" si="17"/>
        <v>19854605</v>
      </c>
      <c r="I28" s="63">
        <f>RATE(5,,-C28,H28)</f>
        <v>3.0747039883104749E-2</v>
      </c>
      <c r="J28" t="str">
        <f t="shared" si="1"/>
        <v>Net Plant &amp; Equipment</v>
      </c>
      <c r="K28" s="96">
        <f>+B28/B$38</f>
        <v>0.86367130122720748</v>
      </c>
      <c r="L28" s="96">
        <f>+C28/C$38</f>
        <v>0.87548406188317096</v>
      </c>
      <c r="M28" s="96">
        <f t="shared" ref="M28:Q28" si="18">+D28/D$38</f>
        <v>0.84957133467063839</v>
      </c>
      <c r="N28" s="96">
        <f t="shared" si="18"/>
        <v>0.85733142638493731</v>
      </c>
      <c r="O28" s="96">
        <f t="shared" si="18"/>
        <v>0.8636906668983606</v>
      </c>
      <c r="P28" s="96">
        <f t="shared" si="18"/>
        <v>0.83570480507507638</v>
      </c>
      <c r="Q28" s="96">
        <f t="shared" si="18"/>
        <v>0.841069341287905</v>
      </c>
      <c r="R28" s="63">
        <f>SUM(D28:H28)/SUM(D$38:H$38)</f>
        <v>0.84876591202756912</v>
      </c>
    </row>
    <row r="29" spans="1:18" ht="7.5" customHeight="1" x14ac:dyDescent="0.2">
      <c r="A29" s="30"/>
      <c r="B29" s="98"/>
      <c r="C29" s="98"/>
      <c r="D29" s="98"/>
      <c r="E29" s="98"/>
      <c r="F29" s="98"/>
      <c r="G29" s="98"/>
      <c r="H29" s="98"/>
      <c r="I29" s="63"/>
      <c r="K29" s="98"/>
      <c r="L29" s="98"/>
      <c r="M29" s="98"/>
      <c r="N29" s="98"/>
      <c r="O29" s="98"/>
      <c r="P29" s="98"/>
      <c r="Q29" s="98"/>
    </row>
    <row r="30" spans="1:18" x14ac:dyDescent="0.2">
      <c r="A30" s="51" t="s">
        <v>81</v>
      </c>
      <c r="B30" s="98"/>
      <c r="C30" s="98"/>
      <c r="D30" s="98"/>
      <c r="E30" s="98"/>
      <c r="F30" s="98"/>
      <c r="G30" s="98"/>
      <c r="H30" s="98"/>
      <c r="I30" s="63"/>
      <c r="J30" s="51" t="str">
        <f t="shared" si="1"/>
        <v>Other Assets:</v>
      </c>
      <c r="K30" s="98"/>
      <c r="L30" s="98"/>
      <c r="M30" s="98"/>
      <c r="N30" s="98"/>
      <c r="O30" s="98"/>
      <c r="P30" s="98"/>
      <c r="Q30" s="98"/>
    </row>
    <row r="31" spans="1:18" x14ac:dyDescent="0.2">
      <c r="A31" s="30" t="s">
        <v>73</v>
      </c>
      <c r="B31" s="98"/>
      <c r="C31" s="98"/>
      <c r="D31" s="98"/>
      <c r="E31" s="98"/>
      <c r="F31" s="98"/>
      <c r="G31" s="98"/>
      <c r="H31" s="98"/>
      <c r="I31" s="63"/>
      <c r="J31" t="str">
        <f t="shared" si="1"/>
        <v>Regulatory Assets</v>
      </c>
      <c r="K31" s="98"/>
      <c r="L31" s="98"/>
      <c r="M31" s="98"/>
      <c r="N31" s="98"/>
      <c r="O31" s="98"/>
      <c r="P31" s="98"/>
      <c r="Q31" s="98"/>
    </row>
    <row r="32" spans="1:18" x14ac:dyDescent="0.2">
      <c r="A32" s="30" t="s">
        <v>216</v>
      </c>
      <c r="B32" s="98">
        <v>199786</v>
      </c>
      <c r="C32" s="98">
        <v>146087</v>
      </c>
      <c r="D32" s="98">
        <v>105071</v>
      </c>
      <c r="E32" s="98">
        <v>67397</v>
      </c>
      <c r="F32" s="98">
        <v>35204</v>
      </c>
      <c r="G32" s="188">
        <v>11446</v>
      </c>
      <c r="H32" s="188">
        <v>7859</v>
      </c>
      <c r="I32" s="63">
        <f>RATE(5,,-C32,H32)</f>
        <v>-0.44262030494191867</v>
      </c>
      <c r="J32" t="str">
        <f t="shared" si="1"/>
        <v>Deferred Charges</v>
      </c>
      <c r="K32" s="96">
        <f t="shared" ref="K32:L38" si="19">+B32/B$38</f>
        <v>1.0289527843415167E-2</v>
      </c>
      <c r="L32" s="96">
        <f t="shared" si="19"/>
        <v>7.4947826848033635E-3</v>
      </c>
      <c r="M32" s="96">
        <f t="shared" ref="M32:M38" si="20">+D32/D$38</f>
        <v>5.1686685740759521E-3</v>
      </c>
      <c r="N32" s="96">
        <f t="shared" ref="N32:N38" si="21">+E32/E$38</f>
        <v>3.3508986575523469E-3</v>
      </c>
      <c r="O32" s="96">
        <f t="shared" ref="O32:O38" si="22">+F32/F$38</f>
        <v>1.7068678886969311E-3</v>
      </c>
      <c r="P32" s="96">
        <f t="shared" ref="P32" si="23">+G32/G$38</f>
        <v>4.7491811230879785E-4</v>
      </c>
      <c r="Q32" s="96">
        <f t="shared" ref="Q32" si="24">+H32/H$38</f>
        <v>3.3291843142594101E-4</v>
      </c>
      <c r="R32" s="63">
        <f t="shared" ref="R32:R38" si="25">SUM(D32:H32)/SUM(D$38:H$38)</f>
        <v>2.0866871954978148E-3</v>
      </c>
    </row>
    <row r="33" spans="1:18" x14ac:dyDescent="0.2">
      <c r="A33" s="30" t="s">
        <v>232</v>
      </c>
      <c r="B33" s="98">
        <v>329113</v>
      </c>
      <c r="C33" s="98">
        <v>162306</v>
      </c>
      <c r="D33" s="98"/>
      <c r="E33" s="98"/>
      <c r="F33" s="98"/>
      <c r="G33" s="98"/>
      <c r="H33" s="98"/>
      <c r="I33" s="63"/>
      <c r="J33" t="str">
        <f t="shared" si="1"/>
        <v xml:space="preserve">Notes Receivable </v>
      </c>
      <c r="K33" s="96">
        <f t="shared" si="19"/>
        <v>1.6950223624928155E-2</v>
      </c>
      <c r="L33" s="96">
        <f t="shared" si="19"/>
        <v>8.3268750706065198E-3</v>
      </c>
      <c r="M33" s="96">
        <f t="shared" si="20"/>
        <v>0</v>
      </c>
      <c r="N33" s="96">
        <f t="shared" si="21"/>
        <v>0</v>
      </c>
      <c r="O33" s="96">
        <f t="shared" si="22"/>
        <v>0</v>
      </c>
      <c r="P33" s="96">
        <f t="shared" ref="P33:Q38" si="26">+G33/G$38</f>
        <v>0</v>
      </c>
      <c r="Q33" s="96">
        <f t="shared" si="26"/>
        <v>0</v>
      </c>
      <c r="R33" s="63">
        <f t="shared" si="25"/>
        <v>0</v>
      </c>
    </row>
    <row r="34" spans="1:18" x14ac:dyDescent="0.2">
      <c r="A34" s="30" t="s">
        <v>167</v>
      </c>
      <c r="B34" s="188">
        <v>11797</v>
      </c>
      <c r="C34" s="188">
        <v>11797</v>
      </c>
      <c r="D34" s="189">
        <v>11797</v>
      </c>
      <c r="E34" s="189">
        <v>11797</v>
      </c>
      <c r="F34" s="133">
        <v>11797</v>
      </c>
      <c r="G34" s="133">
        <v>11797</v>
      </c>
      <c r="H34" s="133">
        <v>11797</v>
      </c>
      <c r="I34" s="63"/>
      <c r="J34" t="str">
        <f t="shared" si="1"/>
        <v>Non-utility Property</v>
      </c>
      <c r="K34" s="96">
        <f t="shared" si="19"/>
        <v>6.0757790820562365E-4</v>
      </c>
      <c r="L34" s="96">
        <f t="shared" si="19"/>
        <v>6.0522805816140568E-4</v>
      </c>
      <c r="M34" s="96">
        <f t="shared" si="20"/>
        <v>5.8031981391986384E-4</v>
      </c>
      <c r="N34" s="96">
        <f t="shared" si="21"/>
        <v>5.8653280506765931E-4</v>
      </c>
      <c r="O34" s="96">
        <f t="shared" si="22"/>
        <v>5.7197819801606915E-4</v>
      </c>
      <c r="P34" s="96">
        <f t="shared" si="26"/>
        <v>4.8948182517096698E-4</v>
      </c>
      <c r="Q34" s="96">
        <f t="shared" si="26"/>
        <v>4.9973771924313856E-4</v>
      </c>
      <c r="R34" s="63">
        <f t="shared" si="25"/>
        <v>5.4227187876497885E-4</v>
      </c>
    </row>
    <row r="35" spans="1:18" x14ac:dyDescent="0.2">
      <c r="A35" s="30" t="s">
        <v>215</v>
      </c>
      <c r="B35" s="188">
        <v>570817</v>
      </c>
      <c r="C35" s="188">
        <v>619211</v>
      </c>
      <c r="D35" s="188">
        <v>667330</v>
      </c>
      <c r="E35" s="190">
        <v>693206</v>
      </c>
      <c r="F35" s="99">
        <v>723687</v>
      </c>
      <c r="G35" s="124">
        <v>749056</v>
      </c>
      <c r="H35" s="124">
        <v>816469</v>
      </c>
      <c r="I35" s="67">
        <f t="shared" ref="I35:I38" si="27">RATE(5,,-C35,H35)</f>
        <v>5.6866683362567443E-2</v>
      </c>
      <c r="J35" t="str">
        <f t="shared" si="1"/>
        <v>Investment in associated organizations</v>
      </c>
      <c r="K35" s="192">
        <f t="shared" si="19"/>
        <v>2.9398643623650886E-2</v>
      </c>
      <c r="L35" s="192">
        <f t="shared" si="19"/>
        <v>3.1767726635770294E-2</v>
      </c>
      <c r="M35" s="192">
        <f t="shared" si="20"/>
        <v>3.2827398611777803E-2</v>
      </c>
      <c r="N35" s="192">
        <f t="shared" si="21"/>
        <v>3.4465377610386698E-2</v>
      </c>
      <c r="O35" s="192">
        <f t="shared" si="22"/>
        <v>3.5088004254272699E-2</v>
      </c>
      <c r="P35" s="192">
        <f t="shared" si="26"/>
        <v>3.1079876073176558E-2</v>
      </c>
      <c r="Q35" s="192">
        <f t="shared" si="26"/>
        <v>3.4586789513666706E-2</v>
      </c>
      <c r="R35" s="67">
        <f t="shared" si="25"/>
        <v>3.3553542510447135E-2</v>
      </c>
    </row>
    <row r="36" spans="1:18" x14ac:dyDescent="0.2">
      <c r="A36" s="30" t="s">
        <v>82</v>
      </c>
      <c r="B36" s="135">
        <f t="shared" ref="B36:H36" si="28">SUM(B31:B35)</f>
        <v>1111513</v>
      </c>
      <c r="C36" s="135">
        <f t="shared" si="28"/>
        <v>939401</v>
      </c>
      <c r="D36" s="135">
        <f t="shared" si="28"/>
        <v>784198</v>
      </c>
      <c r="E36" s="136">
        <f t="shared" si="28"/>
        <v>772400</v>
      </c>
      <c r="F36" s="136">
        <f t="shared" si="28"/>
        <v>770688</v>
      </c>
      <c r="G36" s="136">
        <f t="shared" si="28"/>
        <v>772299</v>
      </c>
      <c r="H36" s="136">
        <f t="shared" si="28"/>
        <v>836125</v>
      </c>
      <c r="I36" s="71">
        <f t="shared" si="27"/>
        <v>-2.302367827846017E-2</v>
      </c>
      <c r="J36" t="str">
        <f t="shared" si="1"/>
        <v>Total Other Assets</v>
      </c>
      <c r="K36" s="192">
        <f t="shared" si="19"/>
        <v>5.7245973000199832E-2</v>
      </c>
      <c r="L36" s="192">
        <f t="shared" si="19"/>
        <v>4.8194612449341583E-2</v>
      </c>
      <c r="M36" s="192">
        <f t="shared" si="20"/>
        <v>3.8576386999773615E-2</v>
      </c>
      <c r="N36" s="192">
        <f t="shared" si="21"/>
        <v>3.8402809073006701E-2</v>
      </c>
      <c r="O36" s="192">
        <f t="shared" si="22"/>
        <v>3.7366850340985698E-2</v>
      </c>
      <c r="P36" s="192">
        <f t="shared" si="26"/>
        <v>3.204427601065632E-2</v>
      </c>
      <c r="Q36" s="192">
        <f t="shared" si="26"/>
        <v>3.5419445664335789E-2</v>
      </c>
      <c r="R36" s="210">
        <f t="shared" si="25"/>
        <v>3.6182501584709925E-2</v>
      </c>
    </row>
    <row r="37" spans="1:18" x14ac:dyDescent="0.2">
      <c r="A37" s="30" t="s">
        <v>55</v>
      </c>
      <c r="B37" s="135">
        <f t="shared" ref="B37:H37" si="29">B28+B36</f>
        <v>17880935</v>
      </c>
      <c r="C37" s="135">
        <f t="shared" si="29"/>
        <v>18004184</v>
      </c>
      <c r="D37" s="135">
        <f t="shared" si="29"/>
        <v>18054663</v>
      </c>
      <c r="E37" s="136">
        <f t="shared" si="29"/>
        <v>18016003</v>
      </c>
      <c r="F37" s="136">
        <f t="shared" si="29"/>
        <v>18584232</v>
      </c>
      <c r="G37" s="136">
        <f t="shared" si="29"/>
        <v>20913618</v>
      </c>
      <c r="H37" s="136">
        <f t="shared" si="29"/>
        <v>20690730</v>
      </c>
      <c r="I37" s="71">
        <f t="shared" si="27"/>
        <v>2.8206805751202119E-2</v>
      </c>
      <c r="J37" t="str">
        <f t="shared" si="1"/>
        <v>Total Non-Current Assets</v>
      </c>
      <c r="K37" s="192">
        <f t="shared" si="19"/>
        <v>0.92091727422740732</v>
      </c>
      <c r="L37" s="192">
        <f t="shared" si="19"/>
        <v>0.92367867433251249</v>
      </c>
      <c r="M37" s="192">
        <f t="shared" si="20"/>
        <v>0.888147721670412</v>
      </c>
      <c r="N37" s="192">
        <f t="shared" si="21"/>
        <v>0.89573423545794406</v>
      </c>
      <c r="O37" s="192">
        <f t="shared" si="22"/>
        <v>0.90105751723934624</v>
      </c>
      <c r="P37" s="192">
        <f t="shared" si="26"/>
        <v>0.86774908108573268</v>
      </c>
      <c r="Q37" s="192">
        <f t="shared" si="26"/>
        <v>0.87648878695224086</v>
      </c>
      <c r="R37" s="67">
        <f t="shared" si="25"/>
        <v>0.88494841361227905</v>
      </c>
    </row>
    <row r="38" spans="1:18" ht="13.5" thickBot="1" x14ac:dyDescent="0.25">
      <c r="A38" s="30" t="s">
        <v>50</v>
      </c>
      <c r="B38" s="135">
        <f t="shared" ref="B38:H38" si="30">B18+B28+B36</f>
        <v>19416440</v>
      </c>
      <c r="C38" s="135">
        <f t="shared" si="30"/>
        <v>19491826</v>
      </c>
      <c r="D38" s="135">
        <f t="shared" si="30"/>
        <v>20328446</v>
      </c>
      <c r="E38" s="137">
        <f t="shared" si="30"/>
        <v>20113112</v>
      </c>
      <c r="F38" s="137">
        <f t="shared" si="30"/>
        <v>20624912</v>
      </c>
      <c r="G38" s="137">
        <f t="shared" si="30"/>
        <v>24100997</v>
      </c>
      <c r="H38" s="137">
        <f t="shared" si="30"/>
        <v>23606383</v>
      </c>
      <c r="I38" s="72">
        <f t="shared" si="27"/>
        <v>3.9047459024769395E-2</v>
      </c>
      <c r="J38" t="str">
        <f t="shared" si="1"/>
        <v>Total Assets</v>
      </c>
      <c r="K38" s="191">
        <f t="shared" si="19"/>
        <v>1</v>
      </c>
      <c r="L38" s="191">
        <f t="shared" si="19"/>
        <v>1</v>
      </c>
      <c r="M38" s="191">
        <f t="shared" si="20"/>
        <v>1</v>
      </c>
      <c r="N38" s="191">
        <f t="shared" si="21"/>
        <v>1</v>
      </c>
      <c r="O38" s="191">
        <f t="shared" si="22"/>
        <v>1</v>
      </c>
      <c r="P38" s="191">
        <f t="shared" si="26"/>
        <v>1</v>
      </c>
      <c r="Q38" s="191">
        <f t="shared" si="26"/>
        <v>1</v>
      </c>
      <c r="R38" s="72">
        <f t="shared" si="25"/>
        <v>1</v>
      </c>
    </row>
    <row r="39" spans="1:18" ht="13.5" thickTop="1" x14ac:dyDescent="0.2">
      <c r="A39" s="30"/>
      <c r="B39" s="73"/>
      <c r="C39" s="73"/>
      <c r="D39" s="209"/>
      <c r="E39" s="217"/>
      <c r="F39" s="217"/>
      <c r="G39" s="217"/>
      <c r="H39" s="217"/>
      <c r="I39" s="63"/>
      <c r="K39" s="70"/>
      <c r="L39" s="70"/>
      <c r="M39" s="70"/>
      <c r="N39" s="70"/>
      <c r="O39" s="70"/>
      <c r="P39" s="70"/>
      <c r="Q39" s="70"/>
    </row>
    <row r="40" spans="1:18" x14ac:dyDescent="0.2">
      <c r="A40" s="51" t="s">
        <v>11</v>
      </c>
      <c r="B40" s="30"/>
      <c r="C40" s="30"/>
      <c r="D40" s="30"/>
      <c r="E40" s="30"/>
      <c r="F40" s="30"/>
      <c r="G40" s="30"/>
      <c r="H40" s="30"/>
      <c r="I40" s="63"/>
      <c r="J40" s="51" t="str">
        <f t="shared" si="1"/>
        <v>Current Liabilities:</v>
      </c>
      <c r="K40" s="30"/>
      <c r="L40" s="30"/>
      <c r="M40" s="30"/>
      <c r="N40" s="30"/>
      <c r="O40" s="30"/>
      <c r="P40" s="30"/>
      <c r="Q40" s="30"/>
    </row>
    <row r="41" spans="1:18" x14ac:dyDescent="0.2">
      <c r="A41" s="74" t="s">
        <v>126</v>
      </c>
      <c r="B41" s="98">
        <v>638781</v>
      </c>
      <c r="C41" s="98">
        <v>626262</v>
      </c>
      <c r="D41" s="98">
        <v>449174</v>
      </c>
      <c r="E41" s="98">
        <v>371487</v>
      </c>
      <c r="F41" s="98">
        <v>456202</v>
      </c>
      <c r="G41" s="98">
        <v>518194</v>
      </c>
      <c r="H41" s="98">
        <v>496413</v>
      </c>
      <c r="I41" s="63">
        <f t="shared" ref="I41:I47" si="31">RATE(5,,-C41,H41)</f>
        <v>-4.540882051962411E-2</v>
      </c>
      <c r="J41" t="str">
        <f t="shared" si="1"/>
        <v>Current Portion of LTD</v>
      </c>
      <c r="K41" s="96">
        <f t="shared" ref="K41:L47" si="32">+B41/B$38</f>
        <v>3.2898976331397517E-2</v>
      </c>
      <c r="L41" s="96">
        <f t="shared" si="32"/>
        <v>3.2129468013925425E-2</v>
      </c>
      <c r="M41" s="96">
        <f t="shared" ref="M41:M47" si="33">+D41/D$38</f>
        <v>2.2095835559688134E-2</v>
      </c>
      <c r="N41" s="96">
        <f t="shared" ref="N41:N47" si="34">+E41/E$38</f>
        <v>1.8469891680611136E-2</v>
      </c>
      <c r="O41" s="96">
        <f t="shared" ref="O41:O47" si="35">+F41/F$38</f>
        <v>2.2118979222796199E-2</v>
      </c>
      <c r="P41" s="96">
        <f t="shared" ref="P41:Q47" si="36">+G41/G$38</f>
        <v>2.1500936247575153E-2</v>
      </c>
      <c r="Q41" s="96">
        <f t="shared" si="36"/>
        <v>2.1028761585372906E-2</v>
      </c>
      <c r="R41" s="63">
        <f t="shared" ref="R41:R47" si="37">SUM(D41:H41)/SUM(D$38:H$38)</f>
        <v>2.1066368433221773E-2</v>
      </c>
    </row>
    <row r="42" spans="1:18" x14ac:dyDescent="0.2">
      <c r="A42" s="30" t="s">
        <v>95</v>
      </c>
      <c r="B42" s="98">
        <v>1026746</v>
      </c>
      <c r="C42" s="98">
        <v>1050490</v>
      </c>
      <c r="D42" s="98">
        <v>1097649</v>
      </c>
      <c r="E42" s="98">
        <v>1180643</v>
      </c>
      <c r="F42" s="98">
        <v>1205490</v>
      </c>
      <c r="G42" s="98">
        <v>1313581</v>
      </c>
      <c r="H42" s="98">
        <v>1465031</v>
      </c>
      <c r="I42" s="63">
        <f t="shared" si="31"/>
        <v>6.8786546387769931E-2</v>
      </c>
      <c r="J42" t="str">
        <f t="shared" si="1"/>
        <v>Acounts Payable</v>
      </c>
      <c r="K42" s="96">
        <f t="shared" si="32"/>
        <v>5.2880239631981969E-2</v>
      </c>
      <c r="L42" s="96">
        <f t="shared" si="32"/>
        <v>5.389387325743622E-2</v>
      </c>
      <c r="M42" s="96">
        <f t="shared" si="33"/>
        <v>5.3995716150659033E-2</v>
      </c>
      <c r="N42" s="96">
        <f t="shared" si="34"/>
        <v>5.8700165344875523E-2</v>
      </c>
      <c r="O42" s="96">
        <f t="shared" si="35"/>
        <v>5.8448249379197348E-2</v>
      </c>
      <c r="P42" s="96">
        <f t="shared" si="36"/>
        <v>5.4503180926498598E-2</v>
      </c>
      <c r="Q42" s="96">
        <f t="shared" si="36"/>
        <v>6.2060799403280034E-2</v>
      </c>
      <c r="R42" s="63">
        <f t="shared" si="37"/>
        <v>5.7572605915852018E-2</v>
      </c>
    </row>
    <row r="43" spans="1:18" x14ac:dyDescent="0.2">
      <c r="A43" s="30" t="s">
        <v>157</v>
      </c>
      <c r="B43" s="98">
        <v>480581</v>
      </c>
      <c r="C43" s="98">
        <v>468946</v>
      </c>
      <c r="D43" s="98">
        <v>594335</v>
      </c>
      <c r="E43" s="98">
        <v>521872</v>
      </c>
      <c r="F43" s="98">
        <v>519302</v>
      </c>
      <c r="G43" s="98">
        <v>506420</v>
      </c>
      <c r="H43" s="98">
        <v>507608</v>
      </c>
      <c r="I43" s="63">
        <f t="shared" si="31"/>
        <v>1.5970562263620643E-2</v>
      </c>
      <c r="J43" t="str">
        <f t="shared" si="1"/>
        <v>Accrued Expenses</v>
      </c>
      <c r="K43" s="96">
        <f t="shared" si="32"/>
        <v>2.4751241731233945E-2</v>
      </c>
      <c r="L43" s="96">
        <f t="shared" si="32"/>
        <v>2.4058597691155256E-2</v>
      </c>
      <c r="M43" s="96">
        <f t="shared" si="33"/>
        <v>2.9236617496487434E-2</v>
      </c>
      <c r="N43" s="96">
        <f t="shared" si="34"/>
        <v>2.594685496704836E-2</v>
      </c>
      <c r="O43" s="96">
        <f t="shared" si="35"/>
        <v>2.5178386215659973E-2</v>
      </c>
      <c r="P43" s="96">
        <f t="shared" si="36"/>
        <v>2.1012408739771223E-2</v>
      </c>
      <c r="Q43" s="96">
        <f t="shared" si="36"/>
        <v>2.1502997727351963E-2</v>
      </c>
      <c r="R43" s="63">
        <f t="shared" si="37"/>
        <v>2.4358216611805136E-2</v>
      </c>
    </row>
    <row r="44" spans="1:18" x14ac:dyDescent="0.2">
      <c r="A44" s="74" t="s">
        <v>127</v>
      </c>
      <c r="B44" s="98"/>
      <c r="C44" s="98"/>
      <c r="D44" s="98"/>
      <c r="E44" s="98"/>
      <c r="F44" s="98"/>
      <c r="G44" s="98"/>
      <c r="H44" s="98"/>
      <c r="I44" s="63"/>
      <c r="J44" t="str">
        <f t="shared" si="1"/>
        <v>Customer Deposits</v>
      </c>
      <c r="K44" s="96">
        <f t="shared" si="32"/>
        <v>0</v>
      </c>
      <c r="L44" s="96">
        <f t="shared" si="32"/>
        <v>0</v>
      </c>
      <c r="M44" s="96">
        <f t="shared" si="33"/>
        <v>0</v>
      </c>
      <c r="N44" s="96">
        <f t="shared" si="34"/>
        <v>0</v>
      </c>
      <c r="O44" s="96">
        <f t="shared" si="35"/>
        <v>0</v>
      </c>
      <c r="P44" s="96">
        <f t="shared" si="36"/>
        <v>0</v>
      </c>
      <c r="Q44" s="96">
        <f t="shared" si="36"/>
        <v>0</v>
      </c>
      <c r="R44" s="63">
        <f t="shared" si="37"/>
        <v>0</v>
      </c>
    </row>
    <row r="45" spans="1:18" x14ac:dyDescent="0.2">
      <c r="A45" s="30" t="s">
        <v>218</v>
      </c>
      <c r="B45" s="98"/>
      <c r="C45" s="98"/>
      <c r="D45" s="98">
        <v>900000</v>
      </c>
      <c r="E45" s="98">
        <v>200000</v>
      </c>
      <c r="F45" s="98"/>
      <c r="G45" s="98"/>
      <c r="H45" s="98"/>
      <c r="I45" s="63"/>
      <c r="J45" t="str">
        <f t="shared" si="1"/>
        <v>Line of Credit</v>
      </c>
      <c r="K45" s="96">
        <f t="shared" si="32"/>
        <v>0</v>
      </c>
      <c r="L45" s="96">
        <f t="shared" si="32"/>
        <v>0</v>
      </c>
      <c r="M45" s="96">
        <f t="shared" si="33"/>
        <v>4.4272936554028773E-2</v>
      </c>
      <c r="N45" s="96">
        <f t="shared" si="34"/>
        <v>9.9437620592974368E-3</v>
      </c>
      <c r="O45" s="96">
        <f t="shared" si="35"/>
        <v>0</v>
      </c>
      <c r="P45" s="96">
        <f t="shared" si="36"/>
        <v>0</v>
      </c>
      <c r="Q45" s="96">
        <f t="shared" si="36"/>
        <v>0</v>
      </c>
      <c r="R45" s="63">
        <f t="shared" si="37"/>
        <v>1.0112724703593741E-2</v>
      </c>
    </row>
    <row r="46" spans="1:18" x14ac:dyDescent="0.2">
      <c r="A46" s="30" t="s">
        <v>155</v>
      </c>
      <c r="B46" s="98"/>
      <c r="C46" s="98"/>
      <c r="D46" s="124"/>
      <c r="E46" s="99"/>
      <c r="F46" s="99"/>
      <c r="G46" s="124"/>
      <c r="H46" s="124"/>
      <c r="I46" s="67"/>
      <c r="J46" t="str">
        <f t="shared" si="1"/>
        <v>Other Current and Accrued Liabilities</v>
      </c>
      <c r="K46" s="192">
        <f t="shared" si="32"/>
        <v>0</v>
      </c>
      <c r="L46" s="192">
        <f t="shared" si="32"/>
        <v>0</v>
      </c>
      <c r="M46" s="192">
        <f t="shared" si="33"/>
        <v>0</v>
      </c>
      <c r="N46" s="192">
        <f t="shared" si="34"/>
        <v>0</v>
      </c>
      <c r="O46" s="192">
        <f t="shared" si="35"/>
        <v>0</v>
      </c>
      <c r="P46" s="192">
        <f t="shared" si="36"/>
        <v>0</v>
      </c>
      <c r="Q46" s="192">
        <f t="shared" si="36"/>
        <v>0</v>
      </c>
      <c r="R46" s="67">
        <f t="shared" si="37"/>
        <v>0</v>
      </c>
    </row>
    <row r="47" spans="1:18" x14ac:dyDescent="0.2">
      <c r="A47" s="30" t="s">
        <v>52</v>
      </c>
      <c r="B47" s="135">
        <f t="shared" ref="B47:H47" si="38">SUM(B40:B46)</f>
        <v>2146108</v>
      </c>
      <c r="C47" s="135">
        <f t="shared" si="38"/>
        <v>2145698</v>
      </c>
      <c r="D47" s="135">
        <f t="shared" si="38"/>
        <v>3041158</v>
      </c>
      <c r="E47" s="124">
        <f t="shared" si="38"/>
        <v>2274002</v>
      </c>
      <c r="F47" s="124">
        <f t="shared" si="38"/>
        <v>2180994</v>
      </c>
      <c r="G47" s="135">
        <f t="shared" si="38"/>
        <v>2338195</v>
      </c>
      <c r="H47" s="135">
        <f t="shared" si="38"/>
        <v>2469052</v>
      </c>
      <c r="I47" s="63">
        <f t="shared" si="31"/>
        <v>2.8471657681457551E-2</v>
      </c>
      <c r="J47" t="str">
        <f t="shared" si="1"/>
        <v>Total Current Liabilities</v>
      </c>
      <c r="K47" s="96">
        <f t="shared" si="32"/>
        <v>0.11053045769461343</v>
      </c>
      <c r="L47" s="96">
        <f t="shared" si="32"/>
        <v>0.1100819389625169</v>
      </c>
      <c r="M47" s="96">
        <f t="shared" si="33"/>
        <v>0.14960110576086338</v>
      </c>
      <c r="N47" s="96">
        <f t="shared" si="34"/>
        <v>0.11306067405183245</v>
      </c>
      <c r="O47" s="96">
        <f t="shared" si="35"/>
        <v>0.10574561481765353</v>
      </c>
      <c r="P47" s="96">
        <f t="shared" si="36"/>
        <v>9.7016525913844978E-2</v>
      </c>
      <c r="Q47" s="96">
        <f t="shared" si="36"/>
        <v>0.10459255871600491</v>
      </c>
      <c r="R47" s="63">
        <f t="shared" si="37"/>
        <v>0.11310991566447266</v>
      </c>
    </row>
    <row r="48" spans="1:18" x14ac:dyDescent="0.2">
      <c r="A48" s="30"/>
      <c r="B48" s="98"/>
      <c r="C48" s="98"/>
      <c r="D48" s="98"/>
      <c r="E48" s="98"/>
      <c r="F48" s="98"/>
      <c r="G48" s="98"/>
      <c r="H48" s="98"/>
      <c r="I48" s="63"/>
      <c r="K48" s="98"/>
      <c r="L48" s="98"/>
      <c r="M48" s="98"/>
      <c r="N48" s="98"/>
      <c r="O48" s="98"/>
      <c r="P48" s="98"/>
      <c r="Q48" s="98"/>
    </row>
    <row r="49" spans="1:18" x14ac:dyDescent="0.2">
      <c r="A49" s="30" t="s">
        <v>74</v>
      </c>
      <c r="B49" s="98">
        <v>5736749</v>
      </c>
      <c r="C49" s="98">
        <v>5415864</v>
      </c>
      <c r="D49" s="98">
        <v>4966690</v>
      </c>
      <c r="E49" s="98">
        <v>4893887</v>
      </c>
      <c r="F49" s="98">
        <v>5236601</v>
      </c>
      <c r="G49" s="98">
        <v>6513045</v>
      </c>
      <c r="H49" s="98">
        <v>6022164</v>
      </c>
      <c r="I49" s="63">
        <f>RATE(5,,-C49,H49)</f>
        <v>2.1449654013802239E-2</v>
      </c>
      <c r="J49" t="str">
        <f t="shared" si="1"/>
        <v>Long-Term Debt</v>
      </c>
      <c r="K49" s="96">
        <f>+B49/B$38</f>
        <v>0.29545833324749543</v>
      </c>
      <c r="L49" s="96">
        <f>+C49/C$38</f>
        <v>0.27785308569858974</v>
      </c>
      <c r="M49" s="96">
        <f t="shared" ref="M49:Q49" si="39">+D49/D$38</f>
        <v>0.24432216805947685</v>
      </c>
      <c r="N49" s="96">
        <f t="shared" si="39"/>
        <v>0.24331823936544478</v>
      </c>
      <c r="O49" s="96">
        <f t="shared" si="39"/>
        <v>0.25389688935400062</v>
      </c>
      <c r="P49" s="96">
        <f t="shared" si="39"/>
        <v>0.27023965025181323</v>
      </c>
      <c r="Q49" s="96">
        <f t="shared" si="39"/>
        <v>0.25510744276240882</v>
      </c>
      <c r="R49" s="63">
        <f>SUM(D49:H49)/SUM(D$38:H$38)</f>
        <v>0.25403520239469318</v>
      </c>
    </row>
    <row r="50" spans="1:18" x14ac:dyDescent="0.2">
      <c r="A50" s="30" t="s">
        <v>13</v>
      </c>
      <c r="B50" s="98"/>
      <c r="C50" s="98"/>
      <c r="D50" s="98"/>
      <c r="E50" s="98"/>
      <c r="F50" s="98"/>
      <c r="G50" s="98"/>
      <c r="H50" s="98"/>
      <c r="I50" s="63"/>
      <c r="J50" t="str">
        <f t="shared" si="1"/>
        <v>Deferred Income Taxes</v>
      </c>
      <c r="K50" s="98"/>
      <c r="L50" s="98"/>
      <c r="M50" s="98"/>
      <c r="N50" s="98"/>
      <c r="O50" s="98"/>
      <c r="P50" s="98"/>
      <c r="Q50" s="98"/>
    </row>
    <row r="51" spans="1:18" x14ac:dyDescent="0.2">
      <c r="A51" s="30" t="s">
        <v>164</v>
      </c>
      <c r="B51" s="98"/>
      <c r="C51" s="98"/>
      <c r="D51" s="98"/>
      <c r="E51" s="98"/>
      <c r="F51" s="98"/>
      <c r="G51" s="98"/>
      <c r="H51" s="98"/>
      <c r="I51" s="63"/>
      <c r="J51" t="str">
        <f t="shared" si="1"/>
        <v>Customer Advances for Construction</v>
      </c>
      <c r="K51" s="96">
        <f t="shared" ref="K51:L54" si="40">+B51/B$38</f>
        <v>0</v>
      </c>
      <c r="L51" s="96">
        <f t="shared" si="40"/>
        <v>0</v>
      </c>
      <c r="M51" s="96">
        <f t="shared" ref="M51:M54" si="41">+D51/D$38</f>
        <v>0</v>
      </c>
      <c r="N51" s="96">
        <f t="shared" ref="N51:N54" si="42">+E51/E$38</f>
        <v>0</v>
      </c>
      <c r="O51" s="96">
        <f t="shared" ref="O51:O54" si="43">+F51/F$38</f>
        <v>0</v>
      </c>
      <c r="P51" s="96">
        <f t="shared" ref="P51:Q54" si="44">+G51/G$38</f>
        <v>0</v>
      </c>
      <c r="Q51" s="96">
        <f t="shared" si="44"/>
        <v>0</v>
      </c>
      <c r="R51" s="63">
        <f t="shared" ref="R51:R54" si="45">SUM(D51:H51)/SUM(D$38:H$38)</f>
        <v>0</v>
      </c>
    </row>
    <row r="52" spans="1:18" x14ac:dyDescent="0.2">
      <c r="A52" s="30" t="s">
        <v>165</v>
      </c>
      <c r="B52" s="98"/>
      <c r="C52" s="98"/>
      <c r="D52" s="98"/>
      <c r="E52" s="98"/>
      <c r="F52" s="98"/>
      <c r="G52" s="98"/>
      <c r="H52" s="98"/>
      <c r="I52" s="63"/>
      <c r="J52" t="str">
        <f t="shared" si="1"/>
        <v>Deferred Revenue - Impact Fees</v>
      </c>
      <c r="K52" s="96">
        <f t="shared" si="40"/>
        <v>0</v>
      </c>
      <c r="L52" s="96">
        <f t="shared" si="40"/>
        <v>0</v>
      </c>
      <c r="M52" s="96">
        <f t="shared" si="41"/>
        <v>0</v>
      </c>
      <c r="N52" s="96">
        <f t="shared" si="42"/>
        <v>0</v>
      </c>
      <c r="O52" s="96">
        <f t="shared" si="43"/>
        <v>0</v>
      </c>
      <c r="P52" s="96">
        <f t="shared" si="44"/>
        <v>0</v>
      </c>
      <c r="Q52" s="96">
        <f t="shared" si="44"/>
        <v>0</v>
      </c>
      <c r="R52" s="63">
        <f t="shared" si="45"/>
        <v>0</v>
      </c>
    </row>
    <row r="53" spans="1:18" x14ac:dyDescent="0.2">
      <c r="A53" s="30" t="s">
        <v>75</v>
      </c>
      <c r="B53" s="98">
        <v>177132</v>
      </c>
      <c r="C53" s="98">
        <v>117172</v>
      </c>
      <c r="D53" s="124">
        <v>57213</v>
      </c>
      <c r="E53" s="99"/>
      <c r="F53" s="99"/>
      <c r="G53" s="124">
        <v>1139609</v>
      </c>
      <c r="H53" s="124"/>
      <c r="I53" s="67"/>
      <c r="J53" t="str">
        <f t="shared" si="1"/>
        <v>Other Deferred Credits</v>
      </c>
      <c r="K53" s="192">
        <f t="shared" si="40"/>
        <v>9.1227846093310614E-3</v>
      </c>
      <c r="L53" s="192">
        <f t="shared" si="40"/>
        <v>6.0113403433829137E-3</v>
      </c>
      <c r="M53" s="192">
        <f t="shared" si="41"/>
        <v>2.8144305767396089E-3</v>
      </c>
      <c r="N53" s="192">
        <f t="shared" si="42"/>
        <v>0</v>
      </c>
      <c r="O53" s="192">
        <f t="shared" si="43"/>
        <v>0</v>
      </c>
      <c r="P53" s="192">
        <f t="shared" si="44"/>
        <v>4.7284724362232813E-2</v>
      </c>
      <c r="Q53" s="192">
        <f t="shared" si="44"/>
        <v>0</v>
      </c>
      <c r="R53" s="67">
        <f t="shared" si="45"/>
        <v>1.1002846732004062E-2</v>
      </c>
    </row>
    <row r="54" spans="1:18" x14ac:dyDescent="0.2">
      <c r="A54" s="70" t="s">
        <v>76</v>
      </c>
      <c r="B54" s="135">
        <f t="shared" ref="B54:H54" si="46">SUM(B49:B53)</f>
        <v>5913881</v>
      </c>
      <c r="C54" s="135">
        <f t="shared" si="46"/>
        <v>5533036</v>
      </c>
      <c r="D54" s="135">
        <f t="shared" si="46"/>
        <v>5023903</v>
      </c>
      <c r="E54" s="124">
        <f t="shared" si="46"/>
        <v>4893887</v>
      </c>
      <c r="F54" s="124">
        <f t="shared" si="46"/>
        <v>5236601</v>
      </c>
      <c r="G54" s="135">
        <f t="shared" si="46"/>
        <v>7652654</v>
      </c>
      <c r="H54" s="135">
        <f t="shared" si="46"/>
        <v>6022164</v>
      </c>
      <c r="I54" s="63">
        <f t="shared" ref="I54" si="47">RATE(5,,-C54,H54)</f>
        <v>1.7086328153957844E-2</v>
      </c>
      <c r="J54" t="str">
        <f t="shared" si="1"/>
        <v>Total LTD &amp; Deferrals</v>
      </c>
      <c r="K54" s="96">
        <f t="shared" si="40"/>
        <v>0.30458111785682646</v>
      </c>
      <c r="L54" s="96">
        <f t="shared" si="40"/>
        <v>0.28386442604197265</v>
      </c>
      <c r="M54" s="96">
        <f t="shared" si="41"/>
        <v>0.24713659863621645</v>
      </c>
      <c r="N54" s="96">
        <f t="shared" si="42"/>
        <v>0.24331823936544478</v>
      </c>
      <c r="O54" s="96">
        <f t="shared" si="43"/>
        <v>0.25389688935400062</v>
      </c>
      <c r="P54" s="96">
        <f t="shared" si="44"/>
        <v>0.31752437461404603</v>
      </c>
      <c r="Q54" s="96">
        <f t="shared" si="44"/>
        <v>0.25510744276240882</v>
      </c>
      <c r="R54" s="63">
        <f t="shared" si="45"/>
        <v>0.26503804912669726</v>
      </c>
    </row>
    <row r="55" spans="1:18" ht="7.5" customHeight="1" x14ac:dyDescent="0.2">
      <c r="A55" s="70"/>
      <c r="B55" s="98"/>
      <c r="C55" s="98"/>
      <c r="D55" s="124"/>
      <c r="E55" s="124"/>
      <c r="F55" s="124"/>
      <c r="G55" s="124"/>
      <c r="H55" s="124"/>
      <c r="I55" s="63"/>
      <c r="K55" s="124"/>
      <c r="L55" s="124"/>
      <c r="M55" s="124"/>
      <c r="N55" s="124"/>
      <c r="O55" s="124"/>
      <c r="P55" s="124"/>
      <c r="Q55" s="124"/>
    </row>
    <row r="56" spans="1:18" x14ac:dyDescent="0.2">
      <c r="A56" s="30" t="s">
        <v>53</v>
      </c>
      <c r="B56" s="98">
        <f t="shared" ref="B56:H56" si="48">B54+B47</f>
        <v>8059989</v>
      </c>
      <c r="C56" s="98">
        <f t="shared" si="48"/>
        <v>7678734</v>
      </c>
      <c r="D56" s="98">
        <f t="shared" si="48"/>
        <v>8065061</v>
      </c>
      <c r="E56" s="98">
        <f t="shared" si="48"/>
        <v>7167889</v>
      </c>
      <c r="F56" s="98">
        <f t="shared" si="48"/>
        <v>7417595</v>
      </c>
      <c r="G56" s="98">
        <f t="shared" si="48"/>
        <v>9990849</v>
      </c>
      <c r="H56" s="98">
        <f t="shared" si="48"/>
        <v>8491216</v>
      </c>
      <c r="I56" s="63">
        <f>RATE(5,,-C56,H56)</f>
        <v>2.0319185713132168E-2</v>
      </c>
      <c r="J56" t="str">
        <f t="shared" si="1"/>
        <v>Total Liabilities</v>
      </c>
      <c r="K56" s="96">
        <f>+B56/B$38</f>
        <v>0.4151115755514399</v>
      </c>
      <c r="L56" s="96">
        <f>+C56/C$38</f>
        <v>0.3939463650044896</v>
      </c>
      <c r="M56" s="96">
        <f t="shared" ref="M56:Q56" si="49">+D56/D$38</f>
        <v>0.39673770439707984</v>
      </c>
      <c r="N56" s="96">
        <f t="shared" si="49"/>
        <v>0.35637891341727723</v>
      </c>
      <c r="O56" s="96">
        <f t="shared" si="49"/>
        <v>0.35964250417165416</v>
      </c>
      <c r="P56" s="96">
        <f t="shared" si="49"/>
        <v>0.414540900527891</v>
      </c>
      <c r="Q56" s="96">
        <f t="shared" si="49"/>
        <v>0.35970000147841369</v>
      </c>
      <c r="R56" s="63">
        <f>SUM(D56:H56)/SUM(D$38:H$38)</f>
        <v>0.37814796479116991</v>
      </c>
    </row>
    <row r="57" spans="1:18" ht="7.5" customHeight="1" x14ac:dyDescent="0.2">
      <c r="A57" s="30"/>
      <c r="B57" s="98"/>
      <c r="C57" s="98"/>
      <c r="D57" s="98"/>
      <c r="E57" s="98"/>
      <c r="F57" s="98"/>
      <c r="G57" s="98"/>
      <c r="H57" s="98"/>
      <c r="I57" s="63"/>
      <c r="K57" s="98"/>
      <c r="L57" s="98"/>
      <c r="M57" s="98"/>
      <c r="N57" s="98"/>
      <c r="O57" s="98"/>
      <c r="P57" s="98"/>
      <c r="Q57" s="98"/>
    </row>
    <row r="58" spans="1:18" x14ac:dyDescent="0.2">
      <c r="A58" s="30" t="s">
        <v>156</v>
      </c>
      <c r="B58" s="98"/>
      <c r="C58" s="98"/>
      <c r="D58" s="98"/>
      <c r="E58" s="98"/>
      <c r="F58" s="98"/>
      <c r="G58" s="98"/>
      <c r="H58" s="98"/>
      <c r="I58" s="63"/>
      <c r="J58" t="str">
        <f t="shared" si="1"/>
        <v>Other Deferred Credit</v>
      </c>
      <c r="K58" s="98"/>
      <c r="L58" s="98"/>
      <c r="M58" s="98"/>
      <c r="N58" s="98"/>
      <c r="O58" s="98"/>
      <c r="P58" s="98"/>
      <c r="Q58" s="98"/>
    </row>
    <row r="59" spans="1:18" ht="7.5" customHeight="1" x14ac:dyDescent="0.2">
      <c r="A59" s="30"/>
      <c r="B59" s="98"/>
      <c r="C59" s="98"/>
      <c r="D59" s="98"/>
      <c r="E59" s="98"/>
      <c r="F59" s="98"/>
      <c r="G59" s="98"/>
      <c r="H59" s="98"/>
      <c r="I59" s="63"/>
      <c r="K59" s="98"/>
      <c r="L59" s="98"/>
      <c r="M59" s="98"/>
      <c r="N59" s="98"/>
      <c r="O59" s="98"/>
      <c r="P59" s="98"/>
      <c r="Q59" s="98"/>
    </row>
    <row r="60" spans="1:18" x14ac:dyDescent="0.2">
      <c r="A60" s="51" t="s">
        <v>78</v>
      </c>
      <c r="B60" s="98"/>
      <c r="C60" s="98"/>
      <c r="D60" s="98"/>
      <c r="E60" s="98"/>
      <c r="F60" s="98"/>
      <c r="G60" s="98"/>
      <c r="H60" s="98"/>
      <c r="I60" s="216"/>
      <c r="J60" s="51" t="str">
        <f t="shared" si="1"/>
        <v>Common Equity:</v>
      </c>
      <c r="K60" s="98"/>
      <c r="L60" s="98"/>
      <c r="M60" s="98"/>
      <c r="N60" s="98"/>
      <c r="O60" s="98"/>
      <c r="P60" s="98"/>
      <c r="Q60" s="98"/>
    </row>
    <row r="61" spans="1:18" x14ac:dyDescent="0.2">
      <c r="A61" s="30" t="s">
        <v>217</v>
      </c>
      <c r="B61" s="98">
        <v>368968</v>
      </c>
      <c r="C61" s="98">
        <v>642339</v>
      </c>
      <c r="D61" s="98">
        <v>485515</v>
      </c>
      <c r="E61" s="98">
        <v>459818</v>
      </c>
      <c r="F61" s="98">
        <v>772101</v>
      </c>
      <c r="G61" s="98">
        <v>950402</v>
      </c>
      <c r="H61" s="98">
        <v>1037972</v>
      </c>
      <c r="I61" s="63">
        <f t="shared" ref="I61:I65" si="50">RATE(5,,-C61,H61)</f>
        <v>0.10073878527073304</v>
      </c>
      <c r="J61" t="str">
        <f t="shared" si="1"/>
        <v>Other Equities</v>
      </c>
      <c r="K61" s="96">
        <f t="shared" ref="K61:L65" si="51">+B61/B$38</f>
        <v>1.9002865612851791E-2</v>
      </c>
      <c r="L61" s="96">
        <f t="shared" si="51"/>
        <v>3.2954275294679931E-2</v>
      </c>
      <c r="M61" s="96">
        <f t="shared" ref="M61:M65" si="52">+D61/D$38</f>
        <v>2.388352754558809E-2</v>
      </c>
      <c r="N61" s="96">
        <f t="shared" ref="N61:N65" si="53">+E61/E$38</f>
        <v>2.2861603912910144E-2</v>
      </c>
      <c r="O61" s="96">
        <f t="shared" ref="O61:O65" si="54">+F61/F$38</f>
        <v>3.7435359724201492E-2</v>
      </c>
      <c r="P61" s="96">
        <f t="shared" ref="P61:Q65" si="55">+G61/G$38</f>
        <v>3.943413627245379E-2</v>
      </c>
      <c r="Q61" s="96">
        <f t="shared" si="55"/>
        <v>4.3969972019855814E-2</v>
      </c>
      <c r="R61" s="63">
        <f t="shared" ref="R61:R65" si="56">SUM(D61:H61)/SUM(D$38:H$38)</f>
        <v>3.4068923734886646E-2</v>
      </c>
    </row>
    <row r="62" spans="1:18" x14ac:dyDescent="0.2">
      <c r="A62" s="66" t="s">
        <v>113</v>
      </c>
      <c r="B62" s="98">
        <v>10987483</v>
      </c>
      <c r="C62" s="98">
        <v>11170753</v>
      </c>
      <c r="D62" s="98">
        <v>11777870</v>
      </c>
      <c r="E62" s="98">
        <v>12485405</v>
      </c>
      <c r="F62" s="98">
        <v>12435216</v>
      </c>
      <c r="G62" s="98">
        <v>13159746</v>
      </c>
      <c r="H62" s="98">
        <v>14077195</v>
      </c>
      <c r="I62" s="63">
        <f t="shared" si="50"/>
        <v>4.7337697116457522E-2</v>
      </c>
      <c r="J62" t="str">
        <f t="shared" si="1"/>
        <v>Patrons Capital</v>
      </c>
      <c r="K62" s="96">
        <f t="shared" si="51"/>
        <v>0.56588555883570835</v>
      </c>
      <c r="L62" s="96">
        <f t="shared" si="51"/>
        <v>0.57309935970083048</v>
      </c>
      <c r="M62" s="96">
        <f t="shared" si="52"/>
        <v>0.57937876805733213</v>
      </c>
      <c r="N62" s="96">
        <f t="shared" si="53"/>
        <v>0.62075948266981262</v>
      </c>
      <c r="O62" s="96">
        <f t="shared" si="54"/>
        <v>0.60292213610414436</v>
      </c>
      <c r="P62" s="96">
        <f t="shared" si="55"/>
        <v>0.54602496319965521</v>
      </c>
      <c r="Q62" s="96">
        <f t="shared" si="55"/>
        <v>0.5963300265017305</v>
      </c>
      <c r="R62" s="63">
        <f t="shared" si="56"/>
        <v>0.58778311147394346</v>
      </c>
    </row>
    <row r="63" spans="1:18" x14ac:dyDescent="0.2">
      <c r="A63" s="66" t="s">
        <v>40</v>
      </c>
      <c r="B63" s="98"/>
      <c r="C63" s="98"/>
      <c r="D63" s="98"/>
      <c r="E63" s="98"/>
      <c r="F63" s="98"/>
      <c r="G63" s="98"/>
      <c r="H63" s="98"/>
      <c r="I63" s="67"/>
      <c r="J63" t="str">
        <f t="shared" si="1"/>
        <v>Retained Earnings</v>
      </c>
      <c r="K63" s="192">
        <f t="shared" si="51"/>
        <v>0</v>
      </c>
      <c r="L63" s="192">
        <f t="shared" si="51"/>
        <v>0</v>
      </c>
      <c r="M63" s="192">
        <f t="shared" si="52"/>
        <v>0</v>
      </c>
      <c r="N63" s="192">
        <f t="shared" si="53"/>
        <v>0</v>
      </c>
      <c r="O63" s="192">
        <f t="shared" si="54"/>
        <v>0</v>
      </c>
      <c r="P63" s="192">
        <f t="shared" si="55"/>
        <v>0</v>
      </c>
      <c r="Q63" s="192">
        <f t="shared" si="55"/>
        <v>0</v>
      </c>
      <c r="R63" s="67">
        <f t="shared" si="56"/>
        <v>0</v>
      </c>
    </row>
    <row r="64" spans="1:18" x14ac:dyDescent="0.2">
      <c r="A64" s="30" t="s">
        <v>138</v>
      </c>
      <c r="B64" s="135">
        <f t="shared" ref="B64:H64" si="57">SUM(B60:B63)</f>
        <v>11356451</v>
      </c>
      <c r="C64" s="135">
        <f t="shared" si="57"/>
        <v>11813092</v>
      </c>
      <c r="D64" s="135">
        <f t="shared" si="57"/>
        <v>12263385</v>
      </c>
      <c r="E64" s="135">
        <f t="shared" si="57"/>
        <v>12945223</v>
      </c>
      <c r="F64" s="135">
        <f t="shared" si="57"/>
        <v>13207317</v>
      </c>
      <c r="G64" s="135">
        <f t="shared" si="57"/>
        <v>14110148</v>
      </c>
      <c r="H64" s="135">
        <f t="shared" si="57"/>
        <v>15115167</v>
      </c>
      <c r="I64" s="71">
        <f t="shared" si="50"/>
        <v>5.053341952433435E-2</v>
      </c>
      <c r="J64" t="str">
        <f t="shared" si="1"/>
        <v>Total Patronage Equity</v>
      </c>
      <c r="K64" s="192">
        <f t="shared" si="51"/>
        <v>0.58488842444856004</v>
      </c>
      <c r="L64" s="192">
        <f t="shared" si="51"/>
        <v>0.60605363499551046</v>
      </c>
      <c r="M64" s="192">
        <f t="shared" si="52"/>
        <v>0.60326229560292022</v>
      </c>
      <c r="N64" s="192">
        <f t="shared" si="53"/>
        <v>0.64362108658272277</v>
      </c>
      <c r="O64" s="192">
        <f t="shared" si="54"/>
        <v>0.64035749582834589</v>
      </c>
      <c r="P64" s="192">
        <f t="shared" si="55"/>
        <v>0.58545909947210895</v>
      </c>
      <c r="Q64" s="192">
        <f t="shared" si="55"/>
        <v>0.64029999852158626</v>
      </c>
      <c r="R64" s="71">
        <f t="shared" si="56"/>
        <v>0.62185203520883003</v>
      </c>
    </row>
    <row r="65" spans="1:18" ht="13.5" thickBot="1" x14ac:dyDescent="0.25">
      <c r="A65" s="30" t="s">
        <v>54</v>
      </c>
      <c r="B65" s="137">
        <f t="shared" ref="B65:H65" si="58">B64+B56+B58</f>
        <v>19416440</v>
      </c>
      <c r="C65" s="137">
        <f t="shared" si="58"/>
        <v>19491826</v>
      </c>
      <c r="D65" s="137">
        <f t="shared" si="58"/>
        <v>20328446</v>
      </c>
      <c r="E65" s="137">
        <f t="shared" si="58"/>
        <v>20113112</v>
      </c>
      <c r="F65" s="137">
        <f t="shared" si="58"/>
        <v>20624912</v>
      </c>
      <c r="G65" s="137">
        <f t="shared" si="58"/>
        <v>24100997</v>
      </c>
      <c r="H65" s="137">
        <f t="shared" si="58"/>
        <v>23606383</v>
      </c>
      <c r="I65" s="72">
        <f t="shared" si="50"/>
        <v>3.9047459024769395E-2</v>
      </c>
      <c r="J65" t="str">
        <f t="shared" si="1"/>
        <v>Total Liabilities &amp; Equity</v>
      </c>
      <c r="K65" s="191">
        <f t="shared" si="51"/>
        <v>1</v>
      </c>
      <c r="L65" s="191">
        <f t="shared" si="51"/>
        <v>1</v>
      </c>
      <c r="M65" s="191">
        <f t="shared" si="52"/>
        <v>1</v>
      </c>
      <c r="N65" s="191">
        <f t="shared" si="53"/>
        <v>1</v>
      </c>
      <c r="O65" s="191">
        <f t="shared" si="54"/>
        <v>1</v>
      </c>
      <c r="P65" s="191">
        <f t="shared" si="55"/>
        <v>1</v>
      </c>
      <c r="Q65" s="191">
        <f t="shared" si="55"/>
        <v>1</v>
      </c>
      <c r="R65" s="72">
        <f t="shared" si="56"/>
        <v>1</v>
      </c>
    </row>
    <row r="66" spans="1:18" ht="13.5" thickTop="1" x14ac:dyDescent="0.2">
      <c r="A66" s="2"/>
      <c r="B66" s="139">
        <f t="shared" ref="B66" si="59">+B65-B38</f>
        <v>0</v>
      </c>
      <c r="C66" s="139">
        <f t="shared" ref="C66:D66" si="60">+C65-C38</f>
        <v>0</v>
      </c>
      <c r="D66" s="139">
        <f t="shared" si="60"/>
        <v>0</v>
      </c>
      <c r="E66" s="139">
        <f>+E65-E38</f>
        <v>0</v>
      </c>
      <c r="F66" s="139">
        <f>+F65-F38</f>
        <v>0</v>
      </c>
      <c r="G66" s="139">
        <f>+G65-G38</f>
        <v>0</v>
      </c>
      <c r="H66" s="139">
        <f>+H65-H38</f>
        <v>0</v>
      </c>
      <c r="I66" s="3"/>
    </row>
    <row r="67" spans="1:18" x14ac:dyDescent="0.2">
      <c r="A67" s="30"/>
      <c r="B67" s="30"/>
      <c r="C67" s="30"/>
      <c r="D67" s="30"/>
      <c r="E67" s="30"/>
      <c r="F67" s="30"/>
      <c r="G67" s="30"/>
      <c r="H67" s="30"/>
      <c r="I67" s="79" t="str">
        <f>+I1</f>
        <v>Exhibit 1</v>
      </c>
      <c r="J67" s="30"/>
      <c r="K67" s="30"/>
      <c r="L67" s="30"/>
      <c r="M67" s="30"/>
      <c r="N67" s="30"/>
      <c r="O67" s="30"/>
      <c r="P67" s="30"/>
      <c r="Q67" s="30"/>
      <c r="R67" s="79" t="str">
        <f>+R1</f>
        <v>Exhibit 1</v>
      </c>
    </row>
    <row r="68" spans="1:18" x14ac:dyDescent="0.2">
      <c r="A68" s="30"/>
      <c r="B68" s="30"/>
      <c r="C68" s="30"/>
      <c r="D68" s="30"/>
      <c r="E68" s="30"/>
      <c r="F68" s="30"/>
      <c r="G68" s="30"/>
      <c r="H68" s="30"/>
      <c r="I68" s="173" t="s">
        <v>160</v>
      </c>
      <c r="J68" s="30"/>
      <c r="K68" s="30"/>
      <c r="L68" s="30"/>
      <c r="M68" s="30"/>
      <c r="N68" s="30"/>
      <c r="O68" s="30"/>
      <c r="P68" s="30"/>
      <c r="Q68" s="30"/>
      <c r="R68" s="173" t="s">
        <v>159</v>
      </c>
    </row>
    <row r="69" spans="1:18" ht="18" x14ac:dyDescent="0.25">
      <c r="A69" s="76" t="str">
        <f>A3</f>
        <v>Bridger Valley Electric Association, Inc.</v>
      </c>
      <c r="B69" s="53"/>
      <c r="C69" s="53"/>
      <c r="D69" s="53"/>
      <c r="E69" s="53"/>
      <c r="F69" s="53"/>
      <c r="G69" s="53"/>
      <c r="H69" s="53"/>
      <c r="I69" s="54"/>
      <c r="J69" s="76" t="str">
        <f>J3</f>
        <v>Bridger Valley Electric Association, Inc.</v>
      </c>
      <c r="K69" s="53"/>
      <c r="L69" s="53"/>
      <c r="M69" s="53"/>
      <c r="N69" s="53"/>
      <c r="O69" s="53"/>
      <c r="P69" s="53"/>
      <c r="Q69" s="53"/>
      <c r="R69" s="54"/>
    </row>
    <row r="70" spans="1:18" ht="15.75" x14ac:dyDescent="0.25">
      <c r="A70" s="77" t="s">
        <v>23</v>
      </c>
      <c r="B70" s="53"/>
      <c r="C70" s="53"/>
      <c r="D70" s="53"/>
      <c r="E70" s="53"/>
      <c r="F70" s="53"/>
      <c r="G70" s="53"/>
      <c r="H70" s="53"/>
      <c r="I70" s="54"/>
      <c r="J70" s="77" t="str">
        <f>+J4</f>
        <v>Common Size</v>
      </c>
      <c r="K70" s="53"/>
      <c r="L70" s="53"/>
      <c r="M70" s="53"/>
      <c r="N70" s="53"/>
      <c r="O70" s="53"/>
      <c r="P70" s="53"/>
      <c r="Q70" s="53"/>
      <c r="R70" s="54"/>
    </row>
    <row r="71" spans="1:18" ht="15.75" x14ac:dyDescent="0.25">
      <c r="A71" s="78" t="str">
        <f>A5</f>
        <v>Years Ended December 31</v>
      </c>
      <c r="B71" s="53"/>
      <c r="C71" s="53"/>
      <c r="D71" s="53"/>
      <c r="E71" s="53"/>
      <c r="F71" s="53"/>
      <c r="G71" s="53"/>
      <c r="H71" s="53"/>
      <c r="I71" s="54"/>
      <c r="J71" s="78" t="s">
        <v>212</v>
      </c>
      <c r="K71" s="53"/>
      <c r="L71" s="53"/>
      <c r="M71" s="53"/>
      <c r="N71" s="53"/>
      <c r="O71" s="53"/>
      <c r="P71" s="53"/>
      <c r="Q71" s="53"/>
      <c r="R71" s="54"/>
    </row>
    <row r="72" spans="1:18" ht="15.75" x14ac:dyDescent="0.25">
      <c r="A72" s="77"/>
      <c r="B72" s="53"/>
      <c r="C72" s="53"/>
      <c r="D72" s="53"/>
      <c r="E72" s="53"/>
      <c r="F72" s="53"/>
      <c r="G72" s="53"/>
      <c r="H72" s="53"/>
      <c r="I72" s="54"/>
      <c r="J72" s="77"/>
      <c r="K72" s="53"/>
      <c r="L72" s="53"/>
      <c r="M72" s="53"/>
      <c r="N72" s="53"/>
      <c r="O72" s="53"/>
      <c r="P72" s="53"/>
      <c r="Q72" s="53"/>
      <c r="R72" s="199"/>
    </row>
    <row r="73" spans="1:18" x14ac:dyDescent="0.2">
      <c r="A73" s="125"/>
      <c r="B73" s="125"/>
      <c r="C73" s="125"/>
      <c r="D73" s="125"/>
      <c r="E73" s="128"/>
      <c r="F73" s="128"/>
      <c r="G73" s="128"/>
      <c r="H73" s="128"/>
      <c r="I73" s="149" t="str">
        <f>+I7</f>
        <v>2009 to 2013</v>
      </c>
      <c r="J73" s="125"/>
      <c r="K73" s="125"/>
      <c r="L73" s="125"/>
      <c r="M73" s="125"/>
      <c r="N73" s="128"/>
      <c r="O73" s="128"/>
      <c r="P73" s="128"/>
      <c r="Q73" s="128"/>
      <c r="R73" s="122"/>
    </row>
    <row r="74" spans="1:18" x14ac:dyDescent="0.2">
      <c r="A74" s="125"/>
      <c r="B74" s="125"/>
      <c r="C74" s="125"/>
      <c r="D74" s="128"/>
      <c r="E74" s="128"/>
      <c r="F74" s="128"/>
      <c r="G74" s="128"/>
      <c r="H74" s="128"/>
      <c r="I74" s="149" t="s">
        <v>6</v>
      </c>
      <c r="J74" s="125"/>
      <c r="K74" s="125"/>
      <c r="L74" s="125"/>
      <c r="M74" s="128"/>
      <c r="N74" s="128"/>
      <c r="O74" s="128"/>
      <c r="P74" s="128"/>
      <c r="Q74" s="128"/>
      <c r="R74" s="122" t="str">
        <f>+R8</f>
        <v>2009 to 2013</v>
      </c>
    </row>
    <row r="75" spans="1:18" x14ac:dyDescent="0.2">
      <c r="A75" s="130" t="s">
        <v>1</v>
      </c>
      <c r="B75" s="127">
        <f>+B9</f>
        <v>2007</v>
      </c>
      <c r="C75" s="127">
        <f>+C9</f>
        <v>2008</v>
      </c>
      <c r="D75" s="127">
        <f t="shared" ref="D75:G75" si="61">+D9</f>
        <v>2009</v>
      </c>
      <c r="E75" s="127">
        <f t="shared" si="61"/>
        <v>2010</v>
      </c>
      <c r="F75" s="127">
        <f t="shared" si="61"/>
        <v>2011</v>
      </c>
      <c r="G75" s="127">
        <f t="shared" si="61"/>
        <v>2012</v>
      </c>
      <c r="H75" s="127">
        <f t="shared" ref="H75" si="62">+H9</f>
        <v>2013</v>
      </c>
      <c r="I75" s="196" t="s">
        <v>35</v>
      </c>
      <c r="J75" s="130" t="s">
        <v>1</v>
      </c>
      <c r="K75" s="127">
        <f>+K9</f>
        <v>2007</v>
      </c>
      <c r="L75" s="127">
        <f>+L9</f>
        <v>2008</v>
      </c>
      <c r="M75" s="127">
        <f t="shared" ref="M75:P75" si="63">+M9</f>
        <v>2009</v>
      </c>
      <c r="N75" s="127">
        <f t="shared" si="63"/>
        <v>2010</v>
      </c>
      <c r="O75" s="127">
        <f t="shared" si="63"/>
        <v>2011</v>
      </c>
      <c r="P75" s="127">
        <f t="shared" si="63"/>
        <v>2012</v>
      </c>
      <c r="Q75" s="127">
        <f t="shared" ref="Q75" si="64">+Q9</f>
        <v>2013</v>
      </c>
      <c r="R75" s="123" t="str">
        <f>+R9</f>
        <v>Wt Average</v>
      </c>
    </row>
    <row r="76" spans="1:18" x14ac:dyDescent="0.2">
      <c r="A76" s="30"/>
      <c r="B76" s="30"/>
      <c r="C76" s="30"/>
      <c r="D76" s="69"/>
      <c r="E76" s="69"/>
      <c r="F76" s="70"/>
      <c r="G76" s="70"/>
      <c r="H76" s="70"/>
      <c r="I76" s="63"/>
      <c r="R76" s="6"/>
    </row>
    <row r="77" spans="1:18" x14ac:dyDescent="0.2">
      <c r="A77" s="30" t="s">
        <v>118</v>
      </c>
      <c r="B77" s="98">
        <v>8257756</v>
      </c>
      <c r="C77" s="98">
        <v>8834722</v>
      </c>
      <c r="D77" s="98">
        <v>9583098</v>
      </c>
      <c r="E77" s="140">
        <v>10290162</v>
      </c>
      <c r="F77" s="140">
        <v>10733146</v>
      </c>
      <c r="G77" s="140">
        <v>11344663</v>
      </c>
      <c r="H77" s="140">
        <v>12304949</v>
      </c>
      <c r="I77" s="63">
        <f>RATE(5,,-C77,H77)</f>
        <v>6.8507035193212884E-2</v>
      </c>
      <c r="J77" t="str">
        <f t="shared" ref="J77:J103" si="65">+A77</f>
        <v>Operating Revenues</v>
      </c>
      <c r="K77" s="96">
        <f>+B77/B$79</f>
        <v>1</v>
      </c>
      <c r="L77" s="96">
        <f>+C77/C$79</f>
        <v>1</v>
      </c>
      <c r="M77" s="96">
        <f t="shared" ref="M77:Q77" si="66">+D77/D$79</f>
        <v>1</v>
      </c>
      <c r="N77" s="96">
        <f t="shared" si="66"/>
        <v>1</v>
      </c>
      <c r="O77" s="96">
        <f t="shared" si="66"/>
        <v>1</v>
      </c>
      <c r="P77" s="96">
        <f t="shared" si="66"/>
        <v>1</v>
      </c>
      <c r="Q77" s="96">
        <f t="shared" si="66"/>
        <v>1</v>
      </c>
      <c r="R77" s="1">
        <f>+P77</f>
        <v>1</v>
      </c>
    </row>
    <row r="78" spans="1:18" x14ac:dyDescent="0.2">
      <c r="A78" s="30"/>
      <c r="B78" s="141"/>
      <c r="C78" s="141"/>
      <c r="D78" s="141"/>
      <c r="E78" s="140"/>
      <c r="F78" s="140"/>
      <c r="G78" s="140"/>
      <c r="H78" s="140"/>
      <c r="I78" s="67"/>
      <c r="K78" s="193"/>
      <c r="L78" s="193"/>
      <c r="M78" s="193"/>
      <c r="N78" s="193"/>
      <c r="O78" s="193"/>
      <c r="P78" s="193"/>
      <c r="Q78" s="193"/>
      <c r="R78" s="193"/>
    </row>
    <row r="79" spans="1:18" x14ac:dyDescent="0.2">
      <c r="A79" s="30" t="s">
        <v>67</v>
      </c>
      <c r="B79" s="142">
        <f t="shared" ref="B79:H79" si="67">SUM(B76:B78)</f>
        <v>8257756</v>
      </c>
      <c r="C79" s="142">
        <f t="shared" si="67"/>
        <v>8834722</v>
      </c>
      <c r="D79" s="142">
        <f t="shared" si="67"/>
        <v>9583098</v>
      </c>
      <c r="E79" s="143">
        <f t="shared" si="67"/>
        <v>10290162</v>
      </c>
      <c r="F79" s="143">
        <f t="shared" si="67"/>
        <v>10733146</v>
      </c>
      <c r="G79" s="143">
        <f t="shared" si="67"/>
        <v>11344663</v>
      </c>
      <c r="H79" s="143">
        <f t="shared" si="67"/>
        <v>12304949</v>
      </c>
      <c r="I79" s="63">
        <f>RATE(5,,-C79,H79)</f>
        <v>6.8507035193212884E-2</v>
      </c>
      <c r="J79" t="str">
        <f t="shared" si="65"/>
        <v>Total Revenues</v>
      </c>
      <c r="K79" s="96">
        <f>+B79/B$79</f>
        <v>1</v>
      </c>
      <c r="L79" s="96">
        <f>+C79/C$79</f>
        <v>1</v>
      </c>
      <c r="M79" s="96">
        <f t="shared" ref="M79:Q79" si="68">+D79/D$79</f>
        <v>1</v>
      </c>
      <c r="N79" s="96">
        <f t="shared" si="68"/>
        <v>1</v>
      </c>
      <c r="O79" s="96">
        <f t="shared" si="68"/>
        <v>1</v>
      </c>
      <c r="P79" s="96">
        <f t="shared" si="68"/>
        <v>1</v>
      </c>
      <c r="Q79" s="96">
        <f t="shared" si="68"/>
        <v>1</v>
      </c>
      <c r="R79" s="1">
        <f>+P79</f>
        <v>1</v>
      </c>
    </row>
    <row r="80" spans="1:18" x14ac:dyDescent="0.2">
      <c r="A80" s="30"/>
      <c r="B80" s="141"/>
      <c r="C80" s="141"/>
      <c r="D80" s="141"/>
      <c r="E80" s="140"/>
      <c r="F80" s="140"/>
      <c r="G80" s="140"/>
      <c r="H80" s="140"/>
      <c r="I80" s="63"/>
    </row>
    <row r="81" spans="1:18" x14ac:dyDescent="0.2">
      <c r="A81" s="30" t="s">
        <v>32</v>
      </c>
      <c r="B81" s="141"/>
      <c r="C81" s="141"/>
      <c r="D81" s="141"/>
      <c r="E81" s="140"/>
      <c r="F81" s="140"/>
      <c r="G81" s="140"/>
      <c r="H81" s="140"/>
      <c r="I81" s="63"/>
      <c r="J81" t="str">
        <f t="shared" si="65"/>
        <v>Operating Expenses:</v>
      </c>
    </row>
    <row r="82" spans="1:18" x14ac:dyDescent="0.2">
      <c r="A82" s="88" t="s">
        <v>128</v>
      </c>
      <c r="B82" s="141">
        <v>3850516</v>
      </c>
      <c r="C82" s="141">
        <v>3997488</v>
      </c>
      <c r="D82" s="141">
        <v>4251305</v>
      </c>
      <c r="E82" s="140">
        <v>4877371</v>
      </c>
      <c r="F82" s="140">
        <v>5159703</v>
      </c>
      <c r="G82" s="140">
        <v>5388895</v>
      </c>
      <c r="H82" s="140">
        <v>6027011</v>
      </c>
      <c r="I82" s="63">
        <f t="shared" ref="I82:I92" si="69">RATE(5,,-C82,H82)</f>
        <v>8.5582823356171095E-2</v>
      </c>
      <c r="J82" t="str">
        <f t="shared" si="65"/>
        <v>Cost of Purchased Power</v>
      </c>
      <c r="K82" s="96">
        <f t="shared" ref="K82:L92" si="70">+B82/B$79</f>
        <v>0.46629084220943318</v>
      </c>
      <c r="L82" s="96">
        <f t="shared" si="70"/>
        <v>0.45247467888633053</v>
      </c>
      <c r="M82" s="96">
        <f t="shared" ref="M82:M92" si="71">+D82/D$79</f>
        <v>0.44362532867763638</v>
      </c>
      <c r="N82" s="96">
        <f t="shared" ref="N82:N92" si="72">+E82/E$79</f>
        <v>0.47398388868902164</v>
      </c>
      <c r="O82" s="206">
        <f t="shared" ref="O82:O92" si="73">+F82/F$79</f>
        <v>0.48072606111945182</v>
      </c>
      <c r="P82" s="206">
        <f t="shared" ref="P82:Q92" si="74">+G82/G$79</f>
        <v>0.47501587310262106</v>
      </c>
      <c r="Q82" s="206">
        <f t="shared" si="74"/>
        <v>0.48980381795974937</v>
      </c>
      <c r="R82" s="96">
        <f>SUM(D82:H82)/SUM(D$79:H$79)</f>
        <v>0.47375915055174156</v>
      </c>
    </row>
    <row r="83" spans="1:18" x14ac:dyDescent="0.2">
      <c r="A83" s="88" t="s">
        <v>144</v>
      </c>
      <c r="B83" s="141">
        <v>996612</v>
      </c>
      <c r="C83" s="141">
        <v>1115382</v>
      </c>
      <c r="D83" s="144">
        <v>1208051</v>
      </c>
      <c r="E83" s="145">
        <v>1334909</v>
      </c>
      <c r="F83" s="145">
        <v>1261069</v>
      </c>
      <c r="G83" s="145">
        <v>1551918</v>
      </c>
      <c r="H83" s="145">
        <v>1461950</v>
      </c>
      <c r="I83" s="63">
        <f t="shared" si="69"/>
        <v>5.5605823897767859E-2</v>
      </c>
      <c r="J83" t="str">
        <f t="shared" si="65"/>
        <v>Administrative and General Expenses</v>
      </c>
      <c r="K83" s="96">
        <f t="shared" si="70"/>
        <v>0.12068799320299607</v>
      </c>
      <c r="L83" s="96">
        <f t="shared" si="70"/>
        <v>0.12624981295393337</v>
      </c>
      <c r="M83" s="96">
        <f t="shared" si="71"/>
        <v>0.12606059126182367</v>
      </c>
      <c r="N83" s="96">
        <f t="shared" si="72"/>
        <v>0.12972672344711386</v>
      </c>
      <c r="O83" s="206">
        <f t="shared" si="73"/>
        <v>0.11749295127449119</v>
      </c>
      <c r="P83" s="206">
        <f t="shared" si="74"/>
        <v>0.13679718824613829</v>
      </c>
      <c r="Q83" s="206">
        <f t="shared" si="74"/>
        <v>0.11880991948849198</v>
      </c>
      <c r="R83" s="96">
        <f t="shared" ref="R83:R92" si="75">SUM(D83:H83)/SUM(D$79:H$79)</f>
        <v>0.12566158098812191</v>
      </c>
    </row>
    <row r="84" spans="1:18" x14ac:dyDescent="0.2">
      <c r="A84" s="89" t="s">
        <v>219</v>
      </c>
      <c r="B84" s="141">
        <v>1098627</v>
      </c>
      <c r="C84" s="141">
        <v>1293425</v>
      </c>
      <c r="D84" s="140">
        <v>1552880</v>
      </c>
      <c r="E84" s="140">
        <v>1340355</v>
      </c>
      <c r="F84" s="140">
        <v>1384210</v>
      </c>
      <c r="G84" s="140">
        <v>1269970</v>
      </c>
      <c r="H84" s="140">
        <v>1440334</v>
      </c>
      <c r="I84" s="63">
        <f t="shared" si="69"/>
        <v>2.1749402293186688E-2</v>
      </c>
      <c r="J84" t="str">
        <f t="shared" si="65"/>
        <v>Distribution  Expense - Operation</v>
      </c>
      <c r="K84" s="96">
        <f t="shared" si="70"/>
        <v>0.13304183364100369</v>
      </c>
      <c r="L84" s="96">
        <f t="shared" si="70"/>
        <v>0.14640245612708583</v>
      </c>
      <c r="M84" s="96">
        <f t="shared" si="71"/>
        <v>0.16204363140187025</v>
      </c>
      <c r="N84" s="96">
        <f t="shared" si="72"/>
        <v>0.13025596681568277</v>
      </c>
      <c r="O84" s="206">
        <f t="shared" si="73"/>
        <v>0.12896591549206543</v>
      </c>
      <c r="P84" s="206">
        <f t="shared" si="74"/>
        <v>0.11194426841943211</v>
      </c>
      <c r="Q84" s="206">
        <f t="shared" si="74"/>
        <v>0.11705322793292357</v>
      </c>
      <c r="R84" s="96">
        <f t="shared" si="75"/>
        <v>0.1287921461541833</v>
      </c>
    </row>
    <row r="85" spans="1:18" x14ac:dyDescent="0.2">
      <c r="A85" s="208" t="s">
        <v>220</v>
      </c>
      <c r="B85" s="141">
        <v>236106</v>
      </c>
      <c r="C85" s="141">
        <v>249765</v>
      </c>
      <c r="D85" s="140">
        <v>334725</v>
      </c>
      <c r="E85" s="140">
        <v>392723</v>
      </c>
      <c r="F85" s="140">
        <v>454558</v>
      </c>
      <c r="G85" s="140">
        <v>265850</v>
      </c>
      <c r="H85" s="140">
        <v>348324</v>
      </c>
      <c r="I85" s="63">
        <f t="shared" si="69"/>
        <v>6.8785033982052102E-2</v>
      </c>
      <c r="J85" t="str">
        <f t="shared" ref="J85" si="76">+A85</f>
        <v>Distribution  Expense - Maintenance</v>
      </c>
      <c r="K85" s="96">
        <f t="shared" ref="K85:L85" si="77">+B85/B$79</f>
        <v>2.8592029117837824E-2</v>
      </c>
      <c r="L85" s="96">
        <f t="shared" si="77"/>
        <v>2.827083862967052E-2</v>
      </c>
      <c r="M85" s="96">
        <f t="shared" ref="M85" si="78">+D85/D$79</f>
        <v>3.4928683813939918E-2</v>
      </c>
      <c r="N85" s="96">
        <f t="shared" ref="N85" si="79">+E85/E$79</f>
        <v>3.816489963909217E-2</v>
      </c>
      <c r="O85" s="206">
        <f t="shared" ref="O85" si="80">+F85/F$79</f>
        <v>4.2350863390845518E-2</v>
      </c>
      <c r="P85" s="206">
        <f t="shared" ref="P85:Q85" si="81">+G85/G$79</f>
        <v>2.3433926596144811E-2</v>
      </c>
      <c r="Q85" s="206">
        <f t="shared" si="81"/>
        <v>2.8307634594828469E-2</v>
      </c>
      <c r="R85" s="96">
        <f t="shared" si="75"/>
        <v>3.3105636318537052E-2</v>
      </c>
    </row>
    <row r="86" spans="1:18" x14ac:dyDescent="0.2">
      <c r="A86" s="90" t="s">
        <v>221</v>
      </c>
      <c r="B86" s="141">
        <v>818302</v>
      </c>
      <c r="C86" s="141">
        <v>887587</v>
      </c>
      <c r="D86" s="140">
        <v>954888</v>
      </c>
      <c r="E86" s="140">
        <v>987316</v>
      </c>
      <c r="F86" s="140">
        <v>1057206</v>
      </c>
      <c r="G86" s="140">
        <v>1100779</v>
      </c>
      <c r="H86" s="140">
        <v>1111049</v>
      </c>
      <c r="I86" s="63">
        <f t="shared" si="69"/>
        <v>4.5934422071076106E-2</v>
      </c>
      <c r="J86" t="str">
        <f t="shared" si="65"/>
        <v>Depreciation and amortization</v>
      </c>
      <c r="K86" s="96">
        <f t="shared" si="70"/>
        <v>9.9094959938268945E-2</v>
      </c>
      <c r="L86" s="96">
        <f t="shared" si="70"/>
        <v>0.10046575319517694</v>
      </c>
      <c r="M86" s="96">
        <f t="shared" si="71"/>
        <v>9.9642933840392744E-2</v>
      </c>
      <c r="N86" s="96">
        <f t="shared" si="72"/>
        <v>9.5947566228792122E-2</v>
      </c>
      <c r="O86" s="206">
        <f t="shared" si="73"/>
        <v>9.8499172563198151E-2</v>
      </c>
      <c r="P86" s="206">
        <f t="shared" si="74"/>
        <v>9.7030559656113194E-2</v>
      </c>
      <c r="Q86" s="206">
        <f t="shared" si="74"/>
        <v>9.0292856963486809E-2</v>
      </c>
      <c r="R86" s="96">
        <f t="shared" si="75"/>
        <v>9.6049031832745269E-2</v>
      </c>
    </row>
    <row r="87" spans="1:18" x14ac:dyDescent="0.2">
      <c r="A87" s="90" t="s">
        <v>222</v>
      </c>
      <c r="B87" s="141">
        <v>354340</v>
      </c>
      <c r="C87" s="141">
        <v>386222</v>
      </c>
      <c r="D87" s="140">
        <v>413328</v>
      </c>
      <c r="E87" s="140">
        <v>387704</v>
      </c>
      <c r="F87" s="140">
        <v>415837</v>
      </c>
      <c r="G87" s="140">
        <v>416458</v>
      </c>
      <c r="H87" s="140">
        <v>370970</v>
      </c>
      <c r="I87" s="63">
        <f t="shared" si="69"/>
        <v>-8.0258468947320416E-3</v>
      </c>
      <c r="J87" t="str">
        <f t="shared" si="65"/>
        <v>Consumer Accounts</v>
      </c>
      <c r="K87" s="96">
        <f t="shared" si="70"/>
        <v>4.2909962464378941E-2</v>
      </c>
      <c r="L87" s="96">
        <f t="shared" si="70"/>
        <v>4.3716372739289362E-2</v>
      </c>
      <c r="M87" s="96">
        <f t="shared" si="71"/>
        <v>4.3130937406671621E-2</v>
      </c>
      <c r="N87" s="96">
        <f t="shared" si="72"/>
        <v>3.7677152215873762E-2</v>
      </c>
      <c r="O87" s="206">
        <f t="shared" si="73"/>
        <v>3.8743253841883825E-2</v>
      </c>
      <c r="P87" s="206">
        <f t="shared" si="74"/>
        <v>3.6709596397883307E-2</v>
      </c>
      <c r="Q87" s="206">
        <f t="shared" si="74"/>
        <v>3.0148032307976247E-2</v>
      </c>
      <c r="R87" s="96">
        <f t="shared" si="75"/>
        <v>3.6941468870789598E-2</v>
      </c>
    </row>
    <row r="88" spans="1:18" x14ac:dyDescent="0.2">
      <c r="A88" s="90" t="s">
        <v>223</v>
      </c>
      <c r="B88" s="141">
        <v>68390</v>
      </c>
      <c r="C88" s="141">
        <v>74571</v>
      </c>
      <c r="D88" s="140">
        <v>93355</v>
      </c>
      <c r="E88" s="140">
        <v>84681</v>
      </c>
      <c r="F88" s="140">
        <v>102779</v>
      </c>
      <c r="G88" s="140">
        <v>102159</v>
      </c>
      <c r="H88" s="140">
        <v>92360</v>
      </c>
      <c r="I88" s="63">
        <f t="shared" si="69"/>
        <v>4.3717082081893892E-2</v>
      </c>
      <c r="J88" t="str">
        <f t="shared" si="65"/>
        <v>Customer Service</v>
      </c>
      <c r="K88" s="96">
        <f t="shared" si="70"/>
        <v>8.2819109695176276E-3</v>
      </c>
      <c r="L88" s="96">
        <f t="shared" si="70"/>
        <v>8.4406730624913828E-3</v>
      </c>
      <c r="M88" s="96">
        <f t="shared" si="71"/>
        <v>9.7416305249095857E-3</v>
      </c>
      <c r="N88" s="96">
        <f t="shared" si="72"/>
        <v>8.229316506387363E-3</v>
      </c>
      <c r="O88" s="206">
        <f t="shared" si="73"/>
        <v>9.5758503611149976E-3</v>
      </c>
      <c r="P88" s="206">
        <f t="shared" si="74"/>
        <v>9.0050272978580322E-3</v>
      </c>
      <c r="Q88" s="206">
        <f t="shared" si="74"/>
        <v>7.5059230233298817E-3</v>
      </c>
      <c r="R88" s="96">
        <f t="shared" si="75"/>
        <v>8.760945191370292E-3</v>
      </c>
    </row>
    <row r="89" spans="1:18" x14ac:dyDescent="0.2">
      <c r="A89" s="208" t="s">
        <v>224</v>
      </c>
      <c r="B89" s="141">
        <v>43464</v>
      </c>
      <c r="C89" s="141">
        <v>59891</v>
      </c>
      <c r="D89" s="141">
        <v>52918</v>
      </c>
      <c r="E89" s="140">
        <v>36472</v>
      </c>
      <c r="F89" s="140">
        <v>54475</v>
      </c>
      <c r="G89" s="140">
        <v>46334</v>
      </c>
      <c r="H89" s="140">
        <v>45960</v>
      </c>
      <c r="I89" s="63">
        <f t="shared" si="69"/>
        <v>-5.1573476007096122E-2</v>
      </c>
      <c r="J89" t="str">
        <f t="shared" si="65"/>
        <v>Transmission Expense</v>
      </c>
      <c r="K89" s="96">
        <f t="shared" si="70"/>
        <v>5.2634153879092573E-3</v>
      </c>
      <c r="L89" s="96">
        <f t="shared" si="70"/>
        <v>6.7790474901191005E-3</v>
      </c>
      <c r="M89" s="96">
        <f t="shared" si="71"/>
        <v>5.5220138623230195E-3</v>
      </c>
      <c r="N89" s="96">
        <f t="shared" si="72"/>
        <v>3.5443562501737097E-3</v>
      </c>
      <c r="O89" s="96">
        <f t="shared" si="73"/>
        <v>5.0753991420595598E-3</v>
      </c>
      <c r="P89" s="96">
        <f t="shared" si="74"/>
        <v>4.0842112277817335E-3</v>
      </c>
      <c r="Q89" s="96">
        <f t="shared" si="74"/>
        <v>3.7350825265509025E-3</v>
      </c>
      <c r="R89" s="96">
        <f t="shared" si="75"/>
        <v>4.352678443891699E-3</v>
      </c>
    </row>
    <row r="90" spans="1:18" x14ac:dyDescent="0.2">
      <c r="A90" s="90" t="s">
        <v>225</v>
      </c>
      <c r="B90" s="141">
        <v>89917</v>
      </c>
      <c r="C90" s="141">
        <v>97394</v>
      </c>
      <c r="D90" s="141">
        <v>68250</v>
      </c>
      <c r="E90" s="140">
        <v>72279</v>
      </c>
      <c r="F90" s="140">
        <v>88817</v>
      </c>
      <c r="G90" s="140">
        <v>94296</v>
      </c>
      <c r="H90" s="140">
        <v>126451</v>
      </c>
      <c r="I90" s="67">
        <f t="shared" si="69"/>
        <v>5.3605461245633181E-2</v>
      </c>
      <c r="J90" t="str">
        <f t="shared" si="65"/>
        <v>Taxes, other than income taxes</v>
      </c>
      <c r="K90" s="192">
        <f t="shared" si="70"/>
        <v>1.0888793517270309E-2</v>
      </c>
      <c r="L90" s="192">
        <f t="shared" si="70"/>
        <v>1.1024002792617582E-2</v>
      </c>
      <c r="M90" s="192">
        <f t="shared" si="71"/>
        <v>7.1219140198712358E-3</v>
      </c>
      <c r="N90" s="192">
        <f t="shared" si="72"/>
        <v>7.0240876674244777E-3</v>
      </c>
      <c r="O90" s="192">
        <f t="shared" si="73"/>
        <v>8.2750202037687737E-3</v>
      </c>
      <c r="P90" s="192">
        <f t="shared" si="74"/>
        <v>8.3119260572129816E-3</v>
      </c>
      <c r="Q90" s="192">
        <f t="shared" si="74"/>
        <v>1.0276434302978419E-2</v>
      </c>
      <c r="R90" s="192">
        <f t="shared" si="75"/>
        <v>8.2957249092626001E-3</v>
      </c>
    </row>
    <row r="91" spans="1:18" x14ac:dyDescent="0.2">
      <c r="A91" s="30" t="s">
        <v>56</v>
      </c>
      <c r="B91" s="142">
        <f t="shared" ref="B91:H91" si="82">SUM(B81:B90)</f>
        <v>7556274</v>
      </c>
      <c r="C91" s="142">
        <f t="shared" si="82"/>
        <v>8161725</v>
      </c>
      <c r="D91" s="142">
        <f t="shared" si="82"/>
        <v>8929700</v>
      </c>
      <c r="E91" s="143">
        <f t="shared" si="82"/>
        <v>9513810</v>
      </c>
      <c r="F91" s="143">
        <f t="shared" si="82"/>
        <v>9978654</v>
      </c>
      <c r="G91" s="143">
        <f t="shared" si="82"/>
        <v>10236659</v>
      </c>
      <c r="H91" s="143">
        <f t="shared" si="82"/>
        <v>11024409</v>
      </c>
      <c r="I91" s="71">
        <f t="shared" si="69"/>
        <v>6.1975926147774772E-2</v>
      </c>
      <c r="J91" t="str">
        <f t="shared" si="65"/>
        <v>Total Operating Expenses</v>
      </c>
      <c r="K91" s="198">
        <f t="shared" si="70"/>
        <v>0.91505174044861581</v>
      </c>
      <c r="L91" s="198">
        <f t="shared" si="70"/>
        <v>0.92382363587671468</v>
      </c>
      <c r="M91" s="198">
        <f t="shared" si="71"/>
        <v>0.93181766480943851</v>
      </c>
      <c r="N91" s="198">
        <f t="shared" si="72"/>
        <v>0.92455395745956181</v>
      </c>
      <c r="O91" s="198">
        <f t="shared" si="73"/>
        <v>0.92970448738887923</v>
      </c>
      <c r="P91" s="198">
        <f t="shared" si="74"/>
        <v>0.90233257700118552</v>
      </c>
      <c r="Q91" s="198">
        <f t="shared" si="74"/>
        <v>0.89593292910031563</v>
      </c>
      <c r="R91" s="198">
        <f t="shared" si="75"/>
        <v>0.91571836326064326</v>
      </c>
    </row>
    <row r="92" spans="1:18" x14ac:dyDescent="0.2">
      <c r="A92" s="30" t="s">
        <v>19</v>
      </c>
      <c r="B92" s="142">
        <f t="shared" ref="B92:H92" si="83">B79-B91</f>
        <v>701482</v>
      </c>
      <c r="C92" s="142">
        <f t="shared" si="83"/>
        <v>672997</v>
      </c>
      <c r="D92" s="142">
        <f t="shared" si="83"/>
        <v>653398</v>
      </c>
      <c r="E92" s="143">
        <f t="shared" si="83"/>
        <v>776352</v>
      </c>
      <c r="F92" s="143">
        <f t="shared" si="83"/>
        <v>754492</v>
      </c>
      <c r="G92" s="143">
        <f t="shared" si="83"/>
        <v>1108004</v>
      </c>
      <c r="H92" s="143">
        <f t="shared" si="83"/>
        <v>1280540</v>
      </c>
      <c r="I92" s="63">
        <f t="shared" si="69"/>
        <v>0.13730252706649024</v>
      </c>
      <c r="J92" t="str">
        <f t="shared" si="65"/>
        <v>Earnings From Operations</v>
      </c>
      <c r="K92" s="96">
        <f t="shared" si="70"/>
        <v>8.4948259551384173E-2</v>
      </c>
      <c r="L92" s="96">
        <f t="shared" si="70"/>
        <v>7.6176364123285378E-2</v>
      </c>
      <c r="M92" s="96">
        <f t="shared" si="71"/>
        <v>6.8182335190561549E-2</v>
      </c>
      <c r="N92" s="96">
        <f t="shared" si="72"/>
        <v>7.5446042540438144E-2</v>
      </c>
      <c r="O92" s="96">
        <f t="shared" si="73"/>
        <v>7.0295512611120728E-2</v>
      </c>
      <c r="P92" s="96">
        <f t="shared" si="74"/>
        <v>9.7667422998814507E-2</v>
      </c>
      <c r="Q92" s="96">
        <f t="shared" si="74"/>
        <v>0.10406707089968435</v>
      </c>
      <c r="R92" s="96">
        <f t="shared" si="75"/>
        <v>8.4281636739356736E-2</v>
      </c>
    </row>
    <row r="93" spans="1:18" x14ac:dyDescent="0.2">
      <c r="A93" s="30"/>
      <c r="B93" s="141"/>
      <c r="C93" s="141"/>
      <c r="D93" s="141"/>
      <c r="E93" s="140"/>
      <c r="F93" s="140"/>
      <c r="G93" s="140"/>
      <c r="H93" s="140"/>
      <c r="I93" s="63"/>
    </row>
    <row r="94" spans="1:18" x14ac:dyDescent="0.2">
      <c r="A94" s="90" t="s">
        <v>64</v>
      </c>
      <c r="B94" s="141">
        <v>266069</v>
      </c>
      <c r="C94" s="141">
        <v>336204</v>
      </c>
      <c r="D94" s="141">
        <v>306552</v>
      </c>
      <c r="E94" s="140">
        <v>271704</v>
      </c>
      <c r="F94" s="140">
        <v>312523</v>
      </c>
      <c r="G94" s="140">
        <v>263565</v>
      </c>
      <c r="H94" s="140">
        <v>320426</v>
      </c>
      <c r="I94" s="63">
        <f t="shared" ref="I94:I95" si="84">RATE(5,,-C94,H94)</f>
        <v>-9.5672910757068803E-3</v>
      </c>
      <c r="J94" t="str">
        <f t="shared" si="65"/>
        <v xml:space="preserve">   Interest expense (net)</v>
      </c>
      <c r="K94" s="96">
        <f t="shared" ref="K94:L103" si="85">+B94/B$79</f>
        <v>3.2220496706369138E-2</v>
      </c>
      <c r="L94" s="96">
        <f t="shared" si="85"/>
        <v>3.8054847679417643E-2</v>
      </c>
      <c r="M94" s="96">
        <f t="shared" ref="M94:M98" si="86">+D94/D$79</f>
        <v>3.1988820316770215E-2</v>
      </c>
      <c r="N94" s="96">
        <f t="shared" ref="N94:N98" si="87">+E94/E$79</f>
        <v>2.6404249029315572E-2</v>
      </c>
      <c r="O94" s="96">
        <f t="shared" ref="O94:O98" si="88">+F94/F$79</f>
        <v>2.9117557890296096E-2</v>
      </c>
      <c r="P94" s="96">
        <f t="shared" ref="P94:Q98" si="89">+G94/G$79</f>
        <v>2.3232510300217821E-2</v>
      </c>
      <c r="Q94" s="96">
        <f t="shared" si="89"/>
        <v>2.6040416746140108E-2</v>
      </c>
      <c r="R94" s="96">
        <f t="shared" ref="R94:R98" si="90">SUM(D94:H94)/SUM(D$79:H$79)</f>
        <v>2.7181685172693655E-2</v>
      </c>
    </row>
    <row r="95" spans="1:18" x14ac:dyDescent="0.2">
      <c r="A95" s="89" t="s">
        <v>100</v>
      </c>
      <c r="B95" s="141">
        <v>-103750</v>
      </c>
      <c r="C95" s="141">
        <v>-66965</v>
      </c>
      <c r="D95" s="141">
        <v>-34534</v>
      </c>
      <c r="E95" s="140">
        <v>-26200</v>
      </c>
      <c r="F95" s="140">
        <v>-18379</v>
      </c>
      <c r="G95" s="140">
        <v>-19517</v>
      </c>
      <c r="H95" s="140">
        <v>-22343</v>
      </c>
      <c r="I95" s="63">
        <f t="shared" si="84"/>
        <v>-0.19710505712748314</v>
      </c>
      <c r="J95" t="str">
        <f t="shared" si="65"/>
        <v xml:space="preserve">   Interest and Other Income</v>
      </c>
      <c r="K95" s="96">
        <f t="shared" si="85"/>
        <v>-1.2563945943667989E-2</v>
      </c>
      <c r="L95" s="96">
        <f t="shared" si="85"/>
        <v>-7.5797518020374608E-3</v>
      </c>
      <c r="M95" s="96">
        <f t="shared" si="86"/>
        <v>-3.6036363188605607E-3</v>
      </c>
      <c r="N95" s="96">
        <f t="shared" si="87"/>
        <v>-2.546121236964005E-3</v>
      </c>
      <c r="O95" s="96">
        <f t="shared" si="88"/>
        <v>-1.7123590790621875E-3</v>
      </c>
      <c r="P95" s="96">
        <f t="shared" si="89"/>
        <v>-1.7203684234604413E-3</v>
      </c>
      <c r="Q95" s="96">
        <f t="shared" si="89"/>
        <v>-1.8157734745588949E-3</v>
      </c>
      <c r="R95" s="96">
        <f t="shared" si="90"/>
        <v>-2.2296697114779045E-3</v>
      </c>
    </row>
    <row r="96" spans="1:18" x14ac:dyDescent="0.2">
      <c r="A96" s="90" t="s">
        <v>68</v>
      </c>
      <c r="B96" s="141"/>
      <c r="C96" s="141"/>
      <c r="D96" s="141"/>
      <c r="E96" s="140"/>
      <c r="F96" s="140"/>
      <c r="G96" s="140"/>
      <c r="H96" s="140"/>
      <c r="I96" s="63"/>
      <c r="J96" t="str">
        <f t="shared" si="65"/>
        <v xml:space="preserve">   Loss (Gain) on Sale of Assets</v>
      </c>
      <c r="K96" s="96">
        <f t="shared" si="85"/>
        <v>0</v>
      </c>
      <c r="L96" s="96">
        <f t="shared" si="85"/>
        <v>0</v>
      </c>
      <c r="M96" s="96">
        <f t="shared" si="86"/>
        <v>0</v>
      </c>
      <c r="N96" s="96">
        <f t="shared" si="87"/>
        <v>0</v>
      </c>
      <c r="O96" s="96">
        <f t="shared" si="88"/>
        <v>0</v>
      </c>
      <c r="P96" s="96">
        <f t="shared" si="89"/>
        <v>0</v>
      </c>
      <c r="Q96" s="96">
        <f t="shared" si="89"/>
        <v>0</v>
      </c>
      <c r="R96" s="96">
        <f t="shared" si="90"/>
        <v>0</v>
      </c>
    </row>
    <row r="97" spans="1:19" x14ac:dyDescent="0.2">
      <c r="A97" s="91" t="s">
        <v>129</v>
      </c>
      <c r="B97" s="141">
        <v>1311</v>
      </c>
      <c r="C97" s="141">
        <v>-157168</v>
      </c>
      <c r="D97" s="141">
        <v>-158568</v>
      </c>
      <c r="E97" s="140">
        <v>-189674</v>
      </c>
      <c r="F97" s="140">
        <v>-258802</v>
      </c>
      <c r="G97" s="140">
        <v>-237385</v>
      </c>
      <c r="H97" s="140">
        <v>-326148</v>
      </c>
      <c r="I97" s="67">
        <f t="shared" ref="I97" si="91">RATE(5,,-C97,H97)</f>
        <v>0.15720451275177397</v>
      </c>
      <c r="J97" t="str">
        <f t="shared" si="65"/>
        <v xml:space="preserve">   Other (Income) Expense</v>
      </c>
      <c r="K97" s="192">
        <f t="shared" si="85"/>
        <v>1.5875983741830106E-4</v>
      </c>
      <c r="L97" s="192">
        <f t="shared" si="85"/>
        <v>-1.7789807081648977E-2</v>
      </c>
      <c r="M97" s="192">
        <f t="shared" si="86"/>
        <v>-1.6546632414695124E-2</v>
      </c>
      <c r="N97" s="192">
        <f t="shared" si="87"/>
        <v>-1.8432557232821018E-2</v>
      </c>
      <c r="O97" s="192">
        <f t="shared" si="88"/>
        <v>-2.4112408421538289E-2</v>
      </c>
      <c r="P97" s="192">
        <f t="shared" si="89"/>
        <v>-2.0924817246664798E-2</v>
      </c>
      <c r="Q97" s="192">
        <f t="shared" si="89"/>
        <v>-2.6505432895333414E-2</v>
      </c>
      <c r="R97" s="192">
        <f t="shared" si="90"/>
        <v>-2.1575062880582207E-2</v>
      </c>
    </row>
    <row r="98" spans="1:19" x14ac:dyDescent="0.2">
      <c r="A98" s="30" t="s">
        <v>65</v>
      </c>
      <c r="B98" s="142">
        <f t="shared" ref="B98:H98" si="92">SUM(B94:B97)</f>
        <v>163630</v>
      </c>
      <c r="C98" s="142">
        <f t="shared" si="92"/>
        <v>112071</v>
      </c>
      <c r="D98" s="142">
        <f t="shared" si="92"/>
        <v>113450</v>
      </c>
      <c r="E98" s="143">
        <f t="shared" si="92"/>
        <v>55830</v>
      </c>
      <c r="F98" s="143">
        <f t="shared" si="92"/>
        <v>35342</v>
      </c>
      <c r="G98" s="143">
        <f t="shared" si="92"/>
        <v>6663</v>
      </c>
      <c r="H98" s="143">
        <f t="shared" si="92"/>
        <v>-28065</v>
      </c>
      <c r="I98" s="63"/>
      <c r="J98" t="str">
        <f t="shared" si="65"/>
        <v>Total Other Income/Expense</v>
      </c>
      <c r="K98" s="96">
        <f t="shared" si="85"/>
        <v>1.981531060011945E-2</v>
      </c>
      <c r="L98" s="96">
        <f t="shared" si="85"/>
        <v>1.2685288795731208E-2</v>
      </c>
      <c r="M98" s="96">
        <f t="shared" si="86"/>
        <v>1.183855158321453E-2</v>
      </c>
      <c r="N98" s="96">
        <f t="shared" si="87"/>
        <v>5.4255705595305497E-3</v>
      </c>
      <c r="O98" s="96">
        <f t="shared" si="88"/>
        <v>3.2927903896956216E-3</v>
      </c>
      <c r="P98" s="96">
        <f t="shared" si="89"/>
        <v>5.8732463009258191E-4</v>
      </c>
      <c r="Q98" s="96">
        <f t="shared" si="89"/>
        <v>-2.2807896237521993E-3</v>
      </c>
      <c r="R98" s="96">
        <f t="shared" si="90"/>
        <v>3.3769525806335438E-3</v>
      </c>
    </row>
    <row r="99" spans="1:19" ht="7.5" customHeight="1" x14ac:dyDescent="0.2">
      <c r="A99" s="30"/>
      <c r="B99" s="141"/>
      <c r="C99" s="141"/>
      <c r="D99" s="141"/>
      <c r="E99" s="140"/>
      <c r="F99" s="140"/>
      <c r="G99" s="140"/>
      <c r="H99" s="140"/>
      <c r="I99" s="63"/>
      <c r="K99" s="96"/>
      <c r="L99" s="96"/>
      <c r="M99" s="96"/>
      <c r="N99" s="96"/>
      <c r="O99" s="96"/>
      <c r="P99" s="96"/>
      <c r="Q99" s="96"/>
      <c r="R99" s="96"/>
    </row>
    <row r="100" spans="1:19" x14ac:dyDescent="0.2">
      <c r="A100" s="30" t="s">
        <v>18</v>
      </c>
      <c r="B100" s="141">
        <f t="shared" ref="B100:H100" si="93">B92-B98</f>
        <v>537852</v>
      </c>
      <c r="C100" s="141">
        <f t="shared" si="93"/>
        <v>560926</v>
      </c>
      <c r="D100" s="141">
        <f t="shared" si="93"/>
        <v>539948</v>
      </c>
      <c r="E100" s="140">
        <f t="shared" si="93"/>
        <v>720522</v>
      </c>
      <c r="F100" s="146">
        <f t="shared" si="93"/>
        <v>719150</v>
      </c>
      <c r="G100" s="146">
        <f t="shared" si="93"/>
        <v>1101341</v>
      </c>
      <c r="H100" s="146">
        <f t="shared" si="93"/>
        <v>1308605</v>
      </c>
      <c r="I100" s="67">
        <f>RATE(5,,-C100,H100)</f>
        <v>0.18462420150395817</v>
      </c>
      <c r="J100" t="str">
        <f t="shared" si="65"/>
        <v>Earnings Before Taxes</v>
      </c>
      <c r="K100" s="192">
        <f t="shared" si="85"/>
        <v>6.513294895126473E-2</v>
      </c>
      <c r="L100" s="192">
        <f t="shared" si="85"/>
        <v>6.3491075327554172E-2</v>
      </c>
      <c r="M100" s="192">
        <f t="shared" ref="M100:M101" si="94">+D100/D$79</f>
        <v>5.6343783607347021E-2</v>
      </c>
      <c r="N100" s="192">
        <f t="shared" ref="N100:N101" si="95">+E100/E$79</f>
        <v>7.0020471980907592E-2</v>
      </c>
      <c r="O100" s="192">
        <f t="shared" ref="O100:O101" si="96">+F100/F$79</f>
        <v>6.7002722221425101E-2</v>
      </c>
      <c r="P100" s="192">
        <f t="shared" ref="P100:Q101" si="97">+G100/G$79</f>
        <v>9.7080098368721932E-2</v>
      </c>
      <c r="Q100" s="192">
        <f t="shared" si="97"/>
        <v>0.10634786052343655</v>
      </c>
      <c r="R100" s="192">
        <f>SUM(D100:H100)/SUM(D$79:H$79)</f>
        <v>8.0904684158723192E-2</v>
      </c>
    </row>
    <row r="101" spans="1:19" x14ac:dyDescent="0.2">
      <c r="A101" s="30" t="s">
        <v>166</v>
      </c>
      <c r="B101" s="142"/>
      <c r="C101" s="142"/>
      <c r="D101" s="142"/>
      <c r="E101" s="143"/>
      <c r="F101" s="140"/>
      <c r="G101" s="140"/>
      <c r="H101" s="140"/>
      <c r="I101" s="63"/>
      <c r="J101" t="str">
        <f t="shared" si="65"/>
        <v>Patronage Capital Credits</v>
      </c>
      <c r="K101" s="96">
        <f t="shared" si="85"/>
        <v>0</v>
      </c>
      <c r="L101" s="96">
        <f t="shared" si="85"/>
        <v>0</v>
      </c>
      <c r="M101" s="96">
        <f t="shared" si="94"/>
        <v>0</v>
      </c>
      <c r="N101" s="96">
        <f t="shared" si="95"/>
        <v>0</v>
      </c>
      <c r="O101" s="96">
        <f t="shared" si="96"/>
        <v>0</v>
      </c>
      <c r="P101" s="96">
        <f t="shared" si="97"/>
        <v>0</v>
      </c>
      <c r="Q101" s="96">
        <f t="shared" si="97"/>
        <v>0</v>
      </c>
      <c r="R101" s="96">
        <f>SUM(D101:H101)/SUM(D$79:H$79)</f>
        <v>0</v>
      </c>
    </row>
    <row r="102" spans="1:19" x14ac:dyDescent="0.2">
      <c r="A102" s="30" t="s">
        <v>25</v>
      </c>
      <c r="B102" s="141"/>
      <c r="C102" s="141"/>
      <c r="D102" s="141"/>
      <c r="E102" s="140"/>
      <c r="F102" s="140"/>
      <c r="G102" s="140"/>
      <c r="H102" s="140"/>
      <c r="I102" s="67"/>
      <c r="J102" t="str">
        <f t="shared" si="65"/>
        <v>Income Taxes</v>
      </c>
      <c r="K102" s="96"/>
      <c r="L102" s="96"/>
      <c r="M102" s="96"/>
      <c r="N102" s="96"/>
      <c r="O102" s="96"/>
      <c r="P102" s="96"/>
      <c r="Q102" s="96"/>
      <c r="R102" s="96"/>
    </row>
    <row r="103" spans="1:19" ht="13.5" thickBot="1" x14ac:dyDescent="0.25">
      <c r="A103" s="30" t="s">
        <v>151</v>
      </c>
      <c r="B103" s="143">
        <f t="shared" ref="B103:H103" si="98">B100+B101-B102</f>
        <v>537852</v>
      </c>
      <c r="C103" s="143">
        <f t="shared" si="98"/>
        <v>560926</v>
      </c>
      <c r="D103" s="143">
        <f t="shared" si="98"/>
        <v>539948</v>
      </c>
      <c r="E103" s="147">
        <f t="shared" si="98"/>
        <v>720522</v>
      </c>
      <c r="F103" s="147">
        <f t="shared" si="98"/>
        <v>719150</v>
      </c>
      <c r="G103" s="147">
        <f t="shared" si="98"/>
        <v>1101341</v>
      </c>
      <c r="H103" s="147">
        <f t="shared" si="98"/>
        <v>1308605</v>
      </c>
      <c r="I103" s="72">
        <f>RATE(5,,-C103,H103)</f>
        <v>0.18462420150395817</v>
      </c>
      <c r="J103" t="str">
        <f t="shared" si="65"/>
        <v>Net Margin</v>
      </c>
      <c r="K103" s="191">
        <f t="shared" si="85"/>
        <v>6.513294895126473E-2</v>
      </c>
      <c r="L103" s="191">
        <f t="shared" si="85"/>
        <v>6.3491075327554172E-2</v>
      </c>
      <c r="M103" s="191">
        <f t="shared" ref="M103" si="99">+D103/D$79</f>
        <v>5.6343783607347021E-2</v>
      </c>
      <c r="N103" s="191">
        <f t="shared" ref="N103" si="100">+E103/E$79</f>
        <v>7.0020471980907592E-2</v>
      </c>
      <c r="O103" s="191">
        <f t="shared" ref="O103" si="101">+F103/F$79</f>
        <v>6.7002722221425101E-2</v>
      </c>
      <c r="P103" s="191">
        <f t="shared" ref="P103:Q103" si="102">+G103/G$79</f>
        <v>9.7080098368721932E-2</v>
      </c>
      <c r="Q103" s="191">
        <f t="shared" si="102"/>
        <v>0.10634786052343655</v>
      </c>
      <c r="R103" s="191">
        <f>SUM(D103:H103)/SUM(D$79:H$79)</f>
        <v>8.0904684158723192E-2</v>
      </c>
    </row>
    <row r="104" spans="1:19" ht="13.5" thickTop="1" x14ac:dyDescent="0.2">
      <c r="A104" s="30"/>
      <c r="B104" s="148"/>
      <c r="C104" s="148"/>
      <c r="D104" s="148"/>
      <c r="E104" s="140"/>
      <c r="F104" s="140"/>
      <c r="G104" s="140"/>
      <c r="H104" s="140"/>
      <c r="I104" s="63"/>
      <c r="K104" s="96"/>
      <c r="L104" s="96"/>
      <c r="M104" s="96"/>
      <c r="N104" s="96"/>
      <c r="O104" s="96"/>
      <c r="P104" s="96"/>
      <c r="Q104" s="96"/>
    </row>
    <row r="105" spans="1:19" x14ac:dyDescent="0.2">
      <c r="A105" s="65" t="s">
        <v>146</v>
      </c>
      <c r="B105" s="64">
        <v>94789</v>
      </c>
      <c r="C105" s="64">
        <v>153523</v>
      </c>
      <c r="D105" s="64">
        <v>156964</v>
      </c>
      <c r="E105" s="64">
        <v>12987</v>
      </c>
      <c r="F105" s="179">
        <v>289955</v>
      </c>
      <c r="G105" s="64">
        <v>286307</v>
      </c>
      <c r="H105" s="64">
        <v>391156</v>
      </c>
      <c r="I105" s="63"/>
      <c r="J105" t="str">
        <f t="shared" ref="J105" si="103">+A105</f>
        <v>Return of Patrons Capital</v>
      </c>
      <c r="K105" s="96">
        <f>+B105/B103</f>
        <v>0.1762362136795996</v>
      </c>
      <c r="L105" s="96">
        <f>+C105/C103</f>
        <v>0.27369563899694432</v>
      </c>
      <c r="M105" s="96">
        <f t="shared" ref="M105:O105" si="104">+D105/D103</f>
        <v>0.29070206760651024</v>
      </c>
      <c r="N105" s="96">
        <f t="shared" si="104"/>
        <v>1.8024432286592222E-2</v>
      </c>
      <c r="O105" s="96">
        <f t="shared" si="104"/>
        <v>0.40319126746853923</v>
      </c>
      <c r="P105" s="96">
        <f>+G105/G103</f>
        <v>0.25996217338680755</v>
      </c>
      <c r="Q105" s="96">
        <f>+H105/H103</f>
        <v>0.29891067205153582</v>
      </c>
      <c r="R105" s="96">
        <f>AVERAGE(M105:Q105)</f>
        <v>0.25415812255999704</v>
      </c>
      <c r="S105" s="1">
        <f>(+Q105+P105)/2</f>
        <v>0.27943642271917168</v>
      </c>
    </row>
    <row r="106" spans="1:19" x14ac:dyDescent="0.2">
      <c r="A106" s="30"/>
      <c r="B106" s="207"/>
      <c r="C106" s="207"/>
      <c r="D106" s="207"/>
      <c r="E106" s="207"/>
      <c r="F106" s="207"/>
      <c r="G106" s="207"/>
      <c r="H106" s="207"/>
      <c r="I106" s="63"/>
    </row>
    <row r="107" spans="1:19" x14ac:dyDescent="0.2">
      <c r="A107" s="30"/>
      <c r="B107" s="30"/>
      <c r="C107" s="30"/>
      <c r="D107" s="30"/>
      <c r="E107" s="30"/>
      <c r="F107" s="30"/>
      <c r="G107" s="30"/>
      <c r="H107" s="30"/>
      <c r="I107" s="79" t="str">
        <f>+I67</f>
        <v>Exhibit 1</v>
      </c>
    </row>
    <row r="108" spans="1:19" x14ac:dyDescent="0.2">
      <c r="A108" s="30"/>
      <c r="B108" s="30"/>
      <c r="C108" s="30"/>
      <c r="D108" s="30"/>
      <c r="E108" s="30"/>
      <c r="F108" s="30"/>
      <c r="G108" s="30"/>
      <c r="H108" s="30"/>
      <c r="I108" s="173" t="s">
        <v>211</v>
      </c>
    </row>
    <row r="109" spans="1:19" ht="18" x14ac:dyDescent="0.25">
      <c r="A109" s="76" t="str">
        <f>A3</f>
        <v>Bridger Valley Electric Association, Inc.</v>
      </c>
      <c r="B109" s="53"/>
      <c r="C109" s="53"/>
      <c r="D109" s="53"/>
      <c r="E109" s="53"/>
      <c r="F109" s="53"/>
      <c r="G109" s="53"/>
      <c r="H109" s="53"/>
      <c r="I109" s="53"/>
    </row>
    <row r="110" spans="1:19" ht="15.75" x14ac:dyDescent="0.25">
      <c r="A110" s="77" t="s">
        <v>209</v>
      </c>
      <c r="B110" s="53"/>
      <c r="C110" s="53"/>
      <c r="D110" s="53"/>
      <c r="E110" s="53"/>
      <c r="F110" s="53"/>
      <c r="G110" s="53"/>
      <c r="H110" s="53"/>
      <c r="I110" s="54"/>
    </row>
    <row r="111" spans="1:19" ht="15.75" x14ac:dyDescent="0.25">
      <c r="A111" s="78" t="str">
        <f>A5</f>
        <v>Years Ended December 31</v>
      </c>
      <c r="B111" s="53"/>
      <c r="C111" s="53"/>
      <c r="D111" s="53"/>
      <c r="E111" s="53"/>
      <c r="F111" s="53"/>
      <c r="G111" s="53"/>
      <c r="H111" s="53"/>
      <c r="I111" s="54"/>
      <c r="M111" s="207">
        <f>+D26/D28</f>
        <v>0.91405674369508871</v>
      </c>
      <c r="N111" s="207">
        <f t="shared" ref="N111:P111" si="105">+E26/E28</f>
        <v>0.96483263967513055</v>
      </c>
      <c r="O111" s="207">
        <f t="shared" si="105"/>
        <v>0.98319346223300652</v>
      </c>
      <c r="P111" s="207">
        <f t="shared" si="105"/>
        <v>0.91455316307735357</v>
      </c>
      <c r="Q111" s="207">
        <f>+H26/H28</f>
        <v>0.96676242111087074</v>
      </c>
      <c r="R111" s="1">
        <f>AVERAGE(M111:Q111)</f>
        <v>0.94867968595828989</v>
      </c>
    </row>
    <row r="112" spans="1:19" ht="15.75" x14ac:dyDescent="0.25">
      <c r="A112" s="77"/>
      <c r="B112" s="53"/>
      <c r="C112" s="53"/>
      <c r="D112" s="53"/>
      <c r="E112" s="53"/>
      <c r="F112" s="53"/>
      <c r="G112" s="53"/>
      <c r="H112" s="53"/>
      <c r="I112" s="54"/>
    </row>
    <row r="113" spans="1:18" x14ac:dyDescent="0.2">
      <c r="A113" s="30"/>
      <c r="B113" s="30"/>
      <c r="C113" s="30"/>
      <c r="D113" s="30"/>
      <c r="E113" s="30"/>
      <c r="F113" s="30"/>
      <c r="G113" s="30"/>
      <c r="H113" s="30"/>
      <c r="I113" s="63"/>
      <c r="M113" s="207">
        <f>+D41/D49</f>
        <v>9.0437293247615611E-2</v>
      </c>
      <c r="N113" s="207">
        <f t="shared" ref="N113:Q113" si="106">+E41/E49</f>
        <v>7.5908373037628374E-2</v>
      </c>
      <c r="O113" s="207">
        <f t="shared" si="106"/>
        <v>8.7117960677164444E-2</v>
      </c>
      <c r="P113" s="207">
        <f t="shared" si="106"/>
        <v>7.9562478072852258E-2</v>
      </c>
      <c r="Q113" s="207">
        <f t="shared" si="106"/>
        <v>8.2430999886419568E-2</v>
      </c>
      <c r="R113" s="1">
        <f>AVERAGE(M113:Q113)</f>
        <v>8.3091420984336056E-2</v>
      </c>
    </row>
    <row r="114" spans="1:18" x14ac:dyDescent="0.2">
      <c r="A114" s="125"/>
      <c r="B114" s="125"/>
      <c r="C114" s="125"/>
      <c r="D114" s="128"/>
      <c r="E114" s="128"/>
      <c r="F114" s="128"/>
      <c r="G114" s="132"/>
      <c r="H114" s="132"/>
      <c r="I114" s="129" t="s">
        <v>233</v>
      </c>
    </row>
    <row r="115" spans="1:18" x14ac:dyDescent="0.2">
      <c r="A115" s="130" t="s">
        <v>39</v>
      </c>
      <c r="B115" s="127">
        <f>+B75</f>
        <v>2007</v>
      </c>
      <c r="C115" s="127">
        <f>+C75</f>
        <v>2008</v>
      </c>
      <c r="D115" s="127">
        <f t="shared" ref="D115:G115" si="107">+D75</f>
        <v>2009</v>
      </c>
      <c r="E115" s="127">
        <f t="shared" si="107"/>
        <v>2010</v>
      </c>
      <c r="F115" s="127">
        <f t="shared" si="107"/>
        <v>2011</v>
      </c>
      <c r="G115" s="127">
        <f t="shared" si="107"/>
        <v>2012</v>
      </c>
      <c r="H115" s="127">
        <f t="shared" ref="H115" si="108">+H75</f>
        <v>2013</v>
      </c>
      <c r="I115" s="131" t="s">
        <v>5</v>
      </c>
    </row>
    <row r="116" spans="1:18" ht="7.5" customHeight="1" x14ac:dyDescent="0.2">
      <c r="A116" s="70"/>
      <c r="B116" s="93"/>
      <c r="C116" s="93"/>
      <c r="D116" s="93"/>
      <c r="E116" s="93"/>
      <c r="F116" s="81"/>
      <c r="G116" s="81"/>
      <c r="H116" s="81"/>
      <c r="I116" s="82"/>
    </row>
    <row r="117" spans="1:18" x14ac:dyDescent="0.2">
      <c r="A117" s="62" t="s">
        <v>47</v>
      </c>
      <c r="B117" s="94"/>
      <c r="C117" s="94"/>
      <c r="D117" s="94"/>
      <c r="E117" s="94"/>
      <c r="F117" s="94"/>
      <c r="G117" s="94"/>
      <c r="H117" s="94"/>
      <c r="I117" s="63"/>
    </row>
    <row r="118" spans="1:18" x14ac:dyDescent="0.2">
      <c r="A118" s="30" t="s">
        <v>9</v>
      </c>
      <c r="B118" s="95">
        <f t="shared" ref="B118:H118" si="109">B18/B47</f>
        <v>0.71548356373490984</v>
      </c>
      <c r="C118" s="95">
        <f t="shared" si="109"/>
        <v>0.6933137841392405</v>
      </c>
      <c r="D118" s="95">
        <f t="shared" si="109"/>
        <v>0.74767013091723611</v>
      </c>
      <c r="E118" s="95">
        <f t="shared" si="109"/>
        <v>0.92221071045671899</v>
      </c>
      <c r="F118" s="95">
        <f t="shared" si="109"/>
        <v>0.93566511416354192</v>
      </c>
      <c r="G118" s="95">
        <f t="shared" si="109"/>
        <v>1.3631792900078907</v>
      </c>
      <c r="H118" s="95">
        <f t="shared" si="109"/>
        <v>1.180879544051725</v>
      </c>
      <c r="I118" s="95">
        <f>AVERAGE(D118:H118)</f>
        <v>1.0299209579194226</v>
      </c>
    </row>
    <row r="119" spans="1:18" x14ac:dyDescent="0.2">
      <c r="A119" s="30" t="s">
        <v>38</v>
      </c>
      <c r="B119" s="95">
        <f t="shared" ref="B119:H119" si="110">(B12+B13)/B47</f>
        <v>0.4434637026654763</v>
      </c>
      <c r="C119" s="95">
        <f t="shared" si="110"/>
        <v>0.44331448321245581</v>
      </c>
      <c r="D119" s="95">
        <f t="shared" si="110"/>
        <v>0.56781397086241492</v>
      </c>
      <c r="E119" s="95">
        <f t="shared" si="110"/>
        <v>0.73541052294589015</v>
      </c>
      <c r="F119" s="95">
        <f t="shared" si="110"/>
        <v>0.71058333952317154</v>
      </c>
      <c r="G119" s="95">
        <f t="shared" si="110"/>
        <v>1.1836335292822027</v>
      </c>
      <c r="H119" s="95">
        <f t="shared" si="110"/>
        <v>0.97150242279222954</v>
      </c>
      <c r="I119" s="95">
        <f t="shared" ref="I119:I120" si="111">AVERAGE(D119:H119)</f>
        <v>0.83378875708118172</v>
      </c>
    </row>
    <row r="120" spans="1:18" x14ac:dyDescent="0.2">
      <c r="A120" s="30" t="s">
        <v>12</v>
      </c>
      <c r="B120" s="95"/>
      <c r="C120" s="95">
        <f t="shared" ref="C120:H120" si="112">365*(((B13+C13)/2)/((B79+C79)/2))</f>
        <v>36.813337714987846</v>
      </c>
      <c r="D120" s="95">
        <f t="shared" si="112"/>
        <v>43.551100781742896</v>
      </c>
      <c r="E120" s="95">
        <f t="shared" si="112"/>
        <v>45.863515095158014</v>
      </c>
      <c r="F120" s="95">
        <f t="shared" si="112"/>
        <v>41.299467001101824</v>
      </c>
      <c r="G120" s="95">
        <f t="shared" si="112"/>
        <v>42.883142752072906</v>
      </c>
      <c r="H120" s="95">
        <f t="shared" si="112"/>
        <v>44.355126418141658</v>
      </c>
      <c r="I120" s="95">
        <f t="shared" si="111"/>
        <v>43.590470409643459</v>
      </c>
    </row>
    <row r="121" spans="1:18" x14ac:dyDescent="0.2">
      <c r="A121" s="30"/>
      <c r="B121" s="95"/>
      <c r="C121" s="95"/>
      <c r="D121" s="95"/>
      <c r="E121" s="95"/>
      <c r="F121" s="95"/>
      <c r="G121" s="95"/>
      <c r="H121" s="95"/>
      <c r="I121" s="95"/>
    </row>
    <row r="122" spans="1:18" x14ac:dyDescent="0.2">
      <c r="A122" s="62" t="s">
        <v>27</v>
      </c>
      <c r="B122" s="95"/>
      <c r="C122" s="95"/>
      <c r="D122" s="95"/>
      <c r="E122" s="95"/>
      <c r="F122" s="95"/>
      <c r="G122" s="95"/>
      <c r="H122" s="95"/>
      <c r="I122" s="95"/>
    </row>
    <row r="123" spans="1:18" x14ac:dyDescent="0.2">
      <c r="A123" s="30" t="s">
        <v>31</v>
      </c>
      <c r="B123" s="95">
        <f t="shared" ref="B123:H123" si="113">B64/B56</f>
        <v>1.4089908807567852</v>
      </c>
      <c r="C123" s="95">
        <f t="shared" si="113"/>
        <v>1.5384166191979043</v>
      </c>
      <c r="D123" s="95">
        <f t="shared" si="113"/>
        <v>1.5205570050865083</v>
      </c>
      <c r="E123" s="95">
        <f t="shared" si="113"/>
        <v>1.8060021576785019</v>
      </c>
      <c r="F123" s="95">
        <f t="shared" si="113"/>
        <v>1.7805389752338865</v>
      </c>
      <c r="G123" s="95">
        <f t="shared" si="113"/>
        <v>1.4123072023208438</v>
      </c>
      <c r="H123" s="95">
        <f t="shared" si="113"/>
        <v>1.78009451178724</v>
      </c>
      <c r="I123" s="95">
        <f t="shared" ref="I123:I126" si="114">AVERAGE(D123:H123)</f>
        <v>1.6598999704213959</v>
      </c>
    </row>
    <row r="124" spans="1:18" x14ac:dyDescent="0.2">
      <c r="A124" s="30" t="s">
        <v>30</v>
      </c>
      <c r="B124" s="95">
        <f t="shared" ref="B124:H124" si="115">B64/B54</f>
        <v>1.920304280725297</v>
      </c>
      <c r="C124" s="95">
        <f t="shared" si="115"/>
        <v>2.1350108692587577</v>
      </c>
      <c r="D124" s="95">
        <f t="shared" si="115"/>
        <v>2.4410075194525054</v>
      </c>
      <c r="E124" s="95">
        <f t="shared" si="115"/>
        <v>2.6451822447065085</v>
      </c>
      <c r="F124" s="95">
        <f t="shared" si="115"/>
        <v>2.5221163498994863</v>
      </c>
      <c r="G124" s="95">
        <f t="shared" si="115"/>
        <v>1.8438241164437854</v>
      </c>
      <c r="H124" s="95">
        <f t="shared" si="115"/>
        <v>2.5099228450105313</v>
      </c>
      <c r="I124" s="95">
        <f t="shared" si="114"/>
        <v>2.3924106151025635</v>
      </c>
    </row>
    <row r="125" spans="1:18" x14ac:dyDescent="0.2">
      <c r="A125" s="30" t="s">
        <v>29</v>
      </c>
      <c r="B125" s="95">
        <f t="shared" ref="B125:H125" si="116">B64/B28</f>
        <v>0.67721183234580173</v>
      </c>
      <c r="C125" s="95">
        <f t="shared" si="116"/>
        <v>0.69224976373857205</v>
      </c>
      <c r="D125" s="95">
        <f t="shared" si="116"/>
        <v>0.71007844895895966</v>
      </c>
      <c r="E125" s="95">
        <f t="shared" si="116"/>
        <v>0.75072610985070809</v>
      </c>
      <c r="F125" s="95">
        <f t="shared" si="116"/>
        <v>0.74141995551250217</v>
      </c>
      <c r="G125" s="95">
        <f t="shared" si="116"/>
        <v>0.70055729716608928</v>
      </c>
      <c r="H125" s="95">
        <f t="shared" si="116"/>
        <v>0.76129275802767171</v>
      </c>
      <c r="I125" s="95">
        <f t="shared" si="114"/>
        <v>0.7328149139031862</v>
      </c>
    </row>
    <row r="126" spans="1:18" x14ac:dyDescent="0.2">
      <c r="A126" s="30" t="s">
        <v>49</v>
      </c>
      <c r="B126" s="95">
        <f t="shared" ref="B126:H126" si="117">(B100+B94)/B94</f>
        <v>3.0214756322608047</v>
      </c>
      <c r="C126" s="95">
        <f t="shared" si="117"/>
        <v>2.6684096560421651</v>
      </c>
      <c r="D126" s="95">
        <f t="shared" si="117"/>
        <v>2.7613585949528954</v>
      </c>
      <c r="E126" s="95">
        <f t="shared" si="117"/>
        <v>3.6518637929511528</v>
      </c>
      <c r="F126" s="95">
        <f t="shared" si="117"/>
        <v>3.3011106382570241</v>
      </c>
      <c r="G126" s="95">
        <f t="shared" si="117"/>
        <v>5.1786314571358112</v>
      </c>
      <c r="H126" s="95">
        <f t="shared" si="117"/>
        <v>5.0839538614219819</v>
      </c>
      <c r="I126" s="95">
        <f t="shared" si="114"/>
        <v>3.9953836689437727</v>
      </c>
    </row>
    <row r="127" spans="1:18" x14ac:dyDescent="0.2">
      <c r="A127" s="70"/>
      <c r="B127" s="95"/>
      <c r="C127" s="95"/>
      <c r="D127" s="95"/>
      <c r="E127" s="95"/>
      <c r="F127" s="95"/>
      <c r="G127" s="95"/>
      <c r="H127" s="95"/>
      <c r="I127" s="95"/>
    </row>
    <row r="128" spans="1:18" x14ac:dyDescent="0.2">
      <c r="A128" s="200" t="s">
        <v>80</v>
      </c>
      <c r="B128" s="95"/>
      <c r="C128" s="95"/>
      <c r="D128" s="95"/>
      <c r="E128" s="95"/>
      <c r="F128" s="205"/>
      <c r="G128" s="205"/>
      <c r="H128" s="205"/>
      <c r="I128" s="95"/>
    </row>
    <row r="129" spans="1:9" x14ac:dyDescent="0.2">
      <c r="A129" s="70" t="s">
        <v>210</v>
      </c>
      <c r="B129" s="96">
        <f>(B79-B82)/B79</f>
        <v>0.53370915779056682</v>
      </c>
      <c r="C129" s="96">
        <f>(C79-C82)/C79</f>
        <v>0.54752532111366947</v>
      </c>
      <c r="D129" s="96">
        <f>(D79-D82)/D79</f>
        <v>0.55637467132236362</v>
      </c>
      <c r="E129" s="96">
        <f t="shared" ref="E129:G129" si="118">(E79-E82)/E79</f>
        <v>0.52601611131097836</v>
      </c>
      <c r="F129" s="206">
        <f t="shared" si="118"/>
        <v>0.51927393888054818</v>
      </c>
      <c r="G129" s="206">
        <f t="shared" si="118"/>
        <v>0.52498412689737894</v>
      </c>
      <c r="H129" s="206">
        <f t="shared" ref="H129" si="119">(H79-H82)/H79</f>
        <v>0.51019618204025063</v>
      </c>
      <c r="I129" s="96">
        <f t="shared" ref="I129:I133" si="120">AVERAGE(D129:H129)</f>
        <v>0.52736900609030379</v>
      </c>
    </row>
    <row r="130" spans="1:9" x14ac:dyDescent="0.2">
      <c r="A130" s="70" t="s">
        <v>151</v>
      </c>
      <c r="B130" s="96">
        <f>+B103/B79</f>
        <v>6.513294895126473E-2</v>
      </c>
      <c r="C130" s="96">
        <f>+C103/C79</f>
        <v>6.3491075327554172E-2</v>
      </c>
      <c r="D130" s="96">
        <f>+D103/D79</f>
        <v>5.6343783607347021E-2</v>
      </c>
      <c r="E130" s="96">
        <f t="shared" ref="E130:G130" si="121">+E103/E79</f>
        <v>7.0020471980907592E-2</v>
      </c>
      <c r="F130" s="206">
        <f t="shared" si="121"/>
        <v>6.7002722221425101E-2</v>
      </c>
      <c r="G130" s="206">
        <f t="shared" si="121"/>
        <v>9.7080098368721932E-2</v>
      </c>
      <c r="H130" s="206">
        <f t="shared" ref="H130" si="122">+H103/H79</f>
        <v>0.10634786052343655</v>
      </c>
      <c r="I130" s="96">
        <f t="shared" si="120"/>
        <v>7.9358987340367643E-2</v>
      </c>
    </row>
    <row r="131" spans="1:9" x14ac:dyDescent="0.2">
      <c r="A131" s="70" t="s">
        <v>41</v>
      </c>
      <c r="B131" s="63"/>
      <c r="C131" s="63">
        <f t="shared" ref="C131:H131" si="123">(C103+(C94*(1-(C102/C100))))/((B38+C38)/2)</f>
        <v>4.6115136562498056E-2</v>
      </c>
      <c r="D131" s="63">
        <f t="shared" si="123"/>
        <v>4.2516033039653775E-2</v>
      </c>
      <c r="E131" s="63">
        <f t="shared" si="123"/>
        <v>4.9069622886437757E-2</v>
      </c>
      <c r="F131" s="63">
        <f t="shared" si="123"/>
        <v>5.0649142923574302E-2</v>
      </c>
      <c r="G131" s="63">
        <f t="shared" si="123"/>
        <v>6.1034243037967097E-2</v>
      </c>
      <c r="H131" s="63">
        <f t="shared" si="123"/>
        <v>6.8292620554723404E-2</v>
      </c>
      <c r="I131" s="96">
        <f t="shared" si="120"/>
        <v>5.4312332488471268E-2</v>
      </c>
    </row>
    <row r="132" spans="1:9" x14ac:dyDescent="0.2">
      <c r="A132" s="70" t="s">
        <v>79</v>
      </c>
      <c r="B132" s="63"/>
      <c r="C132" s="63">
        <f t="shared" ref="C132:H132" si="124">(C103+(C94*(1-(C102/C100))))/((B49+C49+B58+C58+B64+C64)/2)</f>
        <v>5.2277018961163164E-2</v>
      </c>
      <c r="D132" s="63">
        <f t="shared" si="124"/>
        <v>4.9130806957398195E-2</v>
      </c>
      <c r="E132" s="63">
        <f t="shared" si="124"/>
        <v>5.6586772689470828E-2</v>
      </c>
      <c r="F132" s="63">
        <f t="shared" si="124"/>
        <v>5.6868076170489411E-2</v>
      </c>
      <c r="G132" s="63">
        <f t="shared" si="124"/>
        <v>6.9874939050394588E-2</v>
      </c>
      <c r="H132" s="63">
        <f t="shared" si="124"/>
        <v>7.8017747095319015E-2</v>
      </c>
      <c r="I132" s="96">
        <f t="shared" si="120"/>
        <v>6.2095668392614399E-2</v>
      </c>
    </row>
    <row r="133" spans="1:9" x14ac:dyDescent="0.2">
      <c r="A133" s="30" t="s">
        <v>154</v>
      </c>
      <c r="B133" s="63"/>
      <c r="C133" s="63">
        <f>C103/((C64+B64)/2)</f>
        <v>4.841925453600876E-2</v>
      </c>
      <c r="D133" s="63">
        <f>D103/((D64+C64)/2)</f>
        <v>4.485274153689512E-2</v>
      </c>
      <c r="E133" s="63">
        <f>E103/((E64+D64)/2)</f>
        <v>5.7164758958527184E-2</v>
      </c>
      <c r="F133" s="63">
        <f t="shared" ref="F133:H133" si="125">F103/((F64+E64)/2)</f>
        <v>5.4996570122825543E-2</v>
      </c>
      <c r="G133" s="63">
        <f t="shared" si="125"/>
        <v>8.0632738067020496E-2</v>
      </c>
      <c r="H133" s="63">
        <f t="shared" si="125"/>
        <v>8.9552841432162494E-2</v>
      </c>
      <c r="I133" s="96">
        <f t="shared" si="120"/>
        <v>6.5439930023486165E-2</v>
      </c>
    </row>
    <row r="134" spans="1:9" x14ac:dyDescent="0.2">
      <c r="A134" s="30"/>
      <c r="B134" s="95"/>
      <c r="C134" s="95"/>
      <c r="D134" s="95"/>
      <c r="E134" s="95"/>
      <c r="F134" s="95"/>
      <c r="G134" s="95"/>
      <c r="H134" s="95"/>
      <c r="I134" s="95"/>
    </row>
    <row r="135" spans="1:9" x14ac:dyDescent="0.2">
      <c r="A135" s="62" t="s">
        <v>4</v>
      </c>
      <c r="B135" s="95"/>
      <c r="C135" s="95"/>
      <c r="D135" s="95"/>
      <c r="E135" s="95"/>
      <c r="F135" s="95"/>
      <c r="G135" s="95"/>
      <c r="H135" s="95"/>
      <c r="I135" s="95"/>
    </row>
    <row r="136" spans="1:9" x14ac:dyDescent="0.2">
      <c r="A136" s="30" t="s">
        <v>43</v>
      </c>
      <c r="B136" s="95"/>
      <c r="C136" s="95">
        <f t="shared" ref="C136:H136" si="126">C79/((B12+C12)/2)</f>
        <v>98.701500957998874</v>
      </c>
      <c r="D136" s="95">
        <f t="shared" si="126"/>
        <v>39.892010023894166</v>
      </c>
      <c r="E136" s="95">
        <f t="shared" si="126"/>
        <v>22.816500793243407</v>
      </c>
      <c r="F136" s="95">
        <f t="shared" si="126"/>
        <v>25.454141429472617</v>
      </c>
      <c r="G136" s="95">
        <f t="shared" si="126"/>
        <v>13.164947358954199</v>
      </c>
      <c r="H136" s="95">
        <f t="shared" si="126"/>
        <v>10.735738334815084</v>
      </c>
      <c r="I136" s="95">
        <f t="shared" ref="I136:I140" si="127">AVERAGE(D136:H136)</f>
        <v>22.412667588075895</v>
      </c>
    </row>
    <row r="137" spans="1:9" x14ac:dyDescent="0.2">
      <c r="A137" s="30" t="s">
        <v>42</v>
      </c>
      <c r="B137" s="95"/>
      <c r="C137" s="95">
        <f t="shared" ref="C137:H137" si="128">C79/((B13+C13)/2)</f>
        <v>10.249567120535106</v>
      </c>
      <c r="D137" s="95">
        <f t="shared" si="128"/>
        <v>8.7215048924293512</v>
      </c>
      <c r="E137" s="95">
        <f t="shared" si="128"/>
        <v>8.2415447407117899</v>
      </c>
      <c r="F137" s="95">
        <f t="shared" si="128"/>
        <v>9.0241103494199315</v>
      </c>
      <c r="G137" s="95">
        <f t="shared" si="128"/>
        <v>8.7472569075118773</v>
      </c>
      <c r="H137" s="95">
        <f t="shared" si="128"/>
        <v>8.5631753401797273</v>
      </c>
      <c r="I137" s="95">
        <f t="shared" si="127"/>
        <v>8.6595184460505354</v>
      </c>
    </row>
    <row r="138" spans="1:9" x14ac:dyDescent="0.2">
      <c r="A138" s="30" t="s">
        <v>46</v>
      </c>
      <c r="B138" s="95"/>
      <c r="C138" s="95">
        <f t="shared" ref="C138:H138" si="129">C79/((B18+C18-B47-C47)/2)</f>
        <v>-13.92765431845752</v>
      </c>
      <c r="D138" s="95">
        <f t="shared" si="129"/>
        <v>-13.44589531166363</v>
      </c>
      <c r="E138" s="95">
        <f t="shared" si="129"/>
        <v>-21.795003113522856</v>
      </c>
      <c r="F138" s="95">
        <f t="shared" si="129"/>
        <v>-67.672819326181326</v>
      </c>
      <c r="G138" s="95">
        <f t="shared" si="129"/>
        <v>32.00773907768702</v>
      </c>
      <c r="H138" s="95">
        <f t="shared" si="129"/>
        <v>18.992269550890001</v>
      </c>
      <c r="I138" s="95">
        <f t="shared" si="127"/>
        <v>-10.382741824558158</v>
      </c>
    </row>
    <row r="139" spans="1:9" x14ac:dyDescent="0.2">
      <c r="A139" s="30" t="s">
        <v>44</v>
      </c>
      <c r="B139" s="95"/>
      <c r="C139" s="95">
        <f>C79/((B28+C28)/2)</f>
        <v>0.52223612169991873</v>
      </c>
      <c r="D139" s="95">
        <f>D79/((C28+D28)/2)</f>
        <v>0.5582075888894118</v>
      </c>
      <c r="E139" s="95">
        <f>E79/((C28+E28)/2)</f>
        <v>0.59986278573407681</v>
      </c>
      <c r="F139" s="95">
        <f>F79/((D28+F28)/2)</f>
        <v>0.61185402158573154</v>
      </c>
      <c r="G139" s="95">
        <f>G79/((E28+G28)/2)</f>
        <v>0.60691114990155659</v>
      </c>
      <c r="H139" s="95">
        <f>H79/((F28+H28)/2)</f>
        <v>0.65333441258289593</v>
      </c>
      <c r="I139" s="95">
        <f t="shared" si="127"/>
        <v>0.60603399173873451</v>
      </c>
    </row>
    <row r="140" spans="1:9" x14ac:dyDescent="0.2">
      <c r="A140" s="30" t="s">
        <v>45</v>
      </c>
      <c r="B140" s="95"/>
      <c r="C140" s="95">
        <f t="shared" ref="C140:H140" si="130">C79/((B38+C38)/2)</f>
        <v>0.45413085229755551</v>
      </c>
      <c r="D140" s="95">
        <f t="shared" si="130"/>
        <v>0.48131755604281157</v>
      </c>
      <c r="E140" s="95">
        <f t="shared" si="130"/>
        <v>0.50889048339829046</v>
      </c>
      <c r="F140" s="95">
        <f t="shared" si="130"/>
        <v>0.52693503248954832</v>
      </c>
      <c r="G140" s="95">
        <f t="shared" si="130"/>
        <v>0.50729714626929101</v>
      </c>
      <c r="H140" s="95">
        <f t="shared" si="130"/>
        <v>0.51585096477735726</v>
      </c>
      <c r="I140" s="95">
        <f t="shared" si="127"/>
        <v>0.50805823659545957</v>
      </c>
    </row>
    <row r="141" spans="1:9" x14ac:dyDescent="0.2">
      <c r="A141" s="30"/>
      <c r="B141" s="30"/>
      <c r="C141" s="30"/>
      <c r="D141" s="30"/>
      <c r="E141" s="30"/>
      <c r="F141" s="30"/>
      <c r="G141" s="30"/>
      <c r="H141" s="30"/>
      <c r="I141" s="95"/>
    </row>
    <row r="142" spans="1:9" x14ac:dyDescent="0.2">
      <c r="A142" s="62" t="s">
        <v>153</v>
      </c>
      <c r="B142" s="30"/>
      <c r="C142" s="30"/>
      <c r="D142" s="30"/>
      <c r="E142" s="30"/>
      <c r="F142" s="30"/>
      <c r="G142" s="30"/>
      <c r="H142" s="30"/>
      <c r="I142" s="95"/>
    </row>
    <row r="143" spans="1:9" x14ac:dyDescent="0.2">
      <c r="A143" s="201"/>
      <c r="B143" s="97"/>
      <c r="C143" s="97"/>
      <c r="D143" s="97"/>
      <c r="E143" s="97"/>
      <c r="F143" s="97"/>
      <c r="G143" s="97"/>
      <c r="H143" s="97"/>
      <c r="I143" s="95"/>
    </row>
    <row r="144" spans="1:9" x14ac:dyDescent="0.2">
      <c r="A144" s="201"/>
      <c r="B144" s="63"/>
      <c r="C144" s="63"/>
      <c r="D144" s="63"/>
      <c r="E144" s="63"/>
      <c r="F144" s="63"/>
      <c r="G144" s="63"/>
      <c r="H144" s="63"/>
      <c r="I144" s="63"/>
    </row>
    <row r="145" spans="1:9" x14ac:dyDescent="0.2">
      <c r="A145" s="201"/>
      <c r="B145" s="96"/>
      <c r="C145" s="96"/>
      <c r="D145" s="96"/>
      <c r="E145" s="96"/>
      <c r="F145" s="96"/>
      <c r="G145" s="96"/>
      <c r="H145" s="96"/>
      <c r="I145" s="96"/>
    </row>
    <row r="146" spans="1:9" x14ac:dyDescent="0.2">
      <c r="A146" s="30"/>
      <c r="B146" s="30"/>
      <c r="C146" s="30"/>
      <c r="D146" s="30"/>
      <c r="E146" s="30"/>
      <c r="F146" s="30"/>
      <c r="G146" s="30"/>
      <c r="H146" s="30"/>
      <c r="I146" s="95"/>
    </row>
    <row r="147" spans="1:9" x14ac:dyDescent="0.2">
      <c r="A147" s="62" t="s">
        <v>103</v>
      </c>
      <c r="B147" s="30"/>
      <c r="C147" s="30"/>
      <c r="D147" s="30"/>
      <c r="E147" s="30"/>
      <c r="F147" s="30"/>
      <c r="G147" s="30"/>
      <c r="H147" s="30"/>
      <c r="I147" s="95"/>
    </row>
    <row r="148" spans="1:9" x14ac:dyDescent="0.2">
      <c r="A148" s="30" t="s">
        <v>74</v>
      </c>
      <c r="B148" s="63">
        <f t="shared" ref="B148:H148" si="131">B49/(B$49+B$64)</f>
        <v>0.33561585893805723</v>
      </c>
      <c r="C148" s="63">
        <f t="shared" si="131"/>
        <v>0.31434661508219069</v>
      </c>
      <c r="D148" s="63">
        <f t="shared" si="131"/>
        <v>0.28825701571235179</v>
      </c>
      <c r="E148" s="63">
        <f t="shared" si="131"/>
        <v>0.27433470615966826</v>
      </c>
      <c r="F148" s="63">
        <f t="shared" si="131"/>
        <v>0.28392020610805146</v>
      </c>
      <c r="G148" s="63">
        <f t="shared" si="131"/>
        <v>0.3158116689302185</v>
      </c>
      <c r="H148" s="63">
        <f t="shared" si="131"/>
        <v>0.28490654756742939</v>
      </c>
      <c r="I148" s="96">
        <f t="shared" ref="I148:I149" si="132">AVERAGE(D148:H148)</f>
        <v>0.28944602889554388</v>
      </c>
    </row>
    <row r="149" spans="1:9" x14ac:dyDescent="0.2">
      <c r="A149" s="30" t="s">
        <v>104</v>
      </c>
      <c r="B149" s="63">
        <f t="shared" ref="B149:H149" si="133">B64/(B$49+B$64)</f>
        <v>0.66438414106194277</v>
      </c>
      <c r="C149" s="63">
        <f t="shared" si="133"/>
        <v>0.68565338491780925</v>
      </c>
      <c r="D149" s="63">
        <f t="shared" si="133"/>
        <v>0.71174298428764815</v>
      </c>
      <c r="E149" s="63">
        <f t="shared" si="133"/>
        <v>0.72566529384033174</v>
      </c>
      <c r="F149" s="63">
        <f t="shared" si="133"/>
        <v>0.71607979389194854</v>
      </c>
      <c r="G149" s="63">
        <f t="shared" si="133"/>
        <v>0.6841883310697815</v>
      </c>
      <c r="H149" s="63">
        <f t="shared" si="133"/>
        <v>0.71509345243257061</v>
      </c>
      <c r="I149" s="96">
        <f t="shared" si="132"/>
        <v>0.71055397110445606</v>
      </c>
    </row>
    <row r="150" spans="1:9" x14ac:dyDescent="0.2">
      <c r="A150" s="30"/>
      <c r="B150" s="30"/>
      <c r="C150" s="30"/>
      <c r="D150" s="30"/>
      <c r="E150" s="30"/>
      <c r="F150" s="30"/>
      <c r="G150" s="30"/>
      <c r="H150" s="30"/>
      <c r="I150" s="96"/>
    </row>
    <row r="151" spans="1:9" x14ac:dyDescent="0.2">
      <c r="A151" s="62" t="s">
        <v>105</v>
      </c>
      <c r="B151" s="30"/>
      <c r="C151" s="30"/>
      <c r="D151" s="30"/>
      <c r="E151" s="30"/>
      <c r="F151" s="30"/>
      <c r="G151" s="30"/>
      <c r="H151" s="30"/>
      <c r="I151" s="96"/>
    </row>
    <row r="152" spans="1:9" x14ac:dyDescent="0.2">
      <c r="A152" s="30" t="s">
        <v>106</v>
      </c>
      <c r="B152" s="63">
        <f t="shared" ref="B152:H152" si="134">B$41/(B$41+B$49+B$64)</f>
        <v>3.602423214868096E-2</v>
      </c>
      <c r="C152" s="63">
        <f t="shared" si="134"/>
        <v>3.5074452745410337E-2</v>
      </c>
      <c r="D152" s="63">
        <f t="shared" si="134"/>
        <v>2.5406848447012652E-2</v>
      </c>
      <c r="E152" s="63">
        <f t="shared" si="134"/>
        <v>2.0399495963806129E-2</v>
      </c>
      <c r="F152" s="63">
        <f t="shared" si="134"/>
        <v>2.4137518703584951E-2</v>
      </c>
      <c r="G152" s="63">
        <f t="shared" si="134"/>
        <v>2.4510880009906633E-2</v>
      </c>
      <c r="H152" s="63">
        <f t="shared" si="134"/>
        <v>2.2946236213204706E-2</v>
      </c>
      <c r="I152" s="96">
        <f t="shared" ref="I152:I154" si="135">AVERAGE(D152:H152)</f>
        <v>2.3480195867503013E-2</v>
      </c>
    </row>
    <row r="153" spans="1:9" x14ac:dyDescent="0.2">
      <c r="A153" s="30" t="s">
        <v>74</v>
      </c>
      <c r="B153" s="63">
        <f t="shared" ref="B153:H153" si="136">B$49/(B$41+B$49+B$64)</f>
        <v>0.32352555532289368</v>
      </c>
      <c r="C153" s="63">
        <f t="shared" si="136"/>
        <v>0.30332107958581073</v>
      </c>
      <c r="D153" s="63">
        <f t="shared" si="136"/>
        <v>0.28093331340035993</v>
      </c>
      <c r="E153" s="63">
        <f t="shared" si="136"/>
        <v>0.26873841642863217</v>
      </c>
      <c r="F153" s="63">
        <f t="shared" si="136"/>
        <v>0.27706707682279264</v>
      </c>
      <c r="G153" s="63">
        <f t="shared" si="136"/>
        <v>0.30807084700734155</v>
      </c>
      <c r="H153" s="63">
        <f t="shared" si="136"/>
        <v>0.27836901462825853</v>
      </c>
      <c r="I153" s="96">
        <f t="shared" si="135"/>
        <v>0.28263573365747696</v>
      </c>
    </row>
    <row r="154" spans="1:9" x14ac:dyDescent="0.2">
      <c r="A154" s="30" t="s">
        <v>104</v>
      </c>
      <c r="B154" s="63">
        <f t="shared" ref="B154:H154" si="137">B$64/(B$41+B$49+B$64)</f>
        <v>0.64045021252842538</v>
      </c>
      <c r="C154" s="63">
        <f t="shared" si="137"/>
        <v>0.66160446766877901</v>
      </c>
      <c r="D154" s="63">
        <f t="shared" si="137"/>
        <v>0.69365983815262744</v>
      </c>
      <c r="E154" s="63">
        <f t="shared" si="137"/>
        <v>0.71086208760756164</v>
      </c>
      <c r="F154" s="63">
        <f t="shared" si="137"/>
        <v>0.69879540447362243</v>
      </c>
      <c r="G154" s="63">
        <f t="shared" si="137"/>
        <v>0.6674182729827518</v>
      </c>
      <c r="H154" s="63">
        <f t="shared" si="137"/>
        <v>0.69868474915853673</v>
      </c>
      <c r="I154" s="96">
        <f t="shared" si="135"/>
        <v>0.69388407047501999</v>
      </c>
    </row>
    <row r="155" spans="1:9" x14ac:dyDescent="0.2">
      <c r="A155" s="30"/>
      <c r="B155" s="30"/>
      <c r="C155" s="30"/>
      <c r="D155" s="30"/>
      <c r="E155" s="30"/>
      <c r="F155" s="30"/>
      <c r="G155" s="30"/>
      <c r="H155" s="30"/>
      <c r="I155" s="95"/>
    </row>
    <row r="156" spans="1:9" x14ac:dyDescent="0.2">
      <c r="A156" s="30"/>
      <c r="B156" s="30"/>
      <c r="C156" s="30"/>
      <c r="D156" s="30"/>
      <c r="E156" s="30"/>
      <c r="F156" s="30"/>
      <c r="G156" s="30"/>
      <c r="H156" s="30"/>
      <c r="I156" s="63"/>
    </row>
  </sheetData>
  <phoneticPr fontId="5" type="noConversion"/>
  <printOptions horizontalCentered="1"/>
  <pageMargins left="0.75" right="0.75" top="1" bottom="1" header="0.5" footer="0.5"/>
  <pageSetup scale="78" fitToHeight="5" orientation="portrait" r:id="rId1"/>
  <headerFooter alignWithMargins="0"/>
  <rowBreaks count="2" manualBreakCount="2">
    <brk id="66" max="13" man="1"/>
    <brk id="10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view="pageBreakPreview" zoomScaleNormal="100" zoomScaleSheetLayoutView="100" workbookViewId="0">
      <selection activeCell="D55" sqref="D55"/>
    </sheetView>
  </sheetViews>
  <sheetFormatPr defaultRowHeight="12.75" x14ac:dyDescent="0.2"/>
  <cols>
    <col min="1" max="1" width="45.42578125" customWidth="1"/>
    <col min="2" max="2" width="11.7109375" hidden="1" customWidth="1"/>
    <col min="3" max="7" width="11.7109375" customWidth="1"/>
    <col min="8" max="8" width="10.7109375" customWidth="1"/>
  </cols>
  <sheetData>
    <row r="1" spans="1:9" x14ac:dyDescent="0.2">
      <c r="A1" s="150"/>
      <c r="B1" s="151"/>
      <c r="C1" s="151"/>
      <c r="D1" s="151"/>
      <c r="E1" s="151"/>
      <c r="F1" s="151"/>
      <c r="G1" s="151"/>
      <c r="H1" s="79" t="s">
        <v>98</v>
      </c>
      <c r="I1" s="152"/>
    </row>
    <row r="2" spans="1:9" x14ac:dyDescent="0.2">
      <c r="A2" s="150"/>
      <c r="B2" s="151"/>
      <c r="C2" s="151"/>
      <c r="D2" s="151"/>
      <c r="E2" s="151"/>
      <c r="F2" s="151"/>
      <c r="G2" s="151"/>
      <c r="H2" s="173" t="s">
        <v>158</v>
      </c>
      <c r="I2" s="152"/>
    </row>
    <row r="3" spans="1:9" ht="18" x14ac:dyDescent="0.25">
      <c r="A3" s="154" t="str">
        <f>+Assumptions!D3</f>
        <v>Bridger Valley Electric Association, Inc.</v>
      </c>
      <c r="B3" s="153"/>
      <c r="C3" s="153"/>
      <c r="D3" s="153"/>
      <c r="E3" s="153"/>
      <c r="F3" s="153"/>
      <c r="G3" s="153"/>
      <c r="H3" s="153"/>
      <c r="I3" s="152"/>
    </row>
    <row r="4" spans="1:9" ht="15" x14ac:dyDescent="0.25">
      <c r="A4" s="155" t="s">
        <v>169</v>
      </c>
      <c r="B4" s="156"/>
      <c r="C4" s="156"/>
      <c r="D4" s="156"/>
      <c r="E4" s="156"/>
      <c r="F4" s="156"/>
      <c r="G4" s="156"/>
      <c r="H4" s="156"/>
      <c r="I4" s="152"/>
    </row>
    <row r="5" spans="1:9" ht="15" x14ac:dyDescent="0.25">
      <c r="A5" s="155" t="str">
        <f>'[1]Historical - Exhibit 1'!A5</f>
        <v>Years Ended December 31</v>
      </c>
      <c r="B5" s="156"/>
      <c r="C5" s="156"/>
      <c r="D5" s="156"/>
      <c r="E5" s="156"/>
      <c r="F5" s="156"/>
      <c r="G5" s="156"/>
      <c r="H5" s="156"/>
      <c r="I5" s="152"/>
    </row>
    <row r="6" spans="1:9" s="30" customFormat="1" x14ac:dyDescent="0.2">
      <c r="A6" s="157"/>
      <c r="B6" s="157"/>
      <c r="C6" s="157"/>
      <c r="D6" s="157"/>
      <c r="E6" s="157"/>
      <c r="F6" s="157"/>
      <c r="G6" s="157"/>
      <c r="H6" s="174" t="str">
        <f>+'Financial Statements'!I7</f>
        <v>2009 to 2013</v>
      </c>
      <c r="I6" s="152"/>
    </row>
    <row r="7" spans="1:9" s="30" customFormat="1" x14ac:dyDescent="0.2">
      <c r="A7" s="158" t="s">
        <v>170</v>
      </c>
      <c r="B7" s="159"/>
      <c r="C7" s="159"/>
      <c r="D7" s="160"/>
      <c r="E7" s="160"/>
      <c r="F7" s="160"/>
      <c r="G7" s="160"/>
      <c r="H7" s="175" t="s">
        <v>6</v>
      </c>
      <c r="I7" s="152"/>
    </row>
    <row r="8" spans="1:9" s="30" customFormat="1" x14ac:dyDescent="0.2">
      <c r="A8" s="158"/>
      <c r="B8" s="161">
        <f>+'Financial Statements'!L9</f>
        <v>2008</v>
      </c>
      <c r="C8" s="161">
        <f>+'Financial Statements'!M9</f>
        <v>2009</v>
      </c>
      <c r="D8" s="161">
        <f>+'Financial Statements'!N9</f>
        <v>2010</v>
      </c>
      <c r="E8" s="161">
        <f>+'Financial Statements'!O9</f>
        <v>2011</v>
      </c>
      <c r="F8" s="161">
        <f>+'Financial Statements'!P9</f>
        <v>2012</v>
      </c>
      <c r="G8" s="161">
        <f>+'Financial Statements'!Q9</f>
        <v>2013</v>
      </c>
      <c r="H8" s="176" t="s">
        <v>35</v>
      </c>
      <c r="I8" s="152"/>
    </row>
    <row r="9" spans="1:9" s="30" customFormat="1" x14ac:dyDescent="0.2">
      <c r="A9" s="162"/>
      <c r="B9" s="163"/>
      <c r="C9" s="163"/>
      <c r="D9" s="163"/>
      <c r="E9" s="163"/>
      <c r="F9" s="163"/>
      <c r="G9" s="163"/>
      <c r="H9" s="164"/>
      <c r="I9" s="152"/>
    </row>
    <row r="10" spans="1:9" s="30" customFormat="1" x14ac:dyDescent="0.2">
      <c r="A10" s="158" t="str">
        <f>+'Financial Statements'!A77</f>
        <v>Operating Revenues</v>
      </c>
      <c r="B10" s="98">
        <f>+'Financial Statements'!C79</f>
        <v>8834722</v>
      </c>
      <c r="C10" s="98">
        <f>+'Financial Statements'!D79</f>
        <v>9583098</v>
      </c>
      <c r="D10" s="98">
        <f>+'Financial Statements'!E79</f>
        <v>10290162</v>
      </c>
      <c r="E10" s="98">
        <f>+'Financial Statements'!F79</f>
        <v>10733146</v>
      </c>
      <c r="F10" s="98">
        <f>+'Financial Statements'!G79</f>
        <v>11344663</v>
      </c>
      <c r="G10" s="98">
        <f>+'Financial Statements'!H79</f>
        <v>12304949</v>
      </c>
      <c r="H10" s="63">
        <f>RATE(4,,-C10,G10)</f>
        <v>6.4494623229455816E-2</v>
      </c>
      <c r="I10" s="152"/>
    </row>
    <row r="11" spans="1:9" s="30" customFormat="1" x14ac:dyDescent="0.2">
      <c r="A11" s="187" t="s">
        <v>171</v>
      </c>
      <c r="B11" s="92"/>
      <c r="C11" s="92"/>
      <c r="D11" s="92"/>
      <c r="E11" s="92"/>
      <c r="F11" s="92"/>
      <c r="G11" s="92"/>
      <c r="H11" s="166"/>
      <c r="I11" s="150"/>
    </row>
    <row r="12" spans="1:9" s="30" customFormat="1" x14ac:dyDescent="0.2">
      <c r="A12" s="167" t="s">
        <v>187</v>
      </c>
      <c r="B12" s="177">
        <f>+'Financial Statements'!C103</f>
        <v>560926</v>
      </c>
      <c r="C12" s="177">
        <f>+'Financial Statements'!D103</f>
        <v>539948</v>
      </c>
      <c r="D12" s="177">
        <f>+'Financial Statements'!E103</f>
        <v>720522</v>
      </c>
      <c r="E12" s="177">
        <f>+'Financial Statements'!F103</f>
        <v>719150</v>
      </c>
      <c r="F12" s="177">
        <f>+'Financial Statements'!G103</f>
        <v>1101341</v>
      </c>
      <c r="G12" s="177">
        <f>+'Financial Statements'!H103</f>
        <v>1308605</v>
      </c>
      <c r="H12" s="63">
        <f>RATE(4,,-C12,G12)</f>
        <v>0.24771144736968964</v>
      </c>
      <c r="I12" s="150"/>
    </row>
    <row r="13" spans="1:9" s="30" customFormat="1" x14ac:dyDescent="0.2">
      <c r="A13" s="165" t="s">
        <v>188</v>
      </c>
      <c r="B13" s="177"/>
      <c r="C13" s="177"/>
      <c r="D13" s="177"/>
      <c r="E13" s="177"/>
      <c r="F13" s="177"/>
      <c r="G13" s="177"/>
      <c r="H13" s="63"/>
      <c r="I13" s="150"/>
    </row>
    <row r="14" spans="1:9" s="30" customFormat="1" x14ac:dyDescent="0.2">
      <c r="A14" s="167" t="s">
        <v>172</v>
      </c>
      <c r="B14" s="178"/>
      <c r="C14" s="178">
        <v>1117559</v>
      </c>
      <c r="D14" s="178">
        <v>1139959</v>
      </c>
      <c r="E14" s="178">
        <v>1057206</v>
      </c>
      <c r="F14" s="178">
        <v>1100779</v>
      </c>
      <c r="G14" s="178">
        <v>1111049</v>
      </c>
      <c r="H14" s="63">
        <f>RATE(4,,-C14,G14)</f>
        <v>-1.4594910148398846E-3</v>
      </c>
      <c r="I14" s="150"/>
    </row>
    <row r="15" spans="1:9" s="30" customFormat="1" hidden="1" x14ac:dyDescent="0.2">
      <c r="A15" s="167" t="s">
        <v>189</v>
      </c>
      <c r="B15" s="179"/>
      <c r="C15" s="179"/>
      <c r="D15" s="179"/>
      <c r="E15" s="179"/>
      <c r="F15" s="179"/>
      <c r="G15" s="179"/>
      <c r="H15" s="63" t="e">
        <f t="shared" ref="H15:H16" si="0">RATE(4,,-B15,F15)</f>
        <v>#NUM!</v>
      </c>
      <c r="I15" s="150"/>
    </row>
    <row r="16" spans="1:9" s="30" customFormat="1" hidden="1" x14ac:dyDescent="0.2">
      <c r="A16" s="167" t="s">
        <v>190</v>
      </c>
      <c r="B16" s="179"/>
      <c r="C16" s="179"/>
      <c r="D16" s="179"/>
      <c r="E16" s="179"/>
      <c r="F16" s="179"/>
      <c r="G16" s="179"/>
      <c r="H16" s="63" t="e">
        <f t="shared" si="0"/>
        <v>#NUM!</v>
      </c>
      <c r="I16" s="150"/>
    </row>
    <row r="17" spans="1:9" s="30" customFormat="1" x14ac:dyDescent="0.2">
      <c r="A17" s="168" t="s">
        <v>206</v>
      </c>
      <c r="B17" s="179"/>
      <c r="C17" s="179"/>
      <c r="D17" s="179"/>
      <c r="E17" s="179"/>
      <c r="F17" s="179"/>
      <c r="G17" s="179"/>
      <c r="H17" s="63"/>
      <c r="I17" s="150"/>
    </row>
    <row r="18" spans="1:9" s="30" customFormat="1" hidden="1" x14ac:dyDescent="0.2">
      <c r="A18" s="168" t="s">
        <v>173</v>
      </c>
      <c r="B18" s="179"/>
      <c r="C18" s="179"/>
      <c r="D18" s="179"/>
      <c r="E18" s="179"/>
      <c r="F18" s="179"/>
      <c r="G18" s="179"/>
      <c r="H18" s="63"/>
      <c r="I18" s="150"/>
    </row>
    <row r="19" spans="1:9" s="30" customFormat="1" x14ac:dyDescent="0.2">
      <c r="A19" s="165" t="s">
        <v>199</v>
      </c>
      <c r="B19" s="177"/>
      <c r="C19" s="177"/>
      <c r="D19" s="177"/>
      <c r="E19" s="177"/>
      <c r="F19" s="177"/>
      <c r="G19" s="177"/>
      <c r="H19" s="63"/>
      <c r="I19" s="150"/>
    </row>
    <row r="20" spans="1:9" s="30" customFormat="1" x14ac:dyDescent="0.2">
      <c r="A20" s="169" t="s">
        <v>191</v>
      </c>
      <c r="B20" s="177"/>
      <c r="C20" s="177"/>
      <c r="D20" s="177"/>
      <c r="E20" s="177"/>
      <c r="F20" s="177"/>
      <c r="G20" s="177"/>
      <c r="H20" s="63"/>
      <c r="I20" s="150"/>
    </row>
    <row r="21" spans="1:9" s="30" customFormat="1" x14ac:dyDescent="0.2">
      <c r="A21" s="169" t="s">
        <v>192</v>
      </c>
      <c r="B21" s="177"/>
      <c r="C21" s="177">
        <v>-498667</v>
      </c>
      <c r="D21" s="177">
        <v>199102</v>
      </c>
      <c r="E21" s="177">
        <v>-80729</v>
      </c>
      <c r="F21" s="177">
        <v>-134379</v>
      </c>
      <c r="G21" s="177">
        <v>-145664</v>
      </c>
      <c r="H21" s="63">
        <f t="shared" ref="H21:H28" si="1">RATE(4,,-C21,G21)</f>
        <v>-0.26483402186631377</v>
      </c>
      <c r="I21" s="150"/>
    </row>
    <row r="22" spans="1:9" s="30" customFormat="1" x14ac:dyDescent="0.2">
      <c r="A22" s="169" t="s">
        <v>193</v>
      </c>
      <c r="B22" s="177"/>
      <c r="C22" s="177">
        <v>4288</v>
      </c>
      <c r="D22" s="177">
        <v>-44565</v>
      </c>
      <c r="E22" s="177">
        <v>-64199</v>
      </c>
      <c r="F22" s="177">
        <v>77593</v>
      </c>
      <c r="G22" s="177">
        <v>-86076</v>
      </c>
      <c r="H22" s="63"/>
      <c r="I22" s="150"/>
    </row>
    <row r="23" spans="1:9" s="30" customFormat="1" x14ac:dyDescent="0.2">
      <c r="A23" s="169" t="s">
        <v>194</v>
      </c>
      <c r="B23" s="177"/>
      <c r="C23" s="177">
        <v>-19337</v>
      </c>
      <c r="D23" s="177">
        <v>4446</v>
      </c>
      <c r="E23" s="177">
        <v>-1919</v>
      </c>
      <c r="F23" s="177">
        <v>-6504</v>
      </c>
      <c r="G23" s="177">
        <v>-11074</v>
      </c>
      <c r="H23" s="63">
        <f t="shared" si="1"/>
        <v>-0.13008092175142727</v>
      </c>
      <c r="I23" s="150"/>
    </row>
    <row r="24" spans="1:9" s="30" customFormat="1" x14ac:dyDescent="0.2">
      <c r="A24" s="169" t="s">
        <v>195</v>
      </c>
      <c r="B24" s="177"/>
      <c r="C24" s="177">
        <v>166807</v>
      </c>
      <c r="D24" s="177">
        <v>162306</v>
      </c>
      <c r="E24" s="177"/>
      <c r="F24" s="177"/>
      <c r="G24" s="177"/>
      <c r="H24" s="63"/>
      <c r="I24" s="150"/>
    </row>
    <row r="25" spans="1:9" s="30" customFormat="1" x14ac:dyDescent="0.2">
      <c r="A25" s="169" t="s">
        <v>196</v>
      </c>
      <c r="B25" s="177"/>
      <c r="C25" s="177">
        <v>47159</v>
      </c>
      <c r="D25" s="177">
        <v>82994</v>
      </c>
      <c r="E25" s="177">
        <v>24847</v>
      </c>
      <c r="F25" s="177">
        <v>108091</v>
      </c>
      <c r="G25" s="177">
        <v>151450</v>
      </c>
      <c r="H25" s="63">
        <f t="shared" si="1"/>
        <v>0.33867814295597681</v>
      </c>
      <c r="I25" s="150"/>
    </row>
    <row r="26" spans="1:9" s="30" customFormat="1" x14ac:dyDescent="0.2">
      <c r="A26" s="169" t="s">
        <v>227</v>
      </c>
      <c r="B26" s="179"/>
      <c r="C26" s="179">
        <v>-59959</v>
      </c>
      <c r="D26" s="179">
        <v>-57213</v>
      </c>
      <c r="E26" s="179"/>
      <c r="F26" s="179">
        <f>23758+1139609</f>
        <v>1163367</v>
      </c>
      <c r="G26" s="179">
        <f>3587-1139609</f>
        <v>-1136022</v>
      </c>
      <c r="H26" s="63"/>
      <c r="I26" s="150"/>
    </row>
    <row r="27" spans="1:9" s="30" customFormat="1" x14ac:dyDescent="0.2">
      <c r="A27" s="169" t="s">
        <v>197</v>
      </c>
      <c r="B27" s="179"/>
      <c r="C27" s="179">
        <v>41016</v>
      </c>
      <c r="D27" s="179">
        <v>37674</v>
      </c>
      <c r="E27" s="179">
        <v>32193</v>
      </c>
      <c r="F27" s="179"/>
      <c r="G27" s="179"/>
      <c r="H27" s="63"/>
      <c r="I27" s="150"/>
    </row>
    <row r="28" spans="1:9" s="30" customFormat="1" x14ac:dyDescent="0.2">
      <c r="A28" s="169" t="s">
        <v>226</v>
      </c>
      <c r="B28" s="179"/>
      <c r="C28" s="179">
        <v>125389</v>
      </c>
      <c r="D28" s="179">
        <v>-72463</v>
      </c>
      <c r="E28" s="179">
        <v>-2570</v>
      </c>
      <c r="F28" s="179">
        <v>-12882</v>
      </c>
      <c r="G28" s="179">
        <v>1188</v>
      </c>
      <c r="H28" s="63">
        <f t="shared" si="1"/>
        <v>-0.68801102272018155</v>
      </c>
      <c r="I28" s="150"/>
    </row>
    <row r="29" spans="1:9" s="30" customFormat="1" x14ac:dyDescent="0.2">
      <c r="A29" s="169" t="s">
        <v>198</v>
      </c>
      <c r="B29" s="179"/>
      <c r="C29" s="179"/>
      <c r="D29" s="179"/>
      <c r="E29" s="179"/>
      <c r="F29" s="179"/>
      <c r="G29" s="179"/>
      <c r="H29" s="63"/>
      <c r="I29" s="150"/>
    </row>
    <row r="30" spans="1:9" s="30" customFormat="1" x14ac:dyDescent="0.2">
      <c r="A30" s="167"/>
      <c r="B30" s="179"/>
      <c r="C30" s="179"/>
      <c r="D30" s="179"/>
      <c r="E30" s="179"/>
      <c r="F30" s="179"/>
      <c r="G30" s="179"/>
      <c r="H30" s="67"/>
      <c r="I30" s="150"/>
    </row>
    <row r="31" spans="1:9" s="30" customFormat="1" x14ac:dyDescent="0.2">
      <c r="A31" s="186" t="s">
        <v>174</v>
      </c>
      <c r="B31" s="180">
        <f t="shared" ref="B31:G31" si="2">SUM(B11:B30)</f>
        <v>560926</v>
      </c>
      <c r="C31" s="180">
        <f t="shared" si="2"/>
        <v>1464203</v>
      </c>
      <c r="D31" s="180">
        <f t="shared" si="2"/>
        <v>2172762</v>
      </c>
      <c r="E31" s="180">
        <f t="shared" si="2"/>
        <v>1683979</v>
      </c>
      <c r="F31" s="180">
        <f t="shared" si="2"/>
        <v>3397406</v>
      </c>
      <c r="G31" s="180">
        <f t="shared" si="2"/>
        <v>1193456</v>
      </c>
      <c r="H31" s="63">
        <f>RATE(4,,-C31,G31)</f>
        <v>-4.9830074887122246E-2</v>
      </c>
      <c r="I31" s="150"/>
    </row>
    <row r="32" spans="1:9" s="30" customFormat="1" x14ac:dyDescent="0.2">
      <c r="A32" s="186"/>
      <c r="B32" s="179"/>
      <c r="C32" s="179"/>
      <c r="D32" s="179"/>
      <c r="E32" s="179"/>
      <c r="F32" s="179"/>
      <c r="G32" s="179"/>
      <c r="H32" s="63"/>
      <c r="I32" s="150"/>
    </row>
    <row r="33" spans="1:9" s="30" customFormat="1" x14ac:dyDescent="0.2">
      <c r="A33" s="187" t="s">
        <v>175</v>
      </c>
      <c r="B33" s="179"/>
      <c r="C33" s="179"/>
      <c r="D33" s="179"/>
      <c r="E33" s="179"/>
      <c r="F33" s="179"/>
      <c r="G33" s="179"/>
      <c r="H33" s="63"/>
      <c r="I33" s="150"/>
    </row>
    <row r="34" spans="1:9" s="30" customFormat="1" x14ac:dyDescent="0.2">
      <c r="A34" s="167" t="s">
        <v>176</v>
      </c>
      <c r="B34" s="179"/>
      <c r="C34" s="179">
        <v>-1323241</v>
      </c>
      <c r="D34" s="179">
        <v>-1113097</v>
      </c>
      <c r="E34" s="179">
        <v>-1446910</v>
      </c>
      <c r="F34" s="179">
        <v>-3233922</v>
      </c>
      <c r="G34" s="179">
        <v>-487665</v>
      </c>
      <c r="H34" s="63">
        <f t="shared" ref="H34" si="3">RATE(4,,-C34,G34)</f>
        <v>-0.22085074529672072</v>
      </c>
      <c r="I34" s="150"/>
    </row>
    <row r="35" spans="1:9" s="30" customFormat="1" x14ac:dyDescent="0.2">
      <c r="A35" s="167" t="s">
        <v>177</v>
      </c>
      <c r="B35" s="179"/>
      <c r="C35" s="179"/>
      <c r="D35" s="179"/>
      <c r="E35" s="179">
        <v>-180237</v>
      </c>
      <c r="F35" s="179">
        <v>-194632</v>
      </c>
      <c r="G35" s="179">
        <v>-336670</v>
      </c>
      <c r="H35" s="63"/>
      <c r="I35" s="150"/>
    </row>
    <row r="36" spans="1:9" s="30" customFormat="1" x14ac:dyDescent="0.2">
      <c r="A36" s="167" t="s">
        <v>200</v>
      </c>
      <c r="B36" s="179"/>
      <c r="C36" s="179"/>
      <c r="D36" s="179"/>
      <c r="E36" s="179"/>
      <c r="F36" s="179"/>
      <c r="G36" s="179"/>
      <c r="H36" s="63"/>
      <c r="I36" s="150"/>
    </row>
    <row r="37" spans="1:9" s="30" customFormat="1" x14ac:dyDescent="0.2">
      <c r="A37" s="167" t="s">
        <v>201</v>
      </c>
      <c r="B37" s="179"/>
      <c r="C37" s="179"/>
      <c r="D37" s="179"/>
      <c r="E37" s="179"/>
      <c r="F37" s="179"/>
      <c r="G37" s="179"/>
      <c r="H37" s="63"/>
      <c r="I37" s="150"/>
    </row>
    <row r="38" spans="1:9" s="30" customFormat="1" x14ac:dyDescent="0.2">
      <c r="A38" s="167" t="s">
        <v>228</v>
      </c>
      <c r="B38" s="179"/>
      <c r="C38" s="179">
        <v>-48119</v>
      </c>
      <c r="D38" s="179">
        <v>-25876</v>
      </c>
      <c r="E38" s="179">
        <v>-30481</v>
      </c>
      <c r="F38" s="179">
        <v>-25369</v>
      </c>
      <c r="G38" s="179">
        <v>-67413</v>
      </c>
      <c r="H38" s="63">
        <f>RATE(4,,-C38,G38)</f>
        <v>8.7944560852634177E-2</v>
      </c>
      <c r="I38" s="150"/>
    </row>
    <row r="39" spans="1:9" s="30" customFormat="1" x14ac:dyDescent="0.2">
      <c r="A39" s="167"/>
      <c r="B39" s="181"/>
      <c r="C39" s="181"/>
      <c r="D39" s="181"/>
      <c r="E39" s="181"/>
      <c r="F39" s="181"/>
      <c r="G39" s="181"/>
      <c r="H39" s="67"/>
      <c r="I39" s="150"/>
    </row>
    <row r="40" spans="1:9" s="30" customFormat="1" x14ac:dyDescent="0.2">
      <c r="A40" s="186" t="s">
        <v>179</v>
      </c>
      <c r="B40" s="182">
        <f t="shared" ref="B40:G40" si="4">SUM(B33:B39)</f>
        <v>0</v>
      </c>
      <c r="C40" s="182">
        <f t="shared" si="4"/>
        <v>-1371360</v>
      </c>
      <c r="D40" s="182">
        <f t="shared" si="4"/>
        <v>-1138973</v>
      </c>
      <c r="E40" s="182">
        <f t="shared" si="4"/>
        <v>-1657628</v>
      </c>
      <c r="F40" s="182">
        <f t="shared" si="4"/>
        <v>-3453923</v>
      </c>
      <c r="G40" s="182">
        <f t="shared" si="4"/>
        <v>-891748</v>
      </c>
      <c r="H40" s="63">
        <f>RATE(4,,-C40,G40)</f>
        <v>-0.10200758873590877</v>
      </c>
      <c r="I40" s="150"/>
    </row>
    <row r="41" spans="1:9" s="30" customFormat="1" x14ac:dyDescent="0.2">
      <c r="A41" s="167"/>
      <c r="B41" s="179"/>
      <c r="C41" s="179"/>
      <c r="D41" s="179"/>
      <c r="E41" s="179"/>
      <c r="F41" s="179"/>
      <c r="G41" s="179"/>
      <c r="H41" s="63"/>
      <c r="I41" s="150"/>
    </row>
    <row r="42" spans="1:9" s="30" customFormat="1" x14ac:dyDescent="0.2">
      <c r="A42" s="187" t="s">
        <v>180</v>
      </c>
      <c r="B42" s="179"/>
      <c r="C42" s="179"/>
      <c r="D42" s="179"/>
      <c r="E42" s="179"/>
      <c r="F42" s="179"/>
      <c r="G42" s="179"/>
      <c r="H42" s="63"/>
      <c r="I42" s="150"/>
    </row>
    <row r="43" spans="1:9" s="30" customFormat="1" x14ac:dyDescent="0.2">
      <c r="A43" s="169" t="s">
        <v>181</v>
      </c>
      <c r="B43" s="179"/>
      <c r="C43" s="179"/>
      <c r="D43" s="179">
        <v>300000</v>
      </c>
      <c r="E43" s="179">
        <v>600000</v>
      </c>
      <c r="F43" s="179">
        <v>1800000</v>
      </c>
      <c r="G43" s="179"/>
      <c r="H43" s="63"/>
      <c r="I43" s="150"/>
    </row>
    <row r="44" spans="1:9" s="30" customFormat="1" x14ac:dyDescent="0.2">
      <c r="A44" s="169" t="s">
        <v>182</v>
      </c>
      <c r="B44" s="179"/>
      <c r="C44" s="179">
        <v>-626262</v>
      </c>
      <c r="D44" s="179">
        <v>-450490</v>
      </c>
      <c r="E44" s="179">
        <v>-172571</v>
      </c>
      <c r="F44" s="179">
        <v>-461564</v>
      </c>
      <c r="G44" s="179">
        <v>-512662</v>
      </c>
      <c r="H44" s="63">
        <f t="shared" ref="H44:H49" si="5">RATE(4,,-C44,G44)</f>
        <v>-4.8806734673013656E-2</v>
      </c>
      <c r="I44" s="150"/>
    </row>
    <row r="45" spans="1:9" s="30" customFormat="1" x14ac:dyDescent="0.2">
      <c r="A45" s="170" t="s">
        <v>229</v>
      </c>
      <c r="B45" s="179"/>
      <c r="C45" s="179"/>
      <c r="D45" s="179">
        <v>-700000</v>
      </c>
      <c r="E45" s="179">
        <v>-200000</v>
      </c>
      <c r="F45" s="179"/>
      <c r="G45" s="179"/>
      <c r="H45" s="63"/>
      <c r="I45" s="150"/>
    </row>
    <row r="46" spans="1:9" s="30" customFormat="1" x14ac:dyDescent="0.2">
      <c r="A46" s="170" t="s">
        <v>231</v>
      </c>
      <c r="B46" s="179"/>
      <c r="C46" s="179">
        <v>900000</v>
      </c>
      <c r="D46" s="179"/>
      <c r="E46" s="179"/>
      <c r="F46" s="179"/>
      <c r="G46" s="179"/>
      <c r="H46" s="63"/>
      <c r="I46" s="150"/>
    </row>
    <row r="47" spans="1:9" s="30" customFormat="1" x14ac:dyDescent="0.2">
      <c r="A47" s="170" t="s">
        <v>203</v>
      </c>
      <c r="B47" s="179"/>
      <c r="C47" s="179"/>
      <c r="D47" s="179"/>
      <c r="E47" s="179"/>
      <c r="F47" s="179"/>
      <c r="G47" s="179"/>
      <c r="H47" s="63"/>
      <c r="I47" s="150"/>
    </row>
    <row r="48" spans="1:9" s="30" customFormat="1" x14ac:dyDescent="0.2">
      <c r="A48" s="167" t="s">
        <v>202</v>
      </c>
      <c r="B48" s="179"/>
      <c r="C48" s="179">
        <v>-156964</v>
      </c>
      <c r="D48" s="179">
        <v>-12987</v>
      </c>
      <c r="E48" s="179">
        <v>-289955</v>
      </c>
      <c r="F48" s="179">
        <v>-286307</v>
      </c>
      <c r="G48" s="179">
        <v>-391156</v>
      </c>
      <c r="H48" s="63">
        <f t="shared" si="5"/>
        <v>0.25642764832089304</v>
      </c>
      <c r="I48" s="150"/>
    </row>
    <row r="49" spans="1:9" s="30" customFormat="1" x14ac:dyDescent="0.2">
      <c r="A49" s="167" t="s">
        <v>178</v>
      </c>
      <c r="B49" s="179"/>
      <c r="C49" s="179">
        <v>67309</v>
      </c>
      <c r="D49" s="179">
        <v>-25697</v>
      </c>
      <c r="E49" s="179">
        <v>-167101</v>
      </c>
      <c r="F49" s="179">
        <v>87797</v>
      </c>
      <c r="G49" s="179">
        <v>87570</v>
      </c>
      <c r="H49" s="63">
        <f t="shared" si="5"/>
        <v>6.7998278946980226E-2</v>
      </c>
      <c r="I49" s="150"/>
    </row>
    <row r="50" spans="1:9" s="30" customFormat="1" x14ac:dyDescent="0.2">
      <c r="A50" s="167"/>
      <c r="B50" s="179"/>
      <c r="C50" s="179"/>
      <c r="D50" s="179"/>
      <c r="E50" s="179"/>
      <c r="F50" s="179"/>
      <c r="G50" s="179"/>
      <c r="H50" s="67"/>
      <c r="I50" s="150"/>
    </row>
    <row r="51" spans="1:9" s="30" customFormat="1" x14ac:dyDescent="0.2">
      <c r="A51" s="186" t="s">
        <v>183</v>
      </c>
      <c r="B51" s="183">
        <f t="shared" ref="B51:G51" si="6">SUM(B42:B50)</f>
        <v>0</v>
      </c>
      <c r="C51" s="183">
        <f t="shared" si="6"/>
        <v>184083</v>
      </c>
      <c r="D51" s="183">
        <f t="shared" si="6"/>
        <v>-889174</v>
      </c>
      <c r="E51" s="183">
        <f t="shared" si="6"/>
        <v>-229627</v>
      </c>
      <c r="F51" s="183">
        <f t="shared" si="6"/>
        <v>1139926</v>
      </c>
      <c r="G51" s="183">
        <f t="shared" si="6"/>
        <v>-816248</v>
      </c>
      <c r="H51" s="63"/>
      <c r="I51" s="150"/>
    </row>
    <row r="52" spans="1:9" s="30" customFormat="1" x14ac:dyDescent="0.2">
      <c r="A52" s="167"/>
      <c r="B52" s="179"/>
      <c r="C52" s="179"/>
      <c r="D52" s="179"/>
      <c r="E52" s="179"/>
      <c r="F52" s="179"/>
      <c r="G52" s="179"/>
      <c r="H52" s="67"/>
      <c r="I52" s="150"/>
    </row>
    <row r="53" spans="1:9" s="30" customFormat="1" x14ac:dyDescent="0.2">
      <c r="A53" s="186" t="s">
        <v>184</v>
      </c>
      <c r="B53" s="184">
        <f t="shared" ref="B53:G53" si="7">B31+B40+B51</f>
        <v>560926</v>
      </c>
      <c r="C53" s="184">
        <f t="shared" si="7"/>
        <v>276926</v>
      </c>
      <c r="D53" s="184">
        <f t="shared" si="7"/>
        <v>144615</v>
      </c>
      <c r="E53" s="184">
        <f t="shared" si="7"/>
        <v>-203276</v>
      </c>
      <c r="F53" s="184">
        <f t="shared" si="7"/>
        <v>1083409</v>
      </c>
      <c r="G53" s="184">
        <f t="shared" si="7"/>
        <v>-514540</v>
      </c>
      <c r="H53" s="63"/>
      <c r="I53" s="150"/>
    </row>
    <row r="54" spans="1:9" s="30" customFormat="1" x14ac:dyDescent="0.2">
      <c r="A54" s="186"/>
      <c r="B54" s="179"/>
      <c r="C54" s="179"/>
      <c r="D54" s="179"/>
      <c r="E54" s="179"/>
      <c r="F54" s="179"/>
      <c r="G54" s="179"/>
      <c r="H54" s="67"/>
      <c r="I54" s="150"/>
    </row>
    <row r="55" spans="1:9" s="30" customFormat="1" x14ac:dyDescent="0.2">
      <c r="A55" s="186" t="s">
        <v>185</v>
      </c>
      <c r="B55" s="202">
        <v>1000</v>
      </c>
      <c r="C55" s="184">
        <v>101763</v>
      </c>
      <c r="D55" s="184">
        <f>C57</f>
        <v>378689</v>
      </c>
      <c r="E55" s="184">
        <f>D57</f>
        <v>523304</v>
      </c>
      <c r="F55" s="184">
        <f>E57</f>
        <v>320028</v>
      </c>
      <c r="G55" s="184">
        <f>F57</f>
        <v>1403437</v>
      </c>
      <c r="H55" s="63">
        <f>RATE(4,,-C55,G55)</f>
        <v>0.92708448586566949</v>
      </c>
      <c r="I55" s="150"/>
    </row>
    <row r="56" spans="1:9" s="30" customFormat="1" x14ac:dyDescent="0.2">
      <c r="A56" s="186"/>
      <c r="B56" s="177"/>
      <c r="C56" s="179"/>
      <c r="D56" s="179"/>
      <c r="E56" s="179"/>
      <c r="F56" s="179"/>
      <c r="G56" s="179"/>
      <c r="H56" s="67"/>
      <c r="I56" s="150"/>
    </row>
    <row r="57" spans="1:9" s="30" customFormat="1" ht="13.5" thickBot="1" x14ac:dyDescent="0.25">
      <c r="A57" s="186" t="s">
        <v>186</v>
      </c>
      <c r="B57" s="202">
        <f t="shared" ref="B57:C57" si="8">B53+B55</f>
        <v>561926</v>
      </c>
      <c r="C57" s="184">
        <f t="shared" si="8"/>
        <v>378689</v>
      </c>
      <c r="D57" s="184">
        <f>D53+D55</f>
        <v>523304</v>
      </c>
      <c r="E57" s="184">
        <f>E53+E55</f>
        <v>320028</v>
      </c>
      <c r="F57" s="184">
        <f t="shared" ref="F57:G57" si="9">F53+F55</f>
        <v>1403437</v>
      </c>
      <c r="G57" s="184">
        <f t="shared" si="9"/>
        <v>888897</v>
      </c>
      <c r="H57" s="63">
        <f>RATE(4,,-C57,G57)</f>
        <v>0.23777637038978361</v>
      </c>
      <c r="I57" s="150"/>
    </row>
    <row r="58" spans="1:9" s="30" customFormat="1" ht="13.5" thickTop="1" x14ac:dyDescent="0.2">
      <c r="A58" s="171"/>
      <c r="B58" s="185"/>
      <c r="C58" s="185"/>
      <c r="D58" s="185"/>
      <c r="E58" s="185"/>
      <c r="F58" s="185"/>
      <c r="G58" s="185"/>
      <c r="H58" s="172"/>
      <c r="I58" s="150"/>
    </row>
    <row r="59" spans="1:9" x14ac:dyDescent="0.2">
      <c r="A59" s="150"/>
      <c r="B59" s="151"/>
      <c r="C59" s="151"/>
      <c r="D59" s="151"/>
      <c r="E59" s="151"/>
      <c r="F59" s="151"/>
      <c r="G59" s="151"/>
      <c r="H59" s="152"/>
      <c r="I59" s="151"/>
    </row>
    <row r="60" spans="1:9" x14ac:dyDescent="0.2">
      <c r="A60" s="150"/>
      <c r="B60" s="151"/>
      <c r="C60" s="151"/>
      <c r="D60" s="151"/>
      <c r="E60" s="151"/>
      <c r="F60" s="151"/>
      <c r="G60" s="151"/>
      <c r="H60" s="152"/>
      <c r="I60" s="151"/>
    </row>
    <row r="61" spans="1:9" x14ac:dyDescent="0.2">
      <c r="A61" s="150"/>
      <c r="B61" s="151"/>
      <c r="C61" s="151"/>
      <c r="D61" s="151"/>
      <c r="E61" s="151"/>
      <c r="F61" s="151"/>
      <c r="G61" s="151"/>
      <c r="H61" s="152"/>
      <c r="I61" s="151"/>
    </row>
    <row r="62" spans="1:9" x14ac:dyDescent="0.2">
      <c r="A62" s="150"/>
      <c r="B62" s="151"/>
      <c r="C62" s="151"/>
      <c r="D62" s="151"/>
      <c r="E62" s="151"/>
      <c r="F62" s="151"/>
      <c r="G62" s="151"/>
      <c r="H62" s="152"/>
      <c r="I62" s="151"/>
    </row>
  </sheetData>
  <pageMargins left="0.25" right="0.25" top="0.75" bottom="0.75" header="0.3" footer="0.3"/>
  <pageSetup scale="78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showGridLines="0" topLeftCell="A4" zoomScaleNormal="100" workbookViewId="0">
      <selection activeCell="D36" sqref="D36"/>
    </sheetView>
  </sheetViews>
  <sheetFormatPr defaultRowHeight="12.75" x14ac:dyDescent="0.2"/>
  <cols>
    <col min="1" max="1" width="6" style="23" customWidth="1"/>
    <col min="2" max="2" width="21.42578125" style="7" customWidth="1"/>
    <col min="3" max="3" width="12.7109375" style="7" customWidth="1"/>
    <col min="4" max="4" width="16.7109375" style="7" customWidth="1"/>
    <col min="5" max="5" width="23.140625" style="7" customWidth="1"/>
    <col min="6" max="7" width="11" style="7" customWidth="1"/>
    <col min="8" max="8" width="20.7109375" style="7" customWidth="1"/>
    <col min="9" max="9" width="9.42578125" style="7" bestFit="1" customWidth="1"/>
    <col min="10" max="10" width="10.85546875" style="7" customWidth="1"/>
    <col min="11" max="11" width="10.85546875" style="7" bestFit="1" customWidth="1"/>
    <col min="12" max="12" width="11.28515625" style="7" customWidth="1"/>
    <col min="13" max="13" width="10.85546875" style="7" bestFit="1" customWidth="1"/>
    <col min="14" max="14" width="11.140625" style="7" customWidth="1"/>
    <col min="15" max="15" width="10.5703125" style="7" customWidth="1"/>
    <col min="16" max="16" width="10.85546875" style="7" bestFit="1" customWidth="1"/>
    <col min="17" max="17" width="11.140625" style="7" customWidth="1"/>
    <col min="18" max="18" width="10.85546875" style="7" customWidth="1"/>
    <col min="19" max="19" width="10.85546875" customWidth="1"/>
  </cols>
  <sheetData>
    <row r="1" spans="1:17" ht="15.75" x14ac:dyDescent="0.25">
      <c r="A1" s="23">
        <v>1</v>
      </c>
      <c r="B1" s="26" t="s">
        <v>20</v>
      </c>
      <c r="D1" s="25">
        <f ca="1">NOW()</f>
        <v>41851.309266435186</v>
      </c>
    </row>
    <row r="2" spans="1:17" ht="7.5" customHeight="1" x14ac:dyDescent="0.25">
      <c r="A2" s="23">
        <f>A1+1</f>
        <v>2</v>
      </c>
      <c r="B2" s="26"/>
      <c r="D2" s="25"/>
    </row>
    <row r="3" spans="1:17" ht="15.75" x14ac:dyDescent="0.25">
      <c r="A3" s="23">
        <f>A2+1</f>
        <v>3</v>
      </c>
      <c r="B3" s="26" t="s">
        <v>58</v>
      </c>
      <c r="C3" s="26"/>
      <c r="D3" s="50" t="s">
        <v>214</v>
      </c>
    </row>
    <row r="4" spans="1:17" ht="7.5" customHeight="1" x14ac:dyDescent="0.2">
      <c r="A4" s="23">
        <f t="shared" ref="A4:A70" si="0">A3+1</f>
        <v>4</v>
      </c>
    </row>
    <row r="5" spans="1:17" x14ac:dyDescent="0.2">
      <c r="A5" s="23">
        <f t="shared" si="0"/>
        <v>5</v>
      </c>
      <c r="B5" s="7" t="s">
        <v>17</v>
      </c>
      <c r="D5" s="10"/>
      <c r="F5" s="11"/>
      <c r="G5" s="10"/>
      <c r="I5" s="13">
        <v>2004</v>
      </c>
      <c r="J5" s="13">
        <v>2005</v>
      </c>
      <c r="K5" s="13">
        <v>2006</v>
      </c>
      <c r="L5" s="41">
        <v>2007</v>
      </c>
      <c r="M5" s="18"/>
    </row>
    <row r="6" spans="1:17" x14ac:dyDescent="0.2">
      <c r="A6" s="23">
        <f t="shared" si="0"/>
        <v>6</v>
      </c>
      <c r="B6" s="7" t="s">
        <v>26</v>
      </c>
      <c r="D6" s="10">
        <v>2.5000000000000001E-2</v>
      </c>
      <c r="F6" s="11" t="s">
        <v>99</v>
      </c>
      <c r="G6" s="10"/>
      <c r="I6" s="13"/>
    </row>
    <row r="7" spans="1:17" x14ac:dyDescent="0.2">
      <c r="A7" s="23">
        <f t="shared" si="0"/>
        <v>7</v>
      </c>
      <c r="B7" s="7" t="s">
        <v>24</v>
      </c>
      <c r="D7" s="211">
        <v>7.0000000000000007E-2</v>
      </c>
      <c r="F7" s="20" t="s">
        <v>134</v>
      </c>
      <c r="G7" s="10"/>
      <c r="I7" s="19">
        <f>'Financial Statements'!C102/('Financial Statements'!C100+'Financial Statements'!C101)</f>
        <v>0</v>
      </c>
      <c r="J7" s="19">
        <f>'Financial Statements'!D102/('Financial Statements'!D100+'Financial Statements'!D101)</f>
        <v>0</v>
      </c>
      <c r="K7" s="19">
        <f>'Financial Statements'!E102/('Financial Statements'!E100+'Financial Statements'!E101)</f>
        <v>0</v>
      </c>
      <c r="L7" s="19">
        <f>'Financial Statements'!F102/('Financial Statements'!F100+'Financial Statements'!F101)</f>
        <v>0</v>
      </c>
      <c r="M7" s="19"/>
      <c r="N7" s="19"/>
      <c r="O7" s="19"/>
      <c r="P7" s="19"/>
      <c r="Q7" s="19"/>
    </row>
    <row r="8" spans="1:17" x14ac:dyDescent="0.2">
      <c r="A8" s="23">
        <f t="shared" si="0"/>
        <v>8</v>
      </c>
      <c r="B8" s="7" t="s">
        <v>14</v>
      </c>
      <c r="D8" s="211">
        <f>5%</f>
        <v>0.05</v>
      </c>
      <c r="F8" s="11"/>
      <c r="G8" s="10"/>
    </row>
    <row r="9" spans="1:17" ht="7.5" customHeight="1" x14ac:dyDescent="0.2">
      <c r="A9" s="23">
        <f t="shared" si="0"/>
        <v>9</v>
      </c>
      <c r="D9" s="10"/>
      <c r="F9" s="20"/>
      <c r="G9" s="10"/>
    </row>
    <row r="10" spans="1:17" ht="7.5" customHeight="1" x14ac:dyDescent="0.2">
      <c r="A10" s="23">
        <f t="shared" si="0"/>
        <v>10</v>
      </c>
      <c r="F10" s="15"/>
    </row>
    <row r="11" spans="1:17" ht="7.5" customHeight="1" x14ac:dyDescent="0.2">
      <c r="A11" s="23">
        <f t="shared" si="0"/>
        <v>11</v>
      </c>
    </row>
    <row r="12" spans="1:17" x14ac:dyDescent="0.2">
      <c r="A12" s="23">
        <f t="shared" si="0"/>
        <v>12</v>
      </c>
      <c r="B12" s="12" t="s">
        <v>115</v>
      </c>
      <c r="D12" s="10">
        <f>+'Financial Statements'!I79*0.5</f>
        <v>3.4253517596606442E-2</v>
      </c>
      <c r="E12" s="126" t="s">
        <v>236</v>
      </c>
      <c r="F12" s="15"/>
    </row>
    <row r="13" spans="1:17" x14ac:dyDescent="0.2">
      <c r="A13" s="23">
        <f t="shared" si="0"/>
        <v>13</v>
      </c>
      <c r="B13" s="12" t="s">
        <v>116</v>
      </c>
      <c r="E13" s="21"/>
    </row>
    <row r="14" spans="1:17" x14ac:dyDescent="0.2">
      <c r="A14" s="23">
        <f t="shared" si="0"/>
        <v>14</v>
      </c>
      <c r="B14" s="12"/>
      <c r="D14" s="10"/>
      <c r="F14" s="19"/>
      <c r="H14" s="19"/>
    </row>
    <row r="15" spans="1:17" x14ac:dyDescent="0.2">
      <c r="A15" s="23">
        <f t="shared" si="0"/>
        <v>15</v>
      </c>
      <c r="B15" s="14" t="s">
        <v>32</v>
      </c>
    </row>
    <row r="16" spans="1:17" x14ac:dyDescent="0.2">
      <c r="A16" s="23">
        <f t="shared" si="0"/>
        <v>16</v>
      </c>
      <c r="B16" s="7" t="str">
        <f>'Financial Statements'!A82</f>
        <v>Cost of Purchased Power</v>
      </c>
      <c r="D16" s="10">
        <f>+'Financial Statements'!I82*0.5</f>
        <v>4.2791411678085547E-2</v>
      </c>
      <c r="E16" s="126" t="s">
        <v>236</v>
      </c>
      <c r="F16" s="15"/>
    </row>
    <row r="17" spans="1:17" x14ac:dyDescent="0.2">
      <c r="A17" s="23">
        <f t="shared" si="0"/>
        <v>17</v>
      </c>
      <c r="B17" s="7" t="str">
        <f>'Financial Statements'!A83</f>
        <v>Administrative and General Expenses</v>
      </c>
      <c r="D17" s="10">
        <f>+'Financial Statements'!I83</f>
        <v>5.5605823897767859E-2</v>
      </c>
      <c r="E17" s="21" t="s">
        <v>147</v>
      </c>
      <c r="F17" s="24"/>
    </row>
    <row r="18" spans="1:17" x14ac:dyDescent="0.2">
      <c r="A18" s="23">
        <f t="shared" si="0"/>
        <v>18</v>
      </c>
      <c r="B18" s="7" t="str">
        <f>'Financial Statements'!A84</f>
        <v>Distribution  Expense - Operation</v>
      </c>
      <c r="D18" s="10">
        <f>+'Financial Statements'!I84</f>
        <v>2.1749402293186688E-2</v>
      </c>
      <c r="E18" s="126" t="s">
        <v>147</v>
      </c>
      <c r="F18" s="21"/>
      <c r="J18" s="13"/>
      <c r="K18" s="13"/>
      <c r="L18" s="13"/>
      <c r="M18" s="13"/>
      <c r="N18" s="13"/>
      <c r="O18" s="13">
        <v>2005</v>
      </c>
      <c r="P18" s="8" t="s">
        <v>107</v>
      </c>
      <c r="Q18" s="18" t="s">
        <v>108</v>
      </c>
    </row>
    <row r="19" spans="1:17" x14ac:dyDescent="0.2">
      <c r="B19" s="2" t="s">
        <v>220</v>
      </c>
      <c r="D19" s="10">
        <f>+'Financial Statements'!I85</f>
        <v>6.8785033982052102E-2</v>
      </c>
      <c r="E19" s="126" t="s">
        <v>147</v>
      </c>
      <c r="F19" s="21"/>
      <c r="J19" s="13"/>
      <c r="K19" s="13"/>
      <c r="L19" s="13"/>
      <c r="M19" s="13"/>
      <c r="N19" s="13"/>
      <c r="O19" s="13"/>
      <c r="P19" s="8"/>
      <c r="Q19" s="18"/>
    </row>
    <row r="20" spans="1:17" x14ac:dyDescent="0.2">
      <c r="A20" s="23">
        <f>A18+1</f>
        <v>19</v>
      </c>
      <c r="B20" s="7" t="str">
        <f>'Financial Statements'!A86</f>
        <v>Depreciation and amortization</v>
      </c>
      <c r="D20" s="10">
        <v>4.5900000000000003E-2</v>
      </c>
      <c r="E20" s="126" t="s">
        <v>147</v>
      </c>
      <c r="F20" s="21"/>
      <c r="J20" s="16"/>
      <c r="K20" s="16"/>
      <c r="L20" s="16"/>
      <c r="M20" s="16"/>
      <c r="N20" s="16"/>
      <c r="O20" s="16">
        <f>'Financial Statements'!C86/'Financial Statements'!C24</f>
        <v>2.784370555835133E-2</v>
      </c>
      <c r="P20" s="16">
        <f>40602/(1390087+24077+5)</f>
        <v>2.8710854218979485E-2</v>
      </c>
      <c r="Q20" s="16">
        <f>41285/(1503509+24077+5)</f>
        <v>2.7026213168315341E-2</v>
      </c>
    </row>
    <row r="21" spans="1:17" x14ac:dyDescent="0.2">
      <c r="B21" s="7" t="str">
        <f>'Financial Statements'!A87</f>
        <v>Consumer Accounts</v>
      </c>
      <c r="D21" s="10">
        <f>+'Financial Statements'!I87*0.5</f>
        <v>-4.0129234473660208E-3</v>
      </c>
      <c r="E21" s="126"/>
      <c r="F21" s="21"/>
      <c r="J21" s="16"/>
      <c r="K21" s="16"/>
      <c r="L21" s="16"/>
      <c r="M21" s="16"/>
      <c r="N21" s="16"/>
      <c r="O21" s="16"/>
      <c r="P21" s="16"/>
      <c r="Q21" s="16"/>
    </row>
    <row r="22" spans="1:17" x14ac:dyDescent="0.2">
      <c r="B22" s="7" t="str">
        <f>'Financial Statements'!A88</f>
        <v>Customer Service</v>
      </c>
      <c r="D22" s="10">
        <f>+'Financial Statements'!I88</f>
        <v>4.3717082081893892E-2</v>
      </c>
      <c r="E22" s="126"/>
      <c r="F22" s="21"/>
      <c r="J22" s="16"/>
      <c r="K22" s="16"/>
      <c r="L22" s="16"/>
      <c r="M22" s="16"/>
      <c r="N22" s="16"/>
      <c r="O22" s="16"/>
      <c r="P22" s="16"/>
      <c r="Q22" s="16"/>
    </row>
    <row r="23" spans="1:17" x14ac:dyDescent="0.2">
      <c r="A23" s="23">
        <f>A20+1</f>
        <v>20</v>
      </c>
      <c r="B23" s="7" t="str">
        <f>'Financial Statements'!A89</f>
        <v>Transmission Expense</v>
      </c>
      <c r="D23" s="10">
        <f>+D6</f>
        <v>2.5000000000000001E-2</v>
      </c>
      <c r="E23" s="21" t="s">
        <v>117</v>
      </c>
      <c r="F23" s="21"/>
      <c r="N23" s="16"/>
      <c r="O23" s="16"/>
      <c r="P23" s="16"/>
    </row>
    <row r="24" spans="1:17" x14ac:dyDescent="0.2">
      <c r="A24" s="23">
        <f t="shared" si="0"/>
        <v>21</v>
      </c>
      <c r="B24" s="7" t="str">
        <f>'Financial Statements'!A90</f>
        <v>Taxes, other than income taxes</v>
      </c>
      <c r="D24" s="10">
        <f>D6*2</f>
        <v>0.05</v>
      </c>
      <c r="E24" s="126" t="s">
        <v>235</v>
      </c>
      <c r="F24" s="15"/>
      <c r="I24" s="10"/>
    </row>
    <row r="25" spans="1:17" x14ac:dyDescent="0.2">
      <c r="A25" s="23">
        <f t="shared" si="0"/>
        <v>22</v>
      </c>
    </row>
    <row r="26" spans="1:17" x14ac:dyDescent="0.2">
      <c r="A26" s="23">
        <f t="shared" si="0"/>
        <v>23</v>
      </c>
      <c r="B26" s="7" t="str">
        <f>'Forecast '!A95</f>
        <v>Interest (Surplus Cash)/Add. Loans</v>
      </c>
      <c r="D26" s="10">
        <v>0.02</v>
      </c>
      <c r="E26" s="7" t="s">
        <v>83</v>
      </c>
      <c r="F26" s="15" t="s">
        <v>135</v>
      </c>
    </row>
    <row r="27" spans="1:17" x14ac:dyDescent="0.2">
      <c r="A27" s="23">
        <f t="shared" si="0"/>
        <v>24</v>
      </c>
      <c r="B27" s="7" t="str">
        <f>'Financial Statements'!A94</f>
        <v xml:space="preserve">   Interest expense (net)</v>
      </c>
      <c r="D27" s="40">
        <v>5.16E-2</v>
      </c>
      <c r="E27" s="15" t="s">
        <v>124</v>
      </c>
      <c r="F27" s="21" t="s">
        <v>125</v>
      </c>
    </row>
    <row r="28" spans="1:17" x14ac:dyDescent="0.2">
      <c r="A28" s="23">
        <f t="shared" si="0"/>
        <v>25</v>
      </c>
      <c r="B28" s="7" t="str">
        <f>'Financial Statements'!A95</f>
        <v xml:space="preserve">   Interest and Other Income</v>
      </c>
      <c r="D28" s="40">
        <f>+'Financial Statements'!I95</f>
        <v>-0.19710505712748314</v>
      </c>
      <c r="E28" s="21" t="s">
        <v>123</v>
      </c>
      <c r="F28" s="15"/>
    </row>
    <row r="29" spans="1:17" x14ac:dyDescent="0.2">
      <c r="A29" s="23">
        <f t="shared" si="0"/>
        <v>26</v>
      </c>
      <c r="B29" s="7" t="str">
        <f>'Financial Statements'!A96</f>
        <v xml:space="preserve">   Loss (Gain) on Sale of Assets</v>
      </c>
      <c r="D29" s="43" t="e">
        <f>AVERAGE('Financial Statements'!C96:F96)</f>
        <v>#DIV/0!</v>
      </c>
      <c r="E29" s="7" t="s">
        <v>84</v>
      </c>
      <c r="F29" s="7" t="s">
        <v>85</v>
      </c>
    </row>
    <row r="30" spans="1:17" x14ac:dyDescent="0.2">
      <c r="A30" s="23">
        <f t="shared" si="0"/>
        <v>27</v>
      </c>
      <c r="B30" s="7" t="str">
        <f>'Financial Statements'!A97</f>
        <v xml:space="preserve">   Other (Income) Expense</v>
      </c>
      <c r="D30" s="43">
        <f>+'Financial Statements'!H97</f>
        <v>-326148</v>
      </c>
      <c r="E30" s="7" t="s">
        <v>84</v>
      </c>
      <c r="F30" s="7" t="s">
        <v>85</v>
      </c>
    </row>
    <row r="31" spans="1:17" x14ac:dyDescent="0.2">
      <c r="A31" s="23">
        <f t="shared" si="0"/>
        <v>28</v>
      </c>
      <c r="B31" s="7" t="str">
        <f>'Financial Statements'!A101</f>
        <v>Patronage Capital Credits</v>
      </c>
      <c r="D31" s="43">
        <v>0</v>
      </c>
      <c r="E31" s="7" t="s">
        <v>86</v>
      </c>
    </row>
    <row r="32" spans="1:17" x14ac:dyDescent="0.2">
      <c r="A32" s="23">
        <f t="shared" si="0"/>
        <v>29</v>
      </c>
      <c r="B32" s="7" t="s">
        <v>25</v>
      </c>
      <c r="D32" s="36">
        <v>0</v>
      </c>
      <c r="E32" s="7" t="s">
        <v>145</v>
      </c>
    </row>
    <row r="33" spans="1:15" x14ac:dyDescent="0.2">
      <c r="A33" s="23">
        <f t="shared" si="0"/>
        <v>30</v>
      </c>
      <c r="D33" s="10"/>
    </row>
    <row r="34" spans="1:15" x14ac:dyDescent="0.2">
      <c r="A34" s="23">
        <f t="shared" si="0"/>
        <v>31</v>
      </c>
      <c r="B34" s="7" t="e">
        <f>'Financial Statements'!#REF!</f>
        <v>#REF!</v>
      </c>
      <c r="D34" s="10">
        <v>0</v>
      </c>
      <c r="E34" s="7" t="s">
        <v>87</v>
      </c>
      <c r="F34" s="7" t="s">
        <v>97</v>
      </c>
    </row>
    <row r="35" spans="1:15" x14ac:dyDescent="0.2">
      <c r="A35" s="23">
        <f t="shared" si="0"/>
        <v>32</v>
      </c>
      <c r="B35" s="7" t="str">
        <f>'Financial Statements'!A105</f>
        <v>Return of Patrons Capital</v>
      </c>
      <c r="D35" s="10">
        <f>+'Financial Statements'!R105+0.02</f>
        <v>0.27415812255999705</v>
      </c>
      <c r="E35" s="7" t="s">
        <v>136</v>
      </c>
      <c r="F35" s="7" t="s">
        <v>137</v>
      </c>
    </row>
    <row r="36" spans="1:15" x14ac:dyDescent="0.2">
      <c r="A36" s="23">
        <f t="shared" si="0"/>
        <v>33</v>
      </c>
      <c r="I36" s="13"/>
      <c r="J36" s="13"/>
      <c r="K36" s="13"/>
      <c r="L36" s="13"/>
      <c r="M36" s="13"/>
      <c r="N36" s="13"/>
    </row>
    <row r="37" spans="1:15" x14ac:dyDescent="0.2">
      <c r="A37" s="23">
        <f t="shared" si="0"/>
        <v>34</v>
      </c>
      <c r="B37" s="7" t="str">
        <f>'Forecast '!A12</f>
        <v>Cash &amp; Equivalents</v>
      </c>
      <c r="D37" s="10">
        <f>1/24</f>
        <v>4.1666666666666664E-2</v>
      </c>
      <c r="E37" s="15" t="s">
        <v>111</v>
      </c>
      <c r="F37" s="21" t="s">
        <v>110</v>
      </c>
      <c r="I37" s="16"/>
      <c r="J37" s="16"/>
      <c r="K37" s="16"/>
      <c r="L37" s="16"/>
      <c r="M37" s="16"/>
      <c r="N37" s="16"/>
      <c r="O37" s="16"/>
    </row>
    <row r="38" spans="1:15" x14ac:dyDescent="0.2">
      <c r="A38" s="23">
        <f t="shared" si="0"/>
        <v>35</v>
      </c>
      <c r="B38" s="7" t="str">
        <f>'Forecast '!A13</f>
        <v>Surplus Cash</v>
      </c>
      <c r="E38" s="7" t="s">
        <v>8</v>
      </c>
      <c r="H38" s="13">
        <v>2009</v>
      </c>
      <c r="I38" s="13">
        <f>+H38+1</f>
        <v>2010</v>
      </c>
      <c r="J38" s="13">
        <f t="shared" ref="J38:L38" si="1">+I38+1</f>
        <v>2011</v>
      </c>
      <c r="K38" s="13">
        <f t="shared" si="1"/>
        <v>2012</v>
      </c>
      <c r="L38" s="13">
        <f t="shared" si="1"/>
        <v>2013</v>
      </c>
      <c r="M38" s="213" t="s">
        <v>237</v>
      </c>
    </row>
    <row r="39" spans="1:15" x14ac:dyDescent="0.2">
      <c r="A39" s="23">
        <f t="shared" si="0"/>
        <v>36</v>
      </c>
      <c r="B39" s="7" t="str">
        <f>'Forecast '!A14</f>
        <v>Accounts Receivable - Customers</v>
      </c>
      <c r="D39" s="36">
        <f>+M39</f>
        <v>0.12197127572389577</v>
      </c>
      <c r="E39" s="7" t="s">
        <v>63</v>
      </c>
      <c r="F39" s="7" t="s">
        <v>90</v>
      </c>
      <c r="H39" s="207">
        <f>+'Financial Statements'!D13/'Financial Statements'!D79</f>
        <v>0.14067715888953655</v>
      </c>
      <c r="I39" s="207">
        <f>+'Financial Statements'!E13/'Financial Statements'!E79</f>
        <v>0.11166209045105413</v>
      </c>
      <c r="J39" s="207">
        <f>+'Financial Statements'!F13/'Financial Statements'!F79</f>
        <v>0.11457498109128489</v>
      </c>
      <c r="K39" s="207">
        <f>+'Financial Statements'!G13/'Financial Statements'!G79</f>
        <v>0.12024411831360703</v>
      </c>
      <c r="L39" s="207">
        <f>+'Financial Statements'!H13/'Financial Statements'!H79</f>
        <v>0.12269802987399622</v>
      </c>
      <c r="M39" s="10">
        <f>AVERAGE(H39:L39)</f>
        <v>0.12197127572389577</v>
      </c>
      <c r="N39" s="10"/>
      <c r="O39" s="16"/>
    </row>
    <row r="40" spans="1:15" x14ac:dyDescent="0.2">
      <c r="A40" s="23">
        <f t="shared" si="0"/>
        <v>37</v>
      </c>
      <c r="B40" s="7" t="str">
        <f>'Forecast '!A16</f>
        <v>Material and Supplies</v>
      </c>
      <c r="D40" s="36">
        <f>+'Financial Statements'!R15</f>
        <v>1.822006851830656E-2</v>
      </c>
      <c r="E40" s="7" t="s">
        <v>89</v>
      </c>
      <c r="F40" s="7" t="s">
        <v>90</v>
      </c>
    </row>
    <row r="41" spans="1:15" x14ac:dyDescent="0.2">
      <c r="A41" s="23">
        <f t="shared" si="0"/>
        <v>38</v>
      </c>
      <c r="B41" s="7" t="str">
        <f>'Forecast '!A17</f>
        <v>Other Current Assets</v>
      </c>
      <c r="D41" s="43">
        <v>58155</v>
      </c>
      <c r="E41" s="7" t="s">
        <v>89</v>
      </c>
      <c r="F41" s="7" t="s">
        <v>90</v>
      </c>
    </row>
    <row r="42" spans="1:15" x14ac:dyDescent="0.2">
      <c r="A42" s="23">
        <f t="shared" si="0"/>
        <v>39</v>
      </c>
      <c r="D42" s="43"/>
    </row>
    <row r="43" spans="1:15" ht="12" customHeight="1" x14ac:dyDescent="0.2">
      <c r="A43" s="23">
        <f t="shared" si="0"/>
        <v>40</v>
      </c>
      <c r="B43" s="7" t="str">
        <f>'Forecast '!A20</f>
        <v>Plant &amp; Equipment:</v>
      </c>
    </row>
    <row r="44" spans="1:15" x14ac:dyDescent="0.2">
      <c r="A44" s="23">
        <f t="shared" si="0"/>
        <v>41</v>
      </c>
      <c r="B44" s="7" t="str">
        <f>'Forecast '!A21</f>
        <v>Plant in Service</v>
      </c>
      <c r="D44" s="10">
        <f>+'Financial Statements'!I24</f>
        <v>4.1419848236877263E-2</v>
      </c>
      <c r="E44" s="21" t="str">
        <f>+E20</f>
        <v>Historical Average</v>
      </c>
      <c r="F44" s="42"/>
      <c r="G44" s="42"/>
    </row>
    <row r="45" spans="1:15" x14ac:dyDescent="0.2">
      <c r="A45" s="23">
        <f t="shared" si="0"/>
        <v>42</v>
      </c>
      <c r="D45" s="10"/>
    </row>
    <row r="46" spans="1:15" x14ac:dyDescent="0.2">
      <c r="A46" s="23">
        <f t="shared" si="0"/>
        <v>43</v>
      </c>
      <c r="B46" s="7" t="str">
        <f>'Forecast '!A22</f>
        <v>Construction Work in Progress</v>
      </c>
      <c r="D46" s="22"/>
      <c r="E46" s="7" t="s">
        <v>139</v>
      </c>
      <c r="F46" s="15"/>
    </row>
    <row r="47" spans="1:15" x14ac:dyDescent="0.2">
      <c r="A47" s="23">
        <f t="shared" si="0"/>
        <v>44</v>
      </c>
    </row>
    <row r="48" spans="1:15" x14ac:dyDescent="0.2">
      <c r="A48" s="23">
        <f t="shared" si="0"/>
        <v>45</v>
      </c>
      <c r="B48" s="7" t="str">
        <f>'Forecast '!A23</f>
        <v>Other PP&amp;E</v>
      </c>
      <c r="D48" s="7">
        <v>0</v>
      </c>
      <c r="E48" s="7" t="s">
        <v>91</v>
      </c>
      <c r="F48" s="7" t="s">
        <v>86</v>
      </c>
    </row>
    <row r="49" spans="1:20" x14ac:dyDescent="0.2">
      <c r="A49" s="23">
        <f t="shared" si="0"/>
        <v>46</v>
      </c>
      <c r="J49" s="13">
        <v>2004</v>
      </c>
      <c r="K49" s="13">
        <v>2005</v>
      </c>
      <c r="L49" s="13">
        <v>2006</v>
      </c>
      <c r="M49" s="47">
        <f>+L49+1</f>
        <v>2007</v>
      </c>
      <c r="N49" s="48">
        <f>+M49+1</f>
        <v>2008</v>
      </c>
    </row>
    <row r="50" spans="1:20" x14ac:dyDescent="0.2">
      <c r="A50" s="23">
        <f t="shared" si="0"/>
        <v>47</v>
      </c>
      <c r="B50" s="7" t="str">
        <f>'Forecast '!A26</f>
        <v>Accumulated Depreciation &amp; Amort.</v>
      </c>
      <c r="D50" s="36">
        <f>+'Financial Statements'!R111*0.55</f>
        <v>0.52177382727705945</v>
      </c>
      <c r="E50" s="7" t="s">
        <v>143</v>
      </c>
      <c r="F50" s="21"/>
      <c r="J50" s="10">
        <f>'Financial Statements'!C26/'Financial Statements'!C21</f>
        <v>0.47178932117805256</v>
      </c>
      <c r="K50" s="10">
        <f>'Financial Statements'!D26/'Financial Statements'!D21</f>
        <v>0.48600740849361418</v>
      </c>
      <c r="L50" s="10">
        <f>'Financial Statements'!E26/'Financial Statements'!E21</f>
        <v>0.49437589615188482</v>
      </c>
      <c r="M50" s="10">
        <f>'Financial Statements'!F26/'Financial Statements'!F21</f>
        <v>0.49582633768981238</v>
      </c>
      <c r="N50" s="10">
        <f>'Financial Statements'!G26/'Financial Statements'!G21</f>
        <v>0.50599802312449338</v>
      </c>
      <c r="O50" s="10">
        <f>AVERAGE(J50:N50)</f>
        <v>0.49079939732757155</v>
      </c>
    </row>
    <row r="51" spans="1:20" x14ac:dyDescent="0.2">
      <c r="A51" s="23">
        <f t="shared" si="0"/>
        <v>48</v>
      </c>
      <c r="D51" s="43"/>
    </row>
    <row r="52" spans="1:20" x14ac:dyDescent="0.2">
      <c r="A52" s="23">
        <f t="shared" si="0"/>
        <v>49</v>
      </c>
      <c r="B52" s="7" t="str">
        <f>'Forecast '!A31</f>
        <v>Regulatory Assets</v>
      </c>
      <c r="D52" s="36"/>
      <c r="F52" s="15"/>
    </row>
    <row r="53" spans="1:20" ht="12" customHeight="1" x14ac:dyDescent="0.2">
      <c r="A53" s="23">
        <f t="shared" si="0"/>
        <v>50</v>
      </c>
      <c r="B53" s="7" t="str">
        <f>'Forecast '!A33</f>
        <v>Non-utility Property</v>
      </c>
      <c r="D53" s="43"/>
    </row>
    <row r="54" spans="1:20" x14ac:dyDescent="0.2">
      <c r="A54" s="23">
        <f t="shared" si="0"/>
        <v>51</v>
      </c>
      <c r="B54" s="7" t="str">
        <f>'Forecast '!A34</f>
        <v>Investment in associated organizations</v>
      </c>
      <c r="D54" s="43">
        <f>+'Financial Statements'!H35*(1+'Financial Statements'!I35)</f>
        <v>862898.88409835217</v>
      </c>
      <c r="E54" s="7" t="s">
        <v>149</v>
      </c>
      <c r="F54" s="15" t="s">
        <v>131</v>
      </c>
    </row>
    <row r="55" spans="1:20" x14ac:dyDescent="0.2">
      <c r="A55" s="23">
        <f t="shared" si="0"/>
        <v>52</v>
      </c>
      <c r="D55" s="43"/>
      <c r="F55" s="11"/>
    </row>
    <row r="56" spans="1:20" x14ac:dyDescent="0.2">
      <c r="A56" s="23">
        <f t="shared" si="0"/>
        <v>53</v>
      </c>
      <c r="B56" s="7" t="str">
        <f>'Forecast '!A40</f>
        <v>Current Portion of LTD</v>
      </c>
      <c r="C56" s="17"/>
      <c r="D56" s="36">
        <f>+'Financial Statements'!R113-0.02</f>
        <v>6.3091420984336052E-2</v>
      </c>
      <c r="E56" s="21" t="s">
        <v>140</v>
      </c>
      <c r="F56" s="27"/>
      <c r="I56" s="13"/>
      <c r="J56" s="13"/>
      <c r="K56" s="13"/>
      <c r="L56" s="41"/>
      <c r="M56" s="13"/>
      <c r="N56" s="13"/>
      <c r="O56" s="2" t="s">
        <v>5</v>
      </c>
    </row>
    <row r="57" spans="1:20" x14ac:dyDescent="0.2">
      <c r="A57" s="23">
        <f t="shared" si="0"/>
        <v>54</v>
      </c>
      <c r="B57" s="7" t="str">
        <f>'Forecast '!A41</f>
        <v>Acounts Payable</v>
      </c>
      <c r="C57" s="17"/>
      <c r="D57" s="36">
        <f>+O57</f>
        <v>0.11589056342256016</v>
      </c>
      <c r="E57" s="7" t="s">
        <v>132</v>
      </c>
      <c r="F57" s="20" t="s">
        <v>130</v>
      </c>
      <c r="I57" s="10">
        <f>'Financial Statements'!C42/'Financial Statements'!C79</f>
        <v>0.11890470350962939</v>
      </c>
      <c r="J57" s="10">
        <f>'Financial Statements'!D42/'Financial Statements'!D79</f>
        <v>0.11454009966296912</v>
      </c>
      <c r="K57" s="10">
        <f>'Financial Statements'!E42/'Financial Statements'!E79</f>
        <v>0.11473512273178985</v>
      </c>
      <c r="L57" s="10">
        <f>'Financial Statements'!F42/'Financial Statements'!F79</f>
        <v>0.11231469319433464</v>
      </c>
      <c r="M57" s="10">
        <f>'Financial Statements'!G42/'Financial Statements'!G79</f>
        <v>0.1157884548884352</v>
      </c>
      <c r="N57" s="10">
        <f>'Financial Statements'!H42/'Financial Statements'!H79</f>
        <v>0.11906030654820268</v>
      </c>
      <c r="O57" s="10">
        <f>AVERAGE(I57:N57)</f>
        <v>0.11589056342256016</v>
      </c>
    </row>
    <row r="58" spans="1:20" x14ac:dyDescent="0.2">
      <c r="A58" s="23">
        <f t="shared" si="0"/>
        <v>55</v>
      </c>
      <c r="B58" s="7" t="str">
        <f>'Forecast '!A42</f>
        <v>Accrued Expenses</v>
      </c>
      <c r="C58" s="17"/>
      <c r="D58" s="36" t="e">
        <f>+'Financial Statements'!#REF!</f>
        <v>#REF!</v>
      </c>
      <c r="E58" s="7" t="s">
        <v>132</v>
      </c>
      <c r="F58" s="20"/>
    </row>
    <row r="59" spans="1:20" x14ac:dyDescent="0.2">
      <c r="A59" s="23">
        <f t="shared" si="0"/>
        <v>56</v>
      </c>
      <c r="B59" s="7" t="str">
        <f>'Forecast '!A43</f>
        <v>Customer Deposits</v>
      </c>
      <c r="C59" s="17"/>
      <c r="D59" s="45">
        <v>36610</v>
      </c>
      <c r="E59" s="7" t="s">
        <v>150</v>
      </c>
      <c r="F59" s="20" t="s">
        <v>133</v>
      </c>
    </row>
    <row r="60" spans="1:20" x14ac:dyDescent="0.2">
      <c r="A60" s="23">
        <f t="shared" si="0"/>
        <v>57</v>
      </c>
      <c r="B60" s="7" t="str">
        <f>'Forecast '!A44</f>
        <v>Line of Credit</v>
      </c>
      <c r="C60" s="17"/>
      <c r="D60" s="36">
        <v>0</v>
      </c>
      <c r="E60" s="7" t="s">
        <v>92</v>
      </c>
      <c r="F60" s="11" t="s">
        <v>88</v>
      </c>
    </row>
    <row r="61" spans="1:20" x14ac:dyDescent="0.2">
      <c r="A61" s="23">
        <f t="shared" si="0"/>
        <v>58</v>
      </c>
      <c r="B61" s="7" t="str">
        <f>'Forecast '!A45</f>
        <v>Other Current and Accrued Liabilities</v>
      </c>
      <c r="C61" s="17"/>
      <c r="D61" s="36">
        <v>0</v>
      </c>
      <c r="E61" s="7" t="s">
        <v>89</v>
      </c>
      <c r="F61" s="7" t="s">
        <v>90</v>
      </c>
    </row>
    <row r="62" spans="1:20" x14ac:dyDescent="0.2">
      <c r="A62" s="23">
        <f t="shared" si="0"/>
        <v>59</v>
      </c>
      <c r="B62" s="7" t="s">
        <v>141</v>
      </c>
      <c r="C62" s="17"/>
      <c r="D62" s="36">
        <f>+F62</f>
        <v>4.9155820357725311E-2</v>
      </c>
      <c r="F62" s="207">
        <f>+'Financial Statements'!H94/('Financial Statements'!H49+'Financial Statements'!H41)</f>
        <v>4.9155820357725311E-2</v>
      </c>
      <c r="I62"/>
      <c r="J62"/>
      <c r="K62"/>
      <c r="L62"/>
      <c r="M62"/>
      <c r="N62"/>
      <c r="O62"/>
      <c r="P62"/>
      <c r="Q62"/>
      <c r="R62"/>
      <c r="T62" s="28"/>
    </row>
    <row r="63" spans="1:20" x14ac:dyDescent="0.2">
      <c r="A63" s="23">
        <f t="shared" si="0"/>
        <v>60</v>
      </c>
      <c r="B63" s="7" t="str">
        <f>'Forecast '!A48</f>
        <v>Long-Term Debt</v>
      </c>
      <c r="C63" s="17"/>
      <c r="D63" s="36">
        <f>+D56*-1</f>
        <v>-6.3091420984336052E-2</v>
      </c>
      <c r="E63" s="15" t="s">
        <v>124</v>
      </c>
      <c r="F63" s="21"/>
      <c r="I63"/>
      <c r="J63"/>
      <c r="K63"/>
      <c r="L63"/>
      <c r="M63"/>
      <c r="N63"/>
      <c r="O63"/>
      <c r="P63"/>
      <c r="Q63"/>
      <c r="R63"/>
    </row>
    <row r="64" spans="1:20" x14ac:dyDescent="0.2">
      <c r="A64" s="23">
        <f t="shared" si="0"/>
        <v>61</v>
      </c>
      <c r="B64" s="7" t="str">
        <f>'Forecast '!A49</f>
        <v>Deferred Income Taxes</v>
      </c>
      <c r="C64" s="17"/>
      <c r="D64" s="36" t="e">
        <f>'Financial Statements'!#REF!</f>
        <v>#REF!</v>
      </c>
      <c r="E64" s="7" t="s">
        <v>119</v>
      </c>
      <c r="F64" s="15" t="s">
        <v>112</v>
      </c>
      <c r="I64" s="10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8" x14ac:dyDescent="0.2">
      <c r="A65" s="23">
        <f t="shared" si="0"/>
        <v>62</v>
      </c>
      <c r="B65" s="7" t="str">
        <f>'Forecast '!A50</f>
        <v>Other Deferred Credits</v>
      </c>
      <c r="C65" s="17"/>
      <c r="D65" s="43" t="e">
        <f>+'Financial Statements'!#REF!</f>
        <v>#REF!</v>
      </c>
      <c r="E65" s="7" t="s">
        <v>89</v>
      </c>
      <c r="F65" s="15" t="s">
        <v>112</v>
      </c>
    </row>
    <row r="66" spans="1:8" x14ac:dyDescent="0.2">
      <c r="A66" s="23">
        <f t="shared" si="0"/>
        <v>63</v>
      </c>
      <c r="B66" s="7" t="str">
        <f>'Forecast '!A51</f>
        <v>Additional Loans</v>
      </c>
      <c r="C66" s="17"/>
      <c r="D66" s="36">
        <v>7.0000000000000007E-2</v>
      </c>
      <c r="E66" s="7" t="s">
        <v>93</v>
      </c>
    </row>
    <row r="67" spans="1:8" x14ac:dyDescent="0.2">
      <c r="A67" s="23">
        <f t="shared" si="0"/>
        <v>64</v>
      </c>
      <c r="C67" s="17"/>
      <c r="D67" s="43"/>
      <c r="E67" s="11"/>
    </row>
    <row r="68" spans="1:8" x14ac:dyDescent="0.2">
      <c r="A68" s="23">
        <f t="shared" si="0"/>
        <v>65</v>
      </c>
      <c r="B68" s="7" t="str">
        <f>'Forecast '!A56</f>
        <v>Other Deferred Credit</v>
      </c>
      <c r="C68" s="17"/>
      <c r="D68" s="44">
        <v>0</v>
      </c>
      <c r="E68" s="7" t="s">
        <v>94</v>
      </c>
      <c r="F68" s="7" t="s">
        <v>86</v>
      </c>
    </row>
    <row r="69" spans="1:8" x14ac:dyDescent="0.2">
      <c r="A69" s="23">
        <f t="shared" si="0"/>
        <v>66</v>
      </c>
      <c r="C69" s="17"/>
      <c r="D69" s="43"/>
      <c r="E69" s="11"/>
    </row>
    <row r="70" spans="1:8" x14ac:dyDescent="0.2">
      <c r="A70" s="23">
        <f t="shared" si="0"/>
        <v>67</v>
      </c>
      <c r="B70" s="7" t="str">
        <f>'Forecast '!A60</f>
        <v>Patrons Capital</v>
      </c>
      <c r="C70" s="17"/>
      <c r="D70" s="44">
        <v>0</v>
      </c>
      <c r="E70" s="7" t="s">
        <v>114</v>
      </c>
      <c r="F70" s="15" t="s">
        <v>142</v>
      </c>
    </row>
    <row r="71" spans="1:8" x14ac:dyDescent="0.2">
      <c r="A71" s="23">
        <f>A70+1</f>
        <v>68</v>
      </c>
      <c r="B71" s="7" t="str">
        <f>'Forecast '!A61</f>
        <v>Retained Earnings</v>
      </c>
      <c r="C71" s="17"/>
      <c r="E71" s="11" t="s">
        <v>93</v>
      </c>
    </row>
    <row r="72" spans="1:8" x14ac:dyDescent="0.2">
      <c r="B72" s="7" t="s">
        <v>0</v>
      </c>
    </row>
    <row r="73" spans="1:8" x14ac:dyDescent="0.2">
      <c r="C73" s="17"/>
      <c r="E73" s="11"/>
    </row>
    <row r="74" spans="1:8" x14ac:dyDescent="0.2">
      <c r="C74" s="17"/>
      <c r="E74" s="11"/>
    </row>
    <row r="76" spans="1:8" x14ac:dyDescent="0.2">
      <c r="C76" s="7">
        <f>+'Financial Statements'!D24-'Financial Statements'!C24</f>
        <v>1179176</v>
      </c>
      <c r="D76" s="7">
        <f>+'Financial Statements'!E24-'Financial Statements'!D24</f>
        <v>824144</v>
      </c>
      <c r="E76" s="7">
        <f>+'Financial Statements'!F24-'Financial Statements'!E24</f>
        <v>1446910</v>
      </c>
      <c r="F76" s="7">
        <f>+'Financial Statements'!G24-'Financial Statements'!F24</f>
        <v>3233922</v>
      </c>
      <c r="H76" s="7" t="e">
        <f>+'Financial Statements'!#REF!-'Financial Statements'!I24</f>
        <v>#REF!</v>
      </c>
    </row>
    <row r="77" spans="1:8" x14ac:dyDescent="0.2">
      <c r="C77" s="7">
        <f>+'Forecast '!D24-'Forecast '!C24</f>
        <v>1617415.706977658</v>
      </c>
      <c r="D77" s="7">
        <f>+'Forecast '!E24-'Forecast '!D24</f>
        <v>1684408.820096612</v>
      </c>
      <c r="E77" s="7">
        <f>+'Forecast '!F24-'Forecast '!E24</f>
        <v>1754176.7777938694</v>
      </c>
      <c r="F77" s="7">
        <f>+'Forecast '!G24-'Forecast '!F24</f>
        <v>1826834.5137107521</v>
      </c>
    </row>
    <row r="78" spans="1:8" x14ac:dyDescent="0.2">
      <c r="D78" s="10"/>
      <c r="E78" s="10"/>
    </row>
    <row r="79" spans="1:8" x14ac:dyDescent="0.2">
      <c r="D79" s="10"/>
      <c r="E79" s="10"/>
    </row>
    <row r="80" spans="1:8" x14ac:dyDescent="0.2">
      <c r="D80" s="10"/>
      <c r="E80" s="10"/>
    </row>
    <row r="81" spans="3:5" x14ac:dyDescent="0.2">
      <c r="D81" s="10"/>
      <c r="E81" s="10"/>
    </row>
    <row r="82" spans="3:5" x14ac:dyDescent="0.2">
      <c r="D82" s="10"/>
      <c r="E82" s="10"/>
    </row>
    <row r="83" spans="3:5" x14ac:dyDescent="0.2">
      <c r="D83" s="10"/>
      <c r="E83" s="10"/>
    </row>
    <row r="84" spans="3:5" x14ac:dyDescent="0.2">
      <c r="D84" s="10"/>
      <c r="E84" s="10"/>
    </row>
    <row r="85" spans="3:5" x14ac:dyDescent="0.2">
      <c r="D85" s="10"/>
      <c r="E85" s="10"/>
    </row>
    <row r="86" spans="3:5" x14ac:dyDescent="0.2">
      <c r="D86" s="10"/>
      <c r="E86" s="10"/>
    </row>
    <row r="87" spans="3:5" x14ac:dyDescent="0.2">
      <c r="D87" s="10"/>
      <c r="E87" s="10"/>
    </row>
    <row r="88" spans="3:5" x14ac:dyDescent="0.2">
      <c r="D88" s="10"/>
      <c r="E88" s="10"/>
    </row>
    <row r="89" spans="3:5" x14ac:dyDescent="0.2">
      <c r="D89" s="10"/>
      <c r="E89" s="10"/>
    </row>
    <row r="90" spans="3:5" x14ac:dyDescent="0.2">
      <c r="D90" s="10"/>
      <c r="E90" s="10"/>
    </row>
    <row r="91" spans="3:5" x14ac:dyDescent="0.2">
      <c r="D91" s="10"/>
      <c r="E91" s="10"/>
    </row>
    <row r="92" spans="3:5" x14ac:dyDescent="0.2">
      <c r="D92" s="10"/>
      <c r="E92" s="10"/>
    </row>
    <row r="93" spans="3:5" x14ac:dyDescent="0.2">
      <c r="D93" s="10"/>
      <c r="E93" s="10"/>
    </row>
    <row r="94" spans="3:5" x14ac:dyDescent="0.2">
      <c r="D94" s="10"/>
      <c r="E94" s="10"/>
    </row>
    <row r="95" spans="3:5" x14ac:dyDescent="0.2">
      <c r="D95" s="10"/>
      <c r="E95" s="10"/>
    </row>
    <row r="96" spans="3:5" x14ac:dyDescent="0.2">
      <c r="C96" s="10"/>
      <c r="D96" s="10"/>
    </row>
    <row r="99" spans="2:4" x14ac:dyDescent="0.2">
      <c r="B99" s="10"/>
      <c r="C99" s="10"/>
      <c r="D99" s="10"/>
    </row>
    <row r="100" spans="2:4" x14ac:dyDescent="0.2">
      <c r="B100" s="10"/>
      <c r="C100" s="10"/>
      <c r="D100" s="10"/>
    </row>
    <row r="101" spans="2:4" x14ac:dyDescent="0.2">
      <c r="B101" s="10"/>
      <c r="C101" s="10"/>
      <c r="D101" s="10"/>
    </row>
    <row r="102" spans="2:4" x14ac:dyDescent="0.2">
      <c r="B102" s="10"/>
      <c r="C102" s="10"/>
      <c r="D102" s="10"/>
    </row>
    <row r="103" spans="2:4" x14ac:dyDescent="0.2">
      <c r="B103" s="10"/>
      <c r="C103" s="10"/>
      <c r="D103" s="10"/>
    </row>
    <row r="104" spans="2:4" x14ac:dyDescent="0.2">
      <c r="B104" s="10"/>
      <c r="C104" s="10"/>
      <c r="D104" s="10"/>
    </row>
    <row r="105" spans="2:4" x14ac:dyDescent="0.2">
      <c r="B105" s="10"/>
      <c r="C105" s="10"/>
      <c r="D105" s="10"/>
    </row>
    <row r="106" spans="2:4" x14ac:dyDescent="0.2">
      <c r="B106" s="10"/>
      <c r="C106" s="10"/>
      <c r="D106" s="10"/>
    </row>
    <row r="107" spans="2:4" x14ac:dyDescent="0.2">
      <c r="B107" s="10"/>
      <c r="C107" s="10"/>
      <c r="D107" s="10"/>
    </row>
    <row r="108" spans="2:4" x14ac:dyDescent="0.2">
      <c r="B108" s="10"/>
      <c r="C108" s="10"/>
      <c r="D108" s="10"/>
    </row>
    <row r="109" spans="2:4" x14ac:dyDescent="0.2">
      <c r="B109" s="10"/>
      <c r="C109" s="10"/>
      <c r="D109" s="10"/>
    </row>
    <row r="110" spans="2:4" x14ac:dyDescent="0.2">
      <c r="B110" s="10"/>
      <c r="C110" s="10"/>
      <c r="D110" s="10"/>
    </row>
    <row r="111" spans="2:4" x14ac:dyDescent="0.2">
      <c r="B111" s="10"/>
      <c r="C111" s="10"/>
      <c r="D111" s="10"/>
    </row>
    <row r="112" spans="2:4" x14ac:dyDescent="0.2">
      <c r="B112" s="10"/>
      <c r="C112" s="10"/>
      <c r="D112" s="10"/>
    </row>
    <row r="113" spans="2:4" x14ac:dyDescent="0.2">
      <c r="B113" s="10"/>
      <c r="C113" s="10"/>
      <c r="D113" s="10"/>
    </row>
    <row r="114" spans="2:4" x14ac:dyDescent="0.2">
      <c r="B114" s="10"/>
      <c r="C114" s="10"/>
      <c r="D114" s="10"/>
    </row>
    <row r="115" spans="2:4" x14ac:dyDescent="0.2">
      <c r="B115" s="10"/>
      <c r="C115" s="10"/>
      <c r="D115" s="10"/>
    </row>
    <row r="116" spans="2:4" x14ac:dyDescent="0.2">
      <c r="B116" s="10"/>
      <c r="C116" s="10"/>
      <c r="D116" s="10"/>
    </row>
    <row r="117" spans="2:4" x14ac:dyDescent="0.2">
      <c r="B117" s="10"/>
      <c r="C117" s="10"/>
      <c r="D117" s="10"/>
    </row>
    <row r="118" spans="2:4" x14ac:dyDescent="0.2">
      <c r="B118" s="10"/>
      <c r="C118" s="10"/>
      <c r="D118" s="10"/>
    </row>
    <row r="119" spans="2:4" x14ac:dyDescent="0.2">
      <c r="B119" s="10"/>
      <c r="C119" s="10"/>
      <c r="D119" s="10"/>
    </row>
    <row r="120" spans="2:4" x14ac:dyDescent="0.2">
      <c r="B120" s="10"/>
      <c r="C120" s="10"/>
      <c r="D120" s="10"/>
    </row>
    <row r="121" spans="2:4" x14ac:dyDescent="0.2">
      <c r="B121" s="10"/>
      <c r="C121" s="10"/>
      <c r="D121" s="10"/>
    </row>
    <row r="139" spans="6:6" x14ac:dyDescent="0.2">
      <c r="F139" s="11"/>
    </row>
    <row r="140" spans="6:6" x14ac:dyDescent="0.2">
      <c r="F140" s="11"/>
    </row>
    <row r="141" spans="6:6" x14ac:dyDescent="0.2">
      <c r="F141" s="11"/>
    </row>
    <row r="142" spans="6:6" x14ac:dyDescent="0.2">
      <c r="F142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</sheetData>
  <phoneticPr fontId="5" type="noConversion"/>
  <pageMargins left="0.46" right="0.28000000000000003" top="0.53" bottom="0.53" header="0.5" footer="0.5"/>
  <pageSetup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V311"/>
  <sheetViews>
    <sheetView showGridLines="0" tabSelected="1" topLeftCell="A225" zoomScaleNormal="100" workbookViewId="0">
      <selection activeCell="A4" sqref="A4"/>
    </sheetView>
  </sheetViews>
  <sheetFormatPr defaultColWidth="13.7109375" defaultRowHeight="12.75" x14ac:dyDescent="0.2"/>
  <cols>
    <col min="1" max="1" width="28.5703125" style="30" customWidth="1"/>
    <col min="2" max="8" width="11.7109375" customWidth="1"/>
    <col min="9" max="9" width="11.28515625" style="1" customWidth="1"/>
    <col min="10" max="16" width="13.7109375" customWidth="1"/>
    <col min="17" max="24" width="12.7109375" customWidth="1"/>
  </cols>
  <sheetData>
    <row r="1" spans="1:20" ht="15" x14ac:dyDescent="0.2">
      <c r="I1" s="105" t="s">
        <v>152</v>
      </c>
    </row>
    <row r="2" spans="1:20" s="7" customFormat="1" ht="15" x14ac:dyDescent="0.2">
      <c r="B2" s="7" t="s">
        <v>109</v>
      </c>
      <c r="I2" s="105" t="s">
        <v>238</v>
      </c>
    </row>
    <row r="3" spans="1:20" s="7" customFormat="1" ht="18" x14ac:dyDescent="0.25">
      <c r="A3" s="76" t="str">
        <f>Assumptions!$D$3</f>
        <v>Bridger Valley Electric Association, Inc.</v>
      </c>
      <c r="B3" s="32"/>
      <c r="C3" s="32"/>
      <c r="D3" s="32"/>
      <c r="E3" s="32"/>
      <c r="F3" s="39"/>
      <c r="G3" s="32"/>
      <c r="H3" s="32"/>
      <c r="I3" s="33"/>
    </row>
    <row r="4" spans="1:20" s="7" customFormat="1" ht="15.75" x14ac:dyDescent="0.25">
      <c r="A4" s="77" t="s">
        <v>57</v>
      </c>
      <c r="B4" s="32"/>
      <c r="C4" s="32"/>
      <c r="D4" s="32"/>
      <c r="E4" s="32"/>
      <c r="F4" s="32"/>
      <c r="G4" s="32"/>
      <c r="H4" s="32"/>
      <c r="I4" s="33"/>
    </row>
    <row r="5" spans="1:20" s="7" customFormat="1" x14ac:dyDescent="0.2">
      <c r="A5" s="107">
        <f ca="1">NOW()</f>
        <v>41851.309266435186</v>
      </c>
      <c r="B5" s="32"/>
      <c r="C5" s="32"/>
      <c r="D5" s="32"/>
      <c r="E5" s="32"/>
      <c r="F5" s="32"/>
      <c r="G5" s="32"/>
      <c r="H5" s="32"/>
      <c r="I5" s="33"/>
    </row>
    <row r="6" spans="1:20" s="7" customFormat="1" x14ac:dyDescent="0.2">
      <c r="A6" s="32"/>
      <c r="B6" s="32"/>
      <c r="C6" s="32"/>
      <c r="D6" s="32"/>
      <c r="E6" s="32"/>
      <c r="F6" s="32"/>
      <c r="G6" s="32"/>
      <c r="H6" s="32"/>
      <c r="I6" s="33"/>
    </row>
    <row r="7" spans="1:20" s="7" customFormat="1" x14ac:dyDescent="0.2">
      <c r="I7" s="10"/>
      <c r="K7" s="13">
        <f>L7-1</f>
        <v>2009</v>
      </c>
      <c r="L7" s="13">
        <f>M7-1</f>
        <v>2010</v>
      </c>
      <c r="M7" s="13">
        <f>N7-1</f>
        <v>2011</v>
      </c>
      <c r="N7" s="13">
        <f t="shared" ref="N7:O7" si="0">B9</f>
        <v>2012</v>
      </c>
      <c r="O7" s="13">
        <f t="shared" si="0"/>
        <v>2013</v>
      </c>
      <c r="P7" s="13">
        <f>D9</f>
        <v>2014</v>
      </c>
      <c r="Q7" s="13">
        <f t="shared" ref="Q7:T7" si="1">E9</f>
        <v>2015</v>
      </c>
      <c r="R7" s="13">
        <f t="shared" si="1"/>
        <v>2016</v>
      </c>
      <c r="S7" s="13">
        <f t="shared" si="1"/>
        <v>2017</v>
      </c>
      <c r="T7" s="13">
        <f t="shared" si="1"/>
        <v>2018</v>
      </c>
    </row>
    <row r="8" spans="1:20" s="7" customFormat="1" x14ac:dyDescent="0.2">
      <c r="A8" s="30"/>
      <c r="B8" s="68" t="s">
        <v>22</v>
      </c>
      <c r="C8" s="100" t="s">
        <v>22</v>
      </c>
      <c r="D8" s="56" t="s">
        <v>62</v>
      </c>
      <c r="E8" s="56" t="s">
        <v>62</v>
      </c>
      <c r="F8" s="56" t="s">
        <v>62</v>
      </c>
      <c r="G8" s="56" t="s">
        <v>62</v>
      </c>
      <c r="H8" s="56" t="s">
        <v>62</v>
      </c>
      <c r="I8" s="79" t="s">
        <v>6</v>
      </c>
    </row>
    <row r="9" spans="1:20" s="7" customFormat="1" x14ac:dyDescent="0.2">
      <c r="A9" s="80" t="s">
        <v>1</v>
      </c>
      <c r="B9" s="52">
        <f>'Financial Statements'!G9</f>
        <v>2012</v>
      </c>
      <c r="C9" s="101">
        <f t="shared" ref="C9:H9" si="2">B9+1</f>
        <v>2013</v>
      </c>
      <c r="D9" s="52">
        <f t="shared" si="2"/>
        <v>2014</v>
      </c>
      <c r="E9" s="52">
        <f t="shared" si="2"/>
        <v>2015</v>
      </c>
      <c r="F9" s="52">
        <f t="shared" si="2"/>
        <v>2016</v>
      </c>
      <c r="G9" s="52">
        <f t="shared" si="2"/>
        <v>2017</v>
      </c>
      <c r="H9" s="52">
        <f t="shared" si="2"/>
        <v>2018</v>
      </c>
      <c r="I9" s="87" t="s">
        <v>35</v>
      </c>
    </row>
    <row r="10" spans="1:20" s="7" customFormat="1" ht="7.5" customHeight="1" x14ac:dyDescent="0.2">
      <c r="A10" s="70"/>
      <c r="B10" s="81"/>
      <c r="C10" s="102"/>
      <c r="D10" s="81"/>
      <c r="E10" s="81"/>
      <c r="F10" s="81"/>
      <c r="G10" s="81"/>
      <c r="H10" s="81"/>
      <c r="I10" s="82"/>
      <c r="J10" s="34"/>
    </row>
    <row r="11" spans="1:20" s="7" customFormat="1" x14ac:dyDescent="0.2">
      <c r="A11" s="62" t="str">
        <f>'Financial Statements'!A11</f>
        <v>Current Assets:</v>
      </c>
      <c r="B11" s="70"/>
      <c r="C11" s="103"/>
      <c r="D11" s="30"/>
      <c r="E11" s="30"/>
      <c r="F11" s="30"/>
      <c r="G11" s="30"/>
      <c r="H11" s="30"/>
      <c r="I11" s="63"/>
    </row>
    <row r="12" spans="1:20" s="7" customFormat="1" x14ac:dyDescent="0.2">
      <c r="A12" s="30" t="str">
        <f>'Financial Statements'!A12</f>
        <v>Cash &amp; Equivalents</v>
      </c>
      <c r="B12" s="124">
        <f>'Financial Statements'!G12</f>
        <v>1403437</v>
      </c>
      <c r="C12" s="218">
        <f>'Financial Statements'!H12</f>
        <v>888897</v>
      </c>
      <c r="D12" s="98">
        <f>D80*Assumptions!$D$37</f>
        <v>521934.86612903525</v>
      </c>
      <c r="E12" s="98">
        <f>E80*Assumptions!$D$37</f>
        <v>539812.97125026863</v>
      </c>
      <c r="F12" s="98">
        <f>F80*Assumptions!$D$37</f>
        <v>558303.46435986622</v>
      </c>
      <c r="G12" s="98">
        <f>G80*Assumptions!$D$37</f>
        <v>577427.32190056331</v>
      </c>
      <c r="H12" s="98">
        <f>H80*Assumptions!$D$37</f>
        <v>597206.23883204558</v>
      </c>
      <c r="I12" s="63">
        <f>RATE(5,,-C12,H12)</f>
        <v>-7.6462405240592779E-2</v>
      </c>
    </row>
    <row r="13" spans="1:20" s="7" customFormat="1" x14ac:dyDescent="0.2">
      <c r="A13" s="30" t="s">
        <v>48</v>
      </c>
      <c r="B13" s="124">
        <v>0</v>
      </c>
      <c r="C13" s="218">
        <v>0</v>
      </c>
      <c r="D13" s="98">
        <f ca="1">M65</f>
        <v>1414570.6257458117</v>
      </c>
      <c r="E13" s="98">
        <f ca="1">N65</f>
        <v>1520124.1076862644</v>
      </c>
      <c r="F13" s="98">
        <f ca="1">O65</f>
        <v>1610981.4349382734</v>
      </c>
      <c r="G13" s="98">
        <f ca="1">P65</f>
        <v>1606434.8704620397</v>
      </c>
      <c r="H13" s="98">
        <f ca="1">Q65</f>
        <v>1513595.7629852644</v>
      </c>
      <c r="I13" s="63"/>
    </row>
    <row r="14" spans="1:20" s="7" customFormat="1" x14ac:dyDescent="0.2">
      <c r="A14" s="30" t="str">
        <f>'Financial Statements'!A13</f>
        <v>Accounts Receivable - Customers</v>
      </c>
      <c r="B14" s="124">
        <f>'Financial Statements'!G13</f>
        <v>1364129</v>
      </c>
      <c r="C14" s="218">
        <f>'Financial Statements'!H13</f>
        <v>1509793</v>
      </c>
      <c r="D14" s="98">
        <f>D80*Assumptions!$D$39</f>
        <v>1527865.4751969406</v>
      </c>
      <c r="E14" s="98">
        <f>E80*Assumptions!$D$39</f>
        <v>1580200.2421368465</v>
      </c>
      <c r="F14" s="98">
        <f>F80*Assumptions!$D$39</f>
        <v>1634327.658937043</v>
      </c>
      <c r="G14" s="98">
        <f>G80*Assumptions!$D$39</f>
        <v>1690309.1301610637</v>
      </c>
      <c r="H14" s="98">
        <f>H80*Assumptions!$D$39</f>
        <v>1748208.1636947405</v>
      </c>
      <c r="I14" s="63">
        <f>RATE(5,,-C14,H14)</f>
        <v>2.9757935267132624E-2</v>
      </c>
    </row>
    <row r="15" spans="1:20" s="7" customFormat="1" x14ac:dyDescent="0.2">
      <c r="A15" s="30" t="str">
        <f>'Financial Statements'!A14</f>
        <v>Accounts Receivable - Other</v>
      </c>
      <c r="B15" s="124">
        <f>'Financial Statements'!G14</f>
        <v>0</v>
      </c>
      <c r="C15" s="218">
        <f>'Financial Statements'!H14</f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63"/>
    </row>
    <row r="16" spans="1:20" s="7" customFormat="1" x14ac:dyDescent="0.2">
      <c r="A16" s="30" t="str">
        <f>'Financial Statements'!A15</f>
        <v>Material and Supplies</v>
      </c>
      <c r="B16" s="124">
        <f>'Financial Statements'!G15</f>
        <v>367195</v>
      </c>
      <c r="C16" s="218">
        <f>'Financial Statements'!H15</f>
        <v>453271</v>
      </c>
      <c r="D16" s="98">
        <f>C37*Assumptions!$D$40</f>
        <v>430109.91572938714</v>
      </c>
      <c r="E16" s="98">
        <f ca="1">D37*Assumptions!$D$40</f>
        <v>442361.44094698847</v>
      </c>
      <c r="F16" s="98">
        <f ca="1">E37*Assumptions!$D$40</f>
        <v>461292.62890281214</v>
      </c>
      <c r="G16" s="98">
        <f ca="1">F37*Assumptions!$D$40</f>
        <v>479900.77889970382</v>
      </c>
      <c r="H16" s="98">
        <f ca="1">G37*Assumptions!$D$40</f>
        <v>497931.6802148085</v>
      </c>
      <c r="I16" s="63">
        <f ca="1">RATE(5,,-C16,H16)</f>
        <v>1.8972268797539067E-2</v>
      </c>
    </row>
    <row r="17" spans="1:15" s="7" customFormat="1" x14ac:dyDescent="0.2">
      <c r="A17" s="30" t="str">
        <f>'Financial Statements'!A17</f>
        <v>Other Current Assets</v>
      </c>
      <c r="B17" s="99">
        <f>'Financial Statements'!G17</f>
        <v>52618</v>
      </c>
      <c r="C17" s="219">
        <f>'Financial Statements'!H17</f>
        <v>63692</v>
      </c>
      <c r="D17" s="220">
        <f>Assumptions!$D$41</f>
        <v>58155</v>
      </c>
      <c r="E17" s="220">
        <f>D17</f>
        <v>58155</v>
      </c>
      <c r="F17" s="220">
        <f>E17</f>
        <v>58155</v>
      </c>
      <c r="G17" s="220">
        <f>F17</f>
        <v>58155</v>
      </c>
      <c r="H17" s="220">
        <f>G17</f>
        <v>58155</v>
      </c>
      <c r="I17" s="67">
        <f>RATE(5,,-C17,H17)</f>
        <v>-1.8024992183892259E-2</v>
      </c>
    </row>
    <row r="18" spans="1:15" s="7" customFormat="1" x14ac:dyDescent="0.2">
      <c r="A18" s="30" t="str">
        <f>'Financial Statements'!A18</f>
        <v>Total Current Assets</v>
      </c>
      <c r="B18" s="124">
        <f>SUM(B11:B17)</f>
        <v>3187379</v>
      </c>
      <c r="C18" s="218">
        <f>SUM(C11:C17)</f>
        <v>2915653</v>
      </c>
      <c r="D18" s="98">
        <f ca="1">SUM(D12:D17)</f>
        <v>3952635.8828011747</v>
      </c>
      <c r="E18" s="98">
        <f ca="1">SUM(E12:E17)</f>
        <v>4140653.7620203677</v>
      </c>
      <c r="F18" s="98">
        <f ca="1">SUM(F12:F17)</f>
        <v>4323060.1871379949</v>
      </c>
      <c r="G18" s="98">
        <f ca="1">SUM(G12:G17)</f>
        <v>4412227.1014233707</v>
      </c>
      <c r="H18" s="98">
        <f ca="1">SUM(H12:H17)</f>
        <v>4415096.8457268588</v>
      </c>
      <c r="I18" s="63">
        <f ca="1">RATE(5,,-C18,H18)</f>
        <v>8.6527892425019889E-2</v>
      </c>
    </row>
    <row r="19" spans="1:15" s="7" customFormat="1" x14ac:dyDescent="0.2">
      <c r="A19" s="30"/>
      <c r="B19" s="70"/>
      <c r="C19" s="103"/>
      <c r="D19" s="30"/>
      <c r="E19" s="30"/>
      <c r="F19" s="30"/>
      <c r="G19" s="30"/>
      <c r="H19" s="30"/>
      <c r="I19" s="63"/>
    </row>
    <row r="20" spans="1:15" s="7" customFormat="1" x14ac:dyDescent="0.2">
      <c r="A20" s="62" t="str">
        <f>'Financial Statements'!A20</f>
        <v>Plant &amp; Equipment:</v>
      </c>
      <c r="B20" s="70"/>
      <c r="C20" s="103"/>
      <c r="D20" s="30"/>
      <c r="E20" s="30"/>
      <c r="F20" s="30"/>
      <c r="G20" s="30"/>
      <c r="H20" s="30"/>
      <c r="I20" s="63"/>
    </row>
    <row r="21" spans="1:15" s="7" customFormat="1" x14ac:dyDescent="0.2">
      <c r="A21" s="30" t="str">
        <f>'Financial Statements'!A21</f>
        <v>Plant in Service</v>
      </c>
      <c r="B21" s="179">
        <f>'Financial Statements'!G21</f>
        <v>36403911</v>
      </c>
      <c r="C21" s="221">
        <f>'Financial Statements'!H21</f>
        <v>37565552</v>
      </c>
      <c r="D21" s="98">
        <f>D24</f>
        <v>40666706.706977658</v>
      </c>
      <c r="E21" s="98">
        <f>E24</f>
        <v>42351115.52707427</v>
      </c>
      <c r="F21" s="98">
        <f>F24</f>
        <v>44105292.304868139</v>
      </c>
      <c r="G21" s="98">
        <f>G24</f>
        <v>45932126.818578891</v>
      </c>
      <c r="H21" s="98">
        <f>H24</f>
        <v>47834628.540601432</v>
      </c>
      <c r="I21" s="63">
        <f t="shared" ref="I21:I28" si="3">RATE(5,,-C21,H21)</f>
        <v>4.9519533902605856E-2</v>
      </c>
    </row>
    <row r="22" spans="1:15" s="7" customFormat="1" x14ac:dyDescent="0.2">
      <c r="A22" s="30" t="str">
        <f>'Financial Statements'!A22</f>
        <v>Construction Work in Progress</v>
      </c>
      <c r="B22" s="179">
        <f>'Financial Statements'!G22</f>
        <v>2157715</v>
      </c>
      <c r="C22" s="221">
        <f>'Financial Statements'!H22</f>
        <v>1483739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63"/>
    </row>
    <row r="23" spans="1:15" s="7" customFormat="1" x14ac:dyDescent="0.2">
      <c r="A23" s="30" t="str">
        <f>'Financial Statements'!A23</f>
        <v>Other PP&amp;E</v>
      </c>
      <c r="B23" s="134">
        <f>'Financial Statements'!G23</f>
        <v>0</v>
      </c>
      <c r="C23" s="222">
        <f>'Financial Statements'!H23</f>
        <v>0</v>
      </c>
      <c r="D23" s="220">
        <f>C23</f>
        <v>0</v>
      </c>
      <c r="E23" s="220">
        <f>D23</f>
        <v>0</v>
      </c>
      <c r="F23" s="220">
        <f>E23</f>
        <v>0</v>
      </c>
      <c r="G23" s="220">
        <f>F23</f>
        <v>0</v>
      </c>
      <c r="H23" s="220">
        <f>G23</f>
        <v>0</v>
      </c>
      <c r="I23" s="67"/>
    </row>
    <row r="24" spans="1:15" s="7" customFormat="1" x14ac:dyDescent="0.2">
      <c r="A24" s="30" t="str">
        <f>'Financial Statements'!A24</f>
        <v>Total Plant &amp; Equipment:</v>
      </c>
      <c r="B24" s="124">
        <f>SUM(B20:B23)</f>
        <v>38561626</v>
      </c>
      <c r="C24" s="218">
        <f>SUM(C20:C23)</f>
        <v>39049291</v>
      </c>
      <c r="D24" s="98">
        <f>C24*(1+Assumptions!$D$44)</f>
        <v>40666706.706977658</v>
      </c>
      <c r="E24" s="98">
        <f>D24*(1+Assumptions!$D$44)</f>
        <v>42351115.52707427</v>
      </c>
      <c r="F24" s="98">
        <f>E24*(1+Assumptions!$D$44)</f>
        <v>44105292.304868139</v>
      </c>
      <c r="G24" s="98">
        <f>F24*(1+Assumptions!$D$44)</f>
        <v>45932126.818578891</v>
      </c>
      <c r="H24" s="98">
        <f>G24*(1+Assumptions!$D$44)</f>
        <v>47834628.540601432</v>
      </c>
      <c r="I24" s="63">
        <f t="shared" si="3"/>
        <v>4.1419848236877214E-2</v>
      </c>
    </row>
    <row r="25" spans="1:15" s="7" customFormat="1" ht="7.5" customHeight="1" x14ac:dyDescent="0.2">
      <c r="A25" s="30"/>
      <c r="B25" s="124"/>
      <c r="C25" s="218"/>
      <c r="D25" s="98"/>
      <c r="E25" s="98"/>
      <c r="F25" s="98"/>
      <c r="G25" s="98"/>
      <c r="H25" s="98"/>
      <c r="I25" s="63"/>
    </row>
    <row r="26" spans="1:15" s="7" customFormat="1" x14ac:dyDescent="0.2">
      <c r="A26" s="30" t="str">
        <f>'Financial Statements'!A26</f>
        <v>Accumulated Depreciation &amp; Amort.</v>
      </c>
      <c r="B26" s="124">
        <f>'Financial Statements'!G26</f>
        <v>18420307</v>
      </c>
      <c r="C26" s="218">
        <f>'Financial Statements'!H26</f>
        <v>19194686</v>
      </c>
      <c r="D26" s="98">
        <f>D24*Assumptions!$D$50</f>
        <v>21218823.201253396</v>
      </c>
      <c r="E26" s="98">
        <f>E24*Assumptions!$D$50</f>
        <v>22097703.638014439</v>
      </c>
      <c r="F26" s="98">
        <f>F24*Assumptions!$D$50</f>
        <v>23012987.169084489</v>
      </c>
      <c r="G26" s="98">
        <f>G24*Assumptions!$D$50</f>
        <v>23966181.605105173</v>
      </c>
      <c r="H26" s="98">
        <f>H24*Assumptions!$D$50</f>
        <v>24958857.210006069</v>
      </c>
      <c r="I26" s="63">
        <f t="shared" si="3"/>
        <v>5.3922647061262444E-2</v>
      </c>
      <c r="K26" s="7">
        <f>D26-C26</f>
        <v>2024137.2012533955</v>
      </c>
      <c r="L26" s="7">
        <f>E26-D26</f>
        <v>878880.43676104397</v>
      </c>
      <c r="M26" s="7">
        <f>F26-E26</f>
        <v>915283.53107004985</v>
      </c>
      <c r="N26" s="7">
        <f>G26-F26</f>
        <v>953194.4360206835</v>
      </c>
      <c r="O26" s="7">
        <f>H26-G26</f>
        <v>992675.60490089655</v>
      </c>
    </row>
    <row r="27" spans="1:15" s="7" customFormat="1" ht="7.5" customHeight="1" x14ac:dyDescent="0.2">
      <c r="A27" s="30"/>
      <c r="B27" s="124"/>
      <c r="C27" s="218"/>
      <c r="D27" s="98"/>
      <c r="E27" s="98"/>
      <c r="F27" s="98"/>
      <c r="G27" s="98"/>
      <c r="H27" s="98"/>
      <c r="I27" s="63"/>
    </row>
    <row r="28" spans="1:15" s="7" customFormat="1" x14ac:dyDescent="0.2">
      <c r="A28" s="30" t="str">
        <f>'Financial Statements'!A28</f>
        <v>Net Plant &amp; Equipment</v>
      </c>
      <c r="B28" s="124">
        <f t="shared" ref="B28:H28" si="4">B24-B26</f>
        <v>20141319</v>
      </c>
      <c r="C28" s="218">
        <f t="shared" ref="C28" si="5">C24-C26</f>
        <v>19854605</v>
      </c>
      <c r="D28" s="98">
        <f t="shared" si="4"/>
        <v>19447883.505724262</v>
      </c>
      <c r="E28" s="98">
        <f t="shared" si="4"/>
        <v>20253411.88905983</v>
      </c>
      <c r="F28" s="98">
        <f t="shared" si="4"/>
        <v>21092305.13578365</v>
      </c>
      <c r="G28" s="98">
        <f t="shared" si="4"/>
        <v>21965945.213473719</v>
      </c>
      <c r="H28" s="98">
        <f t="shared" si="4"/>
        <v>22875771.330595363</v>
      </c>
      <c r="I28" s="63">
        <f t="shared" si="3"/>
        <v>2.8733539054707446E-2</v>
      </c>
    </row>
    <row r="29" spans="1:15" s="7" customFormat="1" ht="7.5" customHeight="1" x14ac:dyDescent="0.2">
      <c r="A29" s="30"/>
      <c r="B29" s="70"/>
      <c r="C29" s="103"/>
      <c r="D29" s="30"/>
      <c r="E29" s="30"/>
      <c r="F29" s="30"/>
      <c r="G29" s="30"/>
      <c r="H29" s="30"/>
      <c r="I29" s="63"/>
    </row>
    <row r="30" spans="1:15" s="7" customFormat="1" ht="12.75" customHeight="1" x14ac:dyDescent="0.2">
      <c r="A30" s="62" t="str">
        <f>'Financial Statements'!A30</f>
        <v>Other Assets:</v>
      </c>
      <c r="B30" s="70"/>
      <c r="C30" s="103"/>
      <c r="D30" s="30"/>
      <c r="E30" s="30"/>
      <c r="F30" s="30"/>
      <c r="G30" s="30"/>
      <c r="H30" s="30"/>
      <c r="I30" s="63"/>
    </row>
    <row r="31" spans="1:15" s="7" customFormat="1" x14ac:dyDescent="0.2">
      <c r="A31" s="30" t="str">
        <f>'Financial Statements'!A31</f>
        <v>Regulatory Assets</v>
      </c>
      <c r="B31" s="124">
        <f>'Financial Statements'!G31</f>
        <v>0</v>
      </c>
      <c r="C31" s="218">
        <f>'Financial Statements'!H31</f>
        <v>0</v>
      </c>
      <c r="D31" s="98">
        <f>C31*(1+Assumptions!$D$52)</f>
        <v>0</v>
      </c>
      <c r="E31" s="98">
        <f>D31*(1+Assumptions!$D$52)</f>
        <v>0</v>
      </c>
      <c r="F31" s="98">
        <f>E31*(1+Assumptions!$D$52)</f>
        <v>0</v>
      </c>
      <c r="G31" s="98">
        <f>F31*(1+Assumptions!$D$52)</f>
        <v>0</v>
      </c>
      <c r="H31" s="98">
        <f>G31*(1+Assumptions!$D$52)</f>
        <v>0</v>
      </c>
      <c r="I31" s="63"/>
    </row>
    <row r="32" spans="1:15" s="7" customFormat="1" x14ac:dyDescent="0.2">
      <c r="A32" s="30" t="str">
        <f>'Financial Statements'!A32</f>
        <v>Deferred Charges</v>
      </c>
      <c r="B32" s="179">
        <f>'Financial Statements'!G32</f>
        <v>11446</v>
      </c>
      <c r="C32" s="221">
        <f>'Financial Statements'!H32</f>
        <v>7859</v>
      </c>
      <c r="D32" s="188">
        <v>3587</v>
      </c>
      <c r="E32" s="188"/>
      <c r="F32" s="188"/>
      <c r="G32" s="188"/>
      <c r="H32" s="188"/>
      <c r="I32" s="204"/>
    </row>
    <row r="33" spans="1:9" s="7" customFormat="1" x14ac:dyDescent="0.2">
      <c r="A33" s="30" t="str">
        <f>'Financial Statements'!A34</f>
        <v>Non-utility Property</v>
      </c>
      <c r="B33" s="179">
        <f>'Financial Statements'!G34</f>
        <v>11797</v>
      </c>
      <c r="C33" s="221">
        <f>'Financial Statements'!H34</f>
        <v>11797</v>
      </c>
      <c r="D33" s="98">
        <f>C33</f>
        <v>11797</v>
      </c>
      <c r="E33" s="98">
        <f>D33</f>
        <v>11797</v>
      </c>
      <c r="F33" s="98">
        <f>E33</f>
        <v>11797</v>
      </c>
      <c r="G33" s="98">
        <f>F33</f>
        <v>11797</v>
      </c>
      <c r="H33" s="98">
        <f>G33</f>
        <v>11797</v>
      </c>
      <c r="I33" s="63"/>
    </row>
    <row r="34" spans="1:9" s="7" customFormat="1" x14ac:dyDescent="0.2">
      <c r="A34" s="30" t="str">
        <f>'Financial Statements'!A35</f>
        <v>Investment in associated organizations</v>
      </c>
      <c r="B34" s="99">
        <f>'Financial Statements'!G35</f>
        <v>749056</v>
      </c>
      <c r="C34" s="219">
        <f>'Financial Statements'!H35</f>
        <v>816469</v>
      </c>
      <c r="D34" s="220">
        <f>Assumptions!$D$54</f>
        <v>862898.88409835217</v>
      </c>
      <c r="E34" s="220">
        <f>D34*(1+'Financial Statements'!I35)</f>
        <v>911969.081714286</v>
      </c>
      <c r="F34" s="220">
        <f>E34*(1+'Financial Statements'!J35)</f>
        <v>911969.081714286</v>
      </c>
      <c r="G34" s="220">
        <f>F34*(1+'Financial Statements'!K35)</f>
        <v>938779.73574339238</v>
      </c>
      <c r="H34" s="220">
        <f>G34*(1+'Financial Statements'!L35)</f>
        <v>968602.63375968917</v>
      </c>
      <c r="I34" s="67">
        <f>RATE(5,,-C34,H34)</f>
        <v>3.4763709724296904E-2</v>
      </c>
    </row>
    <row r="35" spans="1:9" s="7" customFormat="1" x14ac:dyDescent="0.2">
      <c r="A35" s="30" t="str">
        <f>'Financial Statements'!A36</f>
        <v>Total Other Assets</v>
      </c>
      <c r="B35" s="136">
        <f>SUM(B31:B34)</f>
        <v>772299</v>
      </c>
      <c r="C35" s="223">
        <f t="shared" ref="C35" si="6">SUM(C31:C34)</f>
        <v>836125</v>
      </c>
      <c r="D35" s="220">
        <f>SUM(D31:D34)</f>
        <v>878282.88409835217</v>
      </c>
      <c r="E35" s="220">
        <f>SUM(E31:E34)</f>
        <v>923766.081714286</v>
      </c>
      <c r="F35" s="220">
        <f>SUM(F31:F34)</f>
        <v>923766.081714286</v>
      </c>
      <c r="G35" s="220">
        <f>SUM(G31:G34)</f>
        <v>950576.73574339238</v>
      </c>
      <c r="H35" s="220">
        <f>SUM(H31:H34)</f>
        <v>980399.63375968917</v>
      </c>
      <c r="I35" s="67">
        <f>RATE(5,,-C35,H35)</f>
        <v>3.2348631189342503E-2</v>
      </c>
    </row>
    <row r="36" spans="1:9" s="7" customFormat="1" x14ac:dyDescent="0.2">
      <c r="A36" s="30" t="str">
        <f>'Financial Statements'!A37</f>
        <v>Total Non-Current Assets</v>
      </c>
      <c r="B36" s="99">
        <f t="shared" ref="B36:H36" si="7">B28+B35</f>
        <v>20913618</v>
      </c>
      <c r="C36" s="219">
        <f t="shared" ref="C36" si="8">C28+C35</f>
        <v>20690730</v>
      </c>
      <c r="D36" s="220">
        <f t="shared" si="7"/>
        <v>20326166.389822613</v>
      </c>
      <c r="E36" s="220">
        <f t="shared" si="7"/>
        <v>21177177.970774118</v>
      </c>
      <c r="F36" s="220">
        <f t="shared" si="7"/>
        <v>22016071.217497937</v>
      </c>
      <c r="G36" s="220">
        <f t="shared" si="7"/>
        <v>22916521.949217111</v>
      </c>
      <c r="H36" s="220">
        <f t="shared" si="7"/>
        <v>23856170.964355052</v>
      </c>
      <c r="I36" s="67">
        <f>RATE(5,,-C36,H36)</f>
        <v>2.8880615425124559E-2</v>
      </c>
    </row>
    <row r="37" spans="1:9" s="7" customFormat="1" ht="13.5" thickBot="1" x14ac:dyDescent="0.25">
      <c r="A37" s="30" t="str">
        <f>'Financial Statements'!A38</f>
        <v>Total Assets</v>
      </c>
      <c r="B37" s="137">
        <f>B36+B18</f>
        <v>24100997</v>
      </c>
      <c r="C37" s="224">
        <f>C36+C18</f>
        <v>23606383</v>
      </c>
      <c r="D37" s="225">
        <f ca="1">D18+D36</f>
        <v>24278802.272623789</v>
      </c>
      <c r="E37" s="225">
        <f ca="1">E18+E36</f>
        <v>25317831.732794486</v>
      </c>
      <c r="F37" s="225">
        <f ca="1">F18+F36</f>
        <v>26339131.404635932</v>
      </c>
      <c r="G37" s="225">
        <f ca="1">G18+G36</f>
        <v>27328749.050640482</v>
      </c>
      <c r="H37" s="225">
        <f ca="1">H18+H36</f>
        <v>28271267.81008191</v>
      </c>
      <c r="I37" s="67">
        <f ca="1">RATE(5,,-C37,H37)</f>
        <v>3.6724034900151525E-2</v>
      </c>
    </row>
    <row r="38" spans="1:9" s="7" customFormat="1" ht="13.5" thickTop="1" x14ac:dyDescent="0.2">
      <c r="A38" s="30"/>
      <c r="B38" s="70"/>
      <c r="C38" s="70"/>
      <c r="D38" s="30"/>
      <c r="E38" s="30"/>
      <c r="F38" s="30"/>
      <c r="G38" s="30"/>
      <c r="H38" s="30"/>
      <c r="I38" s="104"/>
    </row>
    <row r="39" spans="1:9" s="7" customFormat="1" x14ac:dyDescent="0.2">
      <c r="A39" s="62" t="str">
        <f>'Financial Statements'!A40</f>
        <v>Current Liabilities:</v>
      </c>
      <c r="B39" s="70"/>
      <c r="C39" s="103"/>
      <c r="D39" s="30"/>
      <c r="E39" s="30"/>
      <c r="F39" s="30"/>
      <c r="G39" s="30"/>
      <c r="H39" s="30"/>
      <c r="I39" s="63"/>
    </row>
    <row r="40" spans="1:9" s="7" customFormat="1" x14ac:dyDescent="0.2">
      <c r="A40" s="30" t="str">
        <f>'Financial Statements'!A41</f>
        <v>Current Portion of LTD</v>
      </c>
      <c r="B40" s="124">
        <f>'Financial Statements'!G41</f>
        <v>518194</v>
      </c>
      <c r="C40" s="218">
        <f>'Financial Statements'!H41</f>
        <v>496413</v>
      </c>
      <c r="D40" s="98">
        <f>C48*Assumptions!$D$56</f>
        <v>379946.88416071312</v>
      </c>
      <c r="E40" s="98">
        <f>D48*Assumptions!$D$56</f>
        <v>355975.49534044281</v>
      </c>
      <c r="F40" s="98">
        <f>E48*Assumptions!$D$56</f>
        <v>333516.49550381134</v>
      </c>
      <c r="G40" s="98">
        <f>F48*Assumptions!$D$56</f>
        <v>312474.46588075999</v>
      </c>
      <c r="H40" s="98">
        <f>G48*Assumptions!$D$56</f>
        <v>292760.00780702138</v>
      </c>
      <c r="I40" s="63">
        <f t="shared" ref="I40:I63" si="9">RATE(5,,-C40,H40)</f>
        <v>-0.10022541741991838</v>
      </c>
    </row>
    <row r="41" spans="1:9" s="7" customFormat="1" x14ac:dyDescent="0.2">
      <c r="A41" s="30" t="str">
        <f>'Financial Statements'!A42</f>
        <v>Acounts Payable</v>
      </c>
      <c r="B41" s="124">
        <f>'Financial Statements'!G42</f>
        <v>1313581</v>
      </c>
      <c r="C41" s="218">
        <f>'Financial Statements'!H42</f>
        <v>1465031</v>
      </c>
      <c r="D41" s="98">
        <f>D80*Assumptions!$D$57</f>
        <v>1451695.8169337378</v>
      </c>
      <c r="E41" s="98">
        <f>E80*Assumptions!$D$57</f>
        <v>1501421.5051439977</v>
      </c>
      <c r="F41" s="98">
        <f>F80*Assumptions!$D$57</f>
        <v>1552850.4730903711</v>
      </c>
      <c r="G41" s="98">
        <f>G80*Assumptions!$D$57</f>
        <v>1606041.0640952711</v>
      </c>
      <c r="H41" s="98">
        <f>H80*Assumptions!$D$57</f>
        <v>1661053.619945131</v>
      </c>
      <c r="I41" s="63">
        <f t="shared" si="9"/>
        <v>2.5433183986847515E-2</v>
      </c>
    </row>
    <row r="42" spans="1:9" s="7" customFormat="1" x14ac:dyDescent="0.2">
      <c r="A42" s="30" t="str">
        <f>'Financial Statements'!A43</f>
        <v>Accrued Expenses</v>
      </c>
      <c r="B42" s="124">
        <f>'Financial Statements'!G43</f>
        <v>506420</v>
      </c>
      <c r="C42" s="218">
        <f>'Financial Statements'!H43</f>
        <v>507608</v>
      </c>
      <c r="D42" s="98">
        <f>C42*1.016</f>
        <v>515729.728</v>
      </c>
      <c r="E42" s="98">
        <f>D42*1.016</f>
        <v>523981.40364800004</v>
      </c>
      <c r="F42" s="98">
        <f t="shared" ref="F42:H42" si="10">E42*1.016</f>
        <v>532365.10610636801</v>
      </c>
      <c r="G42" s="98">
        <f t="shared" si="10"/>
        <v>540882.94780406996</v>
      </c>
      <c r="H42" s="98">
        <f t="shared" si="10"/>
        <v>549537.07496893511</v>
      </c>
      <c r="I42" s="63">
        <f t="shared" si="9"/>
        <v>1.5999999999999959E-2</v>
      </c>
    </row>
    <row r="43" spans="1:9" s="7" customFormat="1" x14ac:dyDescent="0.2">
      <c r="A43" s="30" t="str">
        <f>'Financial Statements'!A44</f>
        <v>Customer Deposits</v>
      </c>
      <c r="B43" s="124">
        <f>'Financial Statements'!G44</f>
        <v>0</v>
      </c>
      <c r="C43" s="218">
        <f>'Financial Statements'!H44</f>
        <v>0</v>
      </c>
      <c r="D43" s="98">
        <v>0</v>
      </c>
      <c r="E43" s="98">
        <f t="shared" ref="E43:H44" si="11">D43</f>
        <v>0</v>
      </c>
      <c r="F43" s="98">
        <f t="shared" si="11"/>
        <v>0</v>
      </c>
      <c r="G43" s="98">
        <f t="shared" si="11"/>
        <v>0</v>
      </c>
      <c r="H43" s="98">
        <f t="shared" si="11"/>
        <v>0</v>
      </c>
      <c r="I43" s="63"/>
    </row>
    <row r="44" spans="1:9" s="7" customFormat="1" x14ac:dyDescent="0.2">
      <c r="A44" s="30" t="str">
        <f>'Financial Statements'!A45</f>
        <v>Line of Credit</v>
      </c>
      <c r="B44" s="124">
        <f>'Financial Statements'!G45</f>
        <v>0</v>
      </c>
      <c r="C44" s="218">
        <f>'Financial Statements'!H45</f>
        <v>0</v>
      </c>
      <c r="D44" s="98">
        <f>C44</f>
        <v>0</v>
      </c>
      <c r="E44" s="98">
        <f t="shared" si="11"/>
        <v>0</v>
      </c>
      <c r="F44" s="98">
        <f t="shared" si="11"/>
        <v>0</v>
      </c>
      <c r="G44" s="98">
        <f t="shared" si="11"/>
        <v>0</v>
      </c>
      <c r="H44" s="98">
        <f t="shared" si="11"/>
        <v>0</v>
      </c>
      <c r="I44" s="63"/>
    </row>
    <row r="45" spans="1:9" s="7" customFormat="1" x14ac:dyDescent="0.2">
      <c r="A45" s="30" t="str">
        <f>'Financial Statements'!A46</f>
        <v>Other Current and Accrued Liabilities</v>
      </c>
      <c r="B45" s="99">
        <f>'Financial Statements'!G46</f>
        <v>0</v>
      </c>
      <c r="C45" s="219">
        <f>'Financial Statements'!H46</f>
        <v>0</v>
      </c>
      <c r="D45" s="220">
        <f ca="1">D37*Assumptions!$D$61</f>
        <v>0</v>
      </c>
      <c r="E45" s="220">
        <v>0</v>
      </c>
      <c r="F45" s="220">
        <v>0</v>
      </c>
      <c r="G45" s="220">
        <v>0</v>
      </c>
      <c r="H45" s="220">
        <v>0</v>
      </c>
      <c r="I45" s="67"/>
    </row>
    <row r="46" spans="1:9" s="7" customFormat="1" x14ac:dyDescent="0.2">
      <c r="A46" s="30" t="str">
        <f>'Financial Statements'!A47</f>
        <v>Total Current Liabilities</v>
      </c>
      <c r="B46" s="124">
        <f t="shared" ref="B46:H46" si="12">SUM(B39:B45)</f>
        <v>2338195</v>
      </c>
      <c r="C46" s="218">
        <f t="shared" ref="C46" si="13">SUM(C39:C45)</f>
        <v>2469052</v>
      </c>
      <c r="D46" s="98">
        <f t="shared" ca="1" si="12"/>
        <v>2347372.429094451</v>
      </c>
      <c r="E46" s="98">
        <f t="shared" si="12"/>
        <v>2381378.4041324407</v>
      </c>
      <c r="F46" s="98">
        <f t="shared" si="12"/>
        <v>2418732.0747005506</v>
      </c>
      <c r="G46" s="98">
        <f t="shared" si="12"/>
        <v>2459398.4777801009</v>
      </c>
      <c r="H46" s="98">
        <f t="shared" si="12"/>
        <v>2503350.7027210873</v>
      </c>
      <c r="I46" s="63">
        <f t="shared" si="9"/>
        <v>2.7629788673406391E-3</v>
      </c>
    </row>
    <row r="47" spans="1:9" s="7" customFormat="1" x14ac:dyDescent="0.2">
      <c r="A47" s="30"/>
      <c r="B47" s="124"/>
      <c r="C47" s="218"/>
      <c r="D47" s="98"/>
      <c r="E47" s="98"/>
      <c r="F47" s="98"/>
      <c r="G47" s="98"/>
      <c r="H47" s="98"/>
      <c r="I47" s="63"/>
    </row>
    <row r="48" spans="1:9" s="7" customFormat="1" x14ac:dyDescent="0.2">
      <c r="A48" s="30" t="str">
        <f>'Financial Statements'!A49</f>
        <v>Long-Term Debt</v>
      </c>
      <c r="B48" s="124">
        <f>'Financial Statements'!G49</f>
        <v>6513045</v>
      </c>
      <c r="C48" s="218">
        <f>'Financial Statements'!H49</f>
        <v>6022164</v>
      </c>
      <c r="D48" s="98">
        <f>C48*(1+Assumptions!$D$63)</f>
        <v>5642217.1158392867</v>
      </c>
      <c r="E48" s="98">
        <f>D48*(1+Assumptions!$D$63)</f>
        <v>5286241.6204988435</v>
      </c>
      <c r="F48" s="98">
        <f>E48*(1+Assumptions!$D$63)</f>
        <v>4952725.1249950323</v>
      </c>
      <c r="G48" s="98">
        <f>F48*(1+Assumptions!$D$63)</f>
        <v>4640250.6591142723</v>
      </c>
      <c r="H48" s="98">
        <f>G48*(1+Assumptions!$D$63)</f>
        <v>4347490.6513072513</v>
      </c>
      <c r="I48" s="63">
        <f t="shared" si="9"/>
        <v>-6.3091420984336039E-2</v>
      </c>
    </row>
    <row r="49" spans="1:20" s="7" customFormat="1" x14ac:dyDescent="0.2">
      <c r="A49" s="30" t="str">
        <f>'Financial Statements'!A50</f>
        <v>Deferred Income Taxes</v>
      </c>
      <c r="B49" s="124">
        <f>'Financial Statements'!G50</f>
        <v>0</v>
      </c>
      <c r="C49" s="218">
        <f>'Financial Statements'!H50</f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63"/>
    </row>
    <row r="50" spans="1:20" s="7" customFormat="1" x14ac:dyDescent="0.2">
      <c r="A50" s="30" t="str">
        <f>'Financial Statements'!A53</f>
        <v>Other Deferred Credits</v>
      </c>
      <c r="B50" s="124">
        <f>'Financial Statements'!G53</f>
        <v>1139609</v>
      </c>
      <c r="C50" s="218">
        <f>'Financial Statements'!H53</f>
        <v>0</v>
      </c>
      <c r="D50" s="98">
        <v>0</v>
      </c>
      <c r="E50" s="98">
        <f>D50</f>
        <v>0</v>
      </c>
      <c r="F50" s="98">
        <f>E50</f>
        <v>0</v>
      </c>
      <c r="G50" s="98">
        <f>F50</f>
        <v>0</v>
      </c>
      <c r="H50" s="98">
        <f>G50</f>
        <v>0</v>
      </c>
      <c r="I50" s="63"/>
    </row>
    <row r="51" spans="1:20" s="7" customFormat="1" x14ac:dyDescent="0.2">
      <c r="A51" s="125" t="s">
        <v>2</v>
      </c>
      <c r="B51" s="99">
        <v>0</v>
      </c>
      <c r="C51" s="219">
        <v>0</v>
      </c>
      <c r="D51" s="226">
        <f ca="1">M66</f>
        <v>0</v>
      </c>
      <c r="E51" s="226">
        <f ca="1">N66</f>
        <v>0</v>
      </c>
      <c r="F51" s="226">
        <f ca="1">O66</f>
        <v>0</v>
      </c>
      <c r="G51" s="226">
        <f ca="1">P66</f>
        <v>0</v>
      </c>
      <c r="H51" s="226">
        <f ca="1">Q66</f>
        <v>0</v>
      </c>
      <c r="I51" s="67"/>
      <c r="K51" s="7">
        <v>3037921.5037935162</v>
      </c>
      <c r="L51" s="7">
        <v>8370769.4766781786</v>
      </c>
      <c r="M51" s="7">
        <v>13081620.529493634</v>
      </c>
      <c r="N51" s="7">
        <v>20592463.36250205</v>
      </c>
      <c r="O51" s="7">
        <v>28031238.290550627</v>
      </c>
      <c r="P51" s="7">
        <v>30717985.695488729</v>
      </c>
      <c r="Q51" s="7">
        <v>30512541.736346092</v>
      </c>
      <c r="R51" s="7">
        <v>30331849.217543766</v>
      </c>
      <c r="S51" s="7">
        <v>30279810.223097302</v>
      </c>
      <c r="T51" s="7">
        <v>30250418.783671677</v>
      </c>
    </row>
    <row r="52" spans="1:20" s="7" customFormat="1" x14ac:dyDescent="0.2">
      <c r="A52" s="30" t="str">
        <f>'Financial Statements'!A54</f>
        <v>Total LTD &amp; Deferrals</v>
      </c>
      <c r="B52" s="124">
        <f t="shared" ref="B52:H52" si="14">SUM(B48:B51)</f>
        <v>7652654</v>
      </c>
      <c r="C52" s="218">
        <f t="shared" ref="C52" si="15">SUM(C48:C51)</f>
        <v>6022164</v>
      </c>
      <c r="D52" s="98">
        <f t="shared" ca="1" si="14"/>
        <v>5642217.1158392867</v>
      </c>
      <c r="E52" s="98">
        <f t="shared" ca="1" si="14"/>
        <v>5286241.6204988435</v>
      </c>
      <c r="F52" s="98">
        <f t="shared" ca="1" si="14"/>
        <v>4952725.1249950323</v>
      </c>
      <c r="G52" s="98">
        <f t="shared" ca="1" si="14"/>
        <v>4640250.6591142723</v>
      </c>
      <c r="H52" s="98">
        <f t="shared" ca="1" si="14"/>
        <v>4347490.6513072513</v>
      </c>
      <c r="I52" s="63">
        <f t="shared" ca="1" si="9"/>
        <v>-6.3091420984336039E-2</v>
      </c>
      <c r="K52" s="35">
        <f>K51/L51</f>
        <v>0.36292022044777089</v>
      </c>
      <c r="L52" s="35">
        <f t="shared" ref="L52:T52" si="16">L51/M51</f>
        <v>0.63988780730992478</v>
      </c>
      <c r="M52" s="35">
        <f t="shared" si="16"/>
        <v>0.63526253752208572</v>
      </c>
      <c r="N52" s="35">
        <f t="shared" si="16"/>
        <v>0.73462553273801678</v>
      </c>
      <c r="O52" s="35">
        <f t="shared" si="16"/>
        <v>0.91253503951814519</v>
      </c>
      <c r="P52" s="35">
        <f t="shared" si="16"/>
        <v>1.006733098832534</v>
      </c>
      <c r="Q52" s="35">
        <f t="shared" si="16"/>
        <v>1.0059571876909441</v>
      </c>
      <c r="R52" s="35">
        <f t="shared" si="16"/>
        <v>1.0017186037185519</v>
      </c>
      <c r="S52" s="35">
        <f t="shared" si="16"/>
        <v>1.0009716043812753</v>
      </c>
      <c r="T52" s="35" t="e">
        <f t="shared" si="16"/>
        <v>#DIV/0!</v>
      </c>
    </row>
    <row r="53" spans="1:20" s="7" customFormat="1" ht="7.5" customHeight="1" x14ac:dyDescent="0.2">
      <c r="A53" s="30"/>
      <c r="B53" s="124"/>
      <c r="C53" s="218"/>
      <c r="D53" s="98"/>
      <c r="E53" s="98"/>
      <c r="F53" s="98"/>
      <c r="G53" s="98"/>
      <c r="H53" s="98"/>
      <c r="I53" s="63"/>
    </row>
    <row r="54" spans="1:20" s="7" customFormat="1" x14ac:dyDescent="0.2">
      <c r="A54" s="30" t="str">
        <f>'Financial Statements'!A56</f>
        <v>Total Liabilities</v>
      </c>
      <c r="B54" s="124">
        <f>'Financial Statements'!G56</f>
        <v>9990849</v>
      </c>
      <c r="C54" s="218">
        <f>'Financial Statements'!H56</f>
        <v>8491216</v>
      </c>
      <c r="D54" s="98">
        <f ca="1">D46+D52</f>
        <v>7989589.5449337382</v>
      </c>
      <c r="E54" s="98">
        <f ca="1">E46+E52</f>
        <v>7667620.0246312842</v>
      </c>
      <c r="F54" s="98">
        <f ca="1">F46+F52</f>
        <v>7371457.1996955834</v>
      </c>
      <c r="G54" s="98">
        <f ca="1">G46+G52</f>
        <v>7099649.1368943732</v>
      </c>
      <c r="H54" s="98">
        <f ca="1">H46+H52</f>
        <v>6850841.3540283386</v>
      </c>
      <c r="I54" s="63">
        <f t="shared" ca="1" si="9"/>
        <v>-4.2023612914465366E-2</v>
      </c>
      <c r="K54" s="35">
        <f>1-K52</f>
        <v>0.63707977955222916</v>
      </c>
      <c r="L54" s="35">
        <f t="shared" ref="L54:S54" si="17">1-L52</f>
        <v>0.36011219269007522</v>
      </c>
      <c r="M54" s="35">
        <f t="shared" si="17"/>
        <v>0.36473746247791428</v>
      </c>
      <c r="N54" s="35">
        <f t="shared" si="17"/>
        <v>0.26537446726198322</v>
      </c>
      <c r="O54" s="35">
        <f t="shared" si="17"/>
        <v>8.7464960481854814E-2</v>
      </c>
      <c r="P54" s="35">
        <f t="shared" si="17"/>
        <v>-6.7330988325340346E-3</v>
      </c>
      <c r="Q54" s="35">
        <f t="shared" si="17"/>
        <v>-5.9571876909441102E-3</v>
      </c>
      <c r="R54" s="35">
        <f t="shared" si="17"/>
        <v>-1.7186037185519254E-3</v>
      </c>
      <c r="S54" s="35">
        <f t="shared" si="17"/>
        <v>-9.7160438127530391E-4</v>
      </c>
    </row>
    <row r="55" spans="1:20" s="7" customFormat="1" ht="7.5" customHeight="1" x14ac:dyDescent="0.2">
      <c r="A55" s="30"/>
      <c r="B55" s="124"/>
      <c r="C55" s="218"/>
      <c r="D55" s="98"/>
      <c r="E55" s="98"/>
      <c r="F55" s="98"/>
      <c r="G55" s="98"/>
      <c r="H55" s="98"/>
      <c r="I55" s="63"/>
    </row>
    <row r="56" spans="1:20" s="7" customFormat="1" x14ac:dyDescent="0.2">
      <c r="A56" s="30" t="str">
        <f>'Financial Statements'!A58</f>
        <v>Other Deferred Credit</v>
      </c>
      <c r="B56" s="124">
        <f>'Financial Statements'!F58</f>
        <v>0</v>
      </c>
      <c r="C56" s="218">
        <f>'Financial Statements'!G58</f>
        <v>0</v>
      </c>
      <c r="D56" s="98">
        <f>(C56+B56)/2</f>
        <v>0</v>
      </c>
      <c r="E56" s="98">
        <f>D56</f>
        <v>0</v>
      </c>
      <c r="F56" s="98">
        <f>E56</f>
        <v>0</v>
      </c>
      <c r="G56" s="98">
        <f>F56</f>
        <v>0</v>
      </c>
      <c r="H56" s="98">
        <f>G56</f>
        <v>0</v>
      </c>
      <c r="I56" s="63"/>
    </row>
    <row r="57" spans="1:20" s="7" customFormat="1" ht="7.5" customHeight="1" x14ac:dyDescent="0.2">
      <c r="A57" s="30"/>
      <c r="B57" s="124"/>
      <c r="C57" s="218"/>
      <c r="D57" s="98"/>
      <c r="E57" s="98"/>
      <c r="F57" s="98"/>
      <c r="G57" s="98"/>
      <c r="H57" s="98"/>
      <c r="I57" s="63"/>
    </row>
    <row r="58" spans="1:20" s="7" customFormat="1" x14ac:dyDescent="0.2">
      <c r="A58" s="62" t="str">
        <f>'Financial Statements'!A60</f>
        <v>Common Equity:</v>
      </c>
      <c r="B58" s="124"/>
      <c r="C58" s="218"/>
      <c r="D58" s="98"/>
      <c r="E58" s="98"/>
      <c r="F58" s="98"/>
      <c r="G58" s="98"/>
      <c r="H58" s="98"/>
      <c r="I58" s="63"/>
    </row>
    <row r="59" spans="1:20" s="7" customFormat="1" x14ac:dyDescent="0.2">
      <c r="A59" s="30" t="str">
        <f>'Financial Statements'!A61</f>
        <v>Other Equities</v>
      </c>
      <c r="B59" s="124">
        <f>'Financial Statements'!G61</f>
        <v>950402</v>
      </c>
      <c r="C59" s="218">
        <f>'Financial Statements'!H61</f>
        <v>1037972</v>
      </c>
      <c r="D59" s="188">
        <f>C59</f>
        <v>1037972</v>
      </c>
      <c r="E59" s="188">
        <f>D59</f>
        <v>1037972</v>
      </c>
      <c r="F59" s="188">
        <f>E59</f>
        <v>1037972</v>
      </c>
      <c r="G59" s="188">
        <f t="shared" ref="G59:H59" si="18">F59</f>
        <v>1037972</v>
      </c>
      <c r="H59" s="188">
        <f t="shared" si="18"/>
        <v>1037972</v>
      </c>
      <c r="I59" s="63"/>
    </row>
    <row r="60" spans="1:20" s="7" customFormat="1" x14ac:dyDescent="0.2">
      <c r="A60" s="30" t="str">
        <f>'Financial Statements'!A62</f>
        <v>Patrons Capital</v>
      </c>
      <c r="B60" s="124">
        <f>'Financial Statements'!G62</f>
        <v>13159746</v>
      </c>
      <c r="C60" s="218">
        <f>'Financial Statements'!H62</f>
        <v>14077195</v>
      </c>
      <c r="D60" s="188">
        <f>C60+C108</f>
        <v>14468351</v>
      </c>
      <c r="E60" s="98">
        <f>D60+Assumptions!$D$70</f>
        <v>14468351</v>
      </c>
      <c r="F60" s="98">
        <f>E60+Assumptions!$D$70</f>
        <v>14468351</v>
      </c>
      <c r="G60" s="98">
        <f>F60+Assumptions!$D$70</f>
        <v>14468351</v>
      </c>
      <c r="H60" s="98">
        <f>G60+Assumptions!$D$70</f>
        <v>14468351</v>
      </c>
      <c r="I60" s="63">
        <f t="shared" si="9"/>
        <v>5.4965432872516257E-3</v>
      </c>
      <c r="K60" s="7">
        <f>C59-B59</f>
        <v>87570</v>
      </c>
    </row>
    <row r="61" spans="1:20" s="7" customFormat="1" x14ac:dyDescent="0.2">
      <c r="A61" s="30" t="str">
        <f>'Financial Statements'!A63</f>
        <v>Retained Earnings</v>
      </c>
      <c r="B61" s="99">
        <f>'Financial Statements'!G63</f>
        <v>0</v>
      </c>
      <c r="C61" s="219">
        <f>'Financial Statements'!H63</f>
        <v>0</v>
      </c>
      <c r="D61" s="220">
        <f ca="1">C61+(IF(D105&gt;D107,(D105-D107-D108),D105))</f>
        <v>782889.73043787223</v>
      </c>
      <c r="E61" s="220">
        <f ca="1">D61+(IF(E105&gt;E107,(E105-E107+E108),E105))</f>
        <v>2143888.7119296282</v>
      </c>
      <c r="F61" s="220">
        <f ca="1">E61+(IF(F105&gt;F107,(F105-F107+F108),F105))</f>
        <v>3461351.2105516065</v>
      </c>
      <c r="G61" s="220">
        <f ca="1">F61+(IF(G105&gt;G107,(G105-G107+G108),G105))</f>
        <v>4722776.9214394465</v>
      </c>
      <c r="H61" s="220">
        <f ca="1">G61+(IF(H105&gt;H107,(H105-H107+H108),H105))</f>
        <v>5914103.4661510214</v>
      </c>
      <c r="I61" s="67"/>
    </row>
    <row r="62" spans="1:20" s="7" customFormat="1" x14ac:dyDescent="0.2">
      <c r="A62" s="30" t="str">
        <f>'Financial Statements'!A64</f>
        <v>Total Patronage Equity</v>
      </c>
      <c r="B62" s="136">
        <f>SUM(B58:B61)</f>
        <v>14110148</v>
      </c>
      <c r="C62" s="223">
        <f>SUM(C58:C61)</f>
        <v>15115167</v>
      </c>
      <c r="D62" s="220">
        <f ca="1">SUM(D59:D61)</f>
        <v>16289212.730437873</v>
      </c>
      <c r="E62" s="220">
        <f t="shared" ref="E62:H62" ca="1" si="19">SUM(E59:E61)</f>
        <v>17650211.711929627</v>
      </c>
      <c r="F62" s="220">
        <f t="shared" ca="1" si="19"/>
        <v>18967674.210551605</v>
      </c>
      <c r="G62" s="220">
        <f t="shared" ca="1" si="19"/>
        <v>20229099.921439447</v>
      </c>
      <c r="H62" s="220">
        <f t="shared" ca="1" si="19"/>
        <v>21420426.466151021</v>
      </c>
      <c r="I62" s="71">
        <f t="shared" ca="1" si="9"/>
        <v>7.2217849208845108E-2</v>
      </c>
    </row>
    <row r="63" spans="1:20" s="7" customFormat="1" ht="13.5" thickBot="1" x14ac:dyDescent="0.25">
      <c r="A63" s="30" t="str">
        <f>'Financial Statements'!A65</f>
        <v>Total Liabilities &amp; Equity</v>
      </c>
      <c r="B63" s="227">
        <f t="shared" ref="B63:H63" si="20">B54+B56+B62</f>
        <v>24100997</v>
      </c>
      <c r="C63" s="228">
        <f t="shared" ref="C63" si="21">C54+C56+C62</f>
        <v>23606383</v>
      </c>
      <c r="D63" s="225">
        <f t="shared" ca="1" si="20"/>
        <v>24278802.275371611</v>
      </c>
      <c r="E63" s="225">
        <f t="shared" ca="1" si="20"/>
        <v>25317831.736560911</v>
      </c>
      <c r="F63" s="225">
        <f t="shared" ca="1" si="20"/>
        <v>26339131.410247188</v>
      </c>
      <c r="G63" s="225">
        <f t="shared" ca="1" si="20"/>
        <v>27328749.058333822</v>
      </c>
      <c r="H63" s="225">
        <f t="shared" ca="1" si="20"/>
        <v>28271267.820179358</v>
      </c>
      <c r="I63" s="63">
        <f t="shared" ca="1" si="9"/>
        <v>3.6724034974207502E-2</v>
      </c>
    </row>
    <row r="64" spans="1:20" s="7" customFormat="1" ht="13.5" thickTop="1" x14ac:dyDescent="0.2">
      <c r="A64" s="30"/>
      <c r="B64" s="70"/>
      <c r="C64" s="30"/>
      <c r="D64" s="30"/>
      <c r="E64" s="30"/>
      <c r="F64" s="30"/>
      <c r="G64" s="30"/>
      <c r="H64" s="30"/>
      <c r="I64" s="104"/>
    </row>
    <row r="65" spans="1:22" s="7" customFormat="1" x14ac:dyDescent="0.2">
      <c r="A65" s="68"/>
      <c r="B65" s="30"/>
      <c r="C65" s="30"/>
      <c r="D65" s="30"/>
      <c r="E65" s="30"/>
      <c r="F65" s="30"/>
      <c r="G65" s="30"/>
      <c r="H65" s="30"/>
      <c r="I65" s="30"/>
      <c r="L65" s="7">
        <f t="shared" ref="L65:Q65" si="22">IF(C37&lt;C63,(((C63-C37)*0.05)+C13),0)</f>
        <v>0</v>
      </c>
      <c r="M65" s="7">
        <f ca="1">IF(D37&lt;D63,(((D63-D37)*0.05)+D13),0)</f>
        <v>1414570.6258832028</v>
      </c>
      <c r="N65" s="7">
        <f t="shared" ca="1" si="22"/>
        <v>1520124.1078745858</v>
      </c>
      <c r="O65" s="7">
        <f t="shared" ca="1" si="22"/>
        <v>1610981.4352188362</v>
      </c>
      <c r="P65" s="7">
        <f t="shared" ca="1" si="22"/>
        <v>1606434.8708467067</v>
      </c>
      <c r="Q65" s="7">
        <f t="shared" ca="1" si="22"/>
        <v>1513595.7634901367</v>
      </c>
      <c r="R65" s="7" t="e">
        <f>IF(#REF!&lt;#REF!,(((#REF!-#REF!)*0.05)+#REF!),0)</f>
        <v>#REF!</v>
      </c>
      <c r="S65" s="7" t="e">
        <f>IF(#REF!&lt;#REF!,(((#REF!-#REF!)*0.05)+#REF!),0)</f>
        <v>#REF!</v>
      </c>
      <c r="T65" s="7" t="e">
        <f>IF(#REF!&lt;#REF!,(((#REF!-#REF!)*0.05)+#REF!),0)</f>
        <v>#REF!</v>
      </c>
      <c r="U65" s="7" t="e">
        <f>IF(#REF!&lt;#REF!,(((#REF!-#REF!)*0.05)+#REF!),0)</f>
        <v>#REF!</v>
      </c>
      <c r="V65" s="10"/>
    </row>
    <row r="66" spans="1:22" s="7" customFormat="1" x14ac:dyDescent="0.2">
      <c r="A66" s="68"/>
      <c r="B66" s="30"/>
      <c r="C66" s="30"/>
      <c r="D66" s="30"/>
      <c r="E66" s="30"/>
      <c r="F66" s="30"/>
      <c r="G66" s="30"/>
      <c r="H66" s="30"/>
      <c r="I66" s="30"/>
      <c r="L66" s="7">
        <f t="shared" ref="L66:Q66" si="23">IF(C37&gt;C63,(((C37-C63)*0.05)+C51),0)</f>
        <v>0</v>
      </c>
      <c r="M66" s="7">
        <f t="shared" ca="1" si="23"/>
        <v>0</v>
      </c>
      <c r="N66" s="7">
        <f t="shared" ca="1" si="23"/>
        <v>0</v>
      </c>
      <c r="O66" s="7">
        <f t="shared" ca="1" si="23"/>
        <v>0</v>
      </c>
      <c r="P66" s="7">
        <f t="shared" ca="1" si="23"/>
        <v>0</v>
      </c>
      <c r="Q66" s="7">
        <f t="shared" ca="1" si="23"/>
        <v>0</v>
      </c>
      <c r="R66" s="7" t="e">
        <f>IF(#REF!&gt;#REF!,(((#REF!-#REF!)*0.05)+#REF!),0)</f>
        <v>#REF!</v>
      </c>
      <c r="S66" s="7" t="e">
        <f>IF(#REF!&gt;#REF!,(((#REF!-#REF!)*0.05)+#REF!),0)</f>
        <v>#REF!</v>
      </c>
      <c r="T66" s="7" t="e">
        <f>IF(#REF!&gt;#REF!,(((#REF!-#REF!)*0.05)+#REF!),0)</f>
        <v>#REF!</v>
      </c>
      <c r="U66" s="7" t="e">
        <f>IF(#REF!&gt;#REF!,(((#REF!-#REF!)*0.05)+#REF!),0)</f>
        <v>#REF!</v>
      </c>
      <c r="V66" s="10"/>
    </row>
    <row r="67" spans="1:22" s="7" customFormat="1" x14ac:dyDescent="0.2">
      <c r="A67" s="30"/>
      <c r="B67" s="30"/>
      <c r="C67" s="30"/>
      <c r="D67" s="30"/>
      <c r="E67" s="30"/>
      <c r="F67" s="30"/>
      <c r="G67" s="30"/>
      <c r="H67" s="30"/>
      <c r="I67" s="63"/>
    </row>
    <row r="68" spans="1:22" s="7" customFormat="1" ht="15" x14ac:dyDescent="0.2">
      <c r="A68" s="30"/>
      <c r="B68" s="70"/>
      <c r="C68" s="30"/>
      <c r="D68" s="30"/>
      <c r="E68" s="30"/>
      <c r="F68" s="30"/>
      <c r="G68" s="30"/>
      <c r="H68" s="30"/>
      <c r="I68" s="105" t="str">
        <f>I1</f>
        <v>Exhibit 2</v>
      </c>
    </row>
    <row r="69" spans="1:22" s="7" customFormat="1" ht="15" x14ac:dyDescent="0.2">
      <c r="A69" s="30"/>
      <c r="B69" s="70"/>
      <c r="C69" s="30"/>
      <c r="D69" s="30"/>
      <c r="E69" s="30"/>
      <c r="F69" s="30"/>
      <c r="G69" s="30"/>
      <c r="H69" s="30"/>
      <c r="I69" s="105" t="s">
        <v>239</v>
      </c>
    </row>
    <row r="70" spans="1:22" s="7" customFormat="1" ht="18" x14ac:dyDescent="0.25">
      <c r="A70" s="76" t="str">
        <f>A3</f>
        <v>Bridger Valley Electric Association, Inc.</v>
      </c>
      <c r="B70" s="106"/>
      <c r="C70" s="53"/>
      <c r="D70" s="53"/>
      <c r="E70" s="53"/>
      <c r="F70" s="53"/>
      <c r="G70" s="53"/>
      <c r="H70" s="53"/>
      <c r="I70" s="54"/>
    </row>
    <row r="71" spans="1:22" s="7" customFormat="1" ht="15.75" x14ac:dyDescent="0.25">
      <c r="A71" s="77" t="s">
        <v>59</v>
      </c>
      <c r="B71" s="106"/>
      <c r="C71" s="53"/>
      <c r="D71" s="53"/>
      <c r="E71" s="53"/>
      <c r="F71" s="53"/>
      <c r="G71" s="53"/>
      <c r="H71" s="53"/>
      <c r="I71" s="54"/>
    </row>
    <row r="72" spans="1:22" s="7" customFormat="1" x14ac:dyDescent="0.2">
      <c r="A72" s="107">
        <f ca="1">A5</f>
        <v>41851.309266435186</v>
      </c>
      <c r="B72" s="106"/>
      <c r="C72" s="53"/>
      <c r="D72" s="53"/>
      <c r="E72" s="53"/>
      <c r="F72" s="53"/>
      <c r="G72" s="53"/>
      <c r="H72" s="53"/>
      <c r="I72" s="54"/>
    </row>
    <row r="73" spans="1:22" s="7" customFormat="1" x14ac:dyDescent="0.2">
      <c r="A73" s="108"/>
      <c r="B73" s="70"/>
      <c r="C73" s="30"/>
      <c r="D73" s="30"/>
      <c r="E73" s="30"/>
      <c r="F73" s="30"/>
      <c r="G73" s="30"/>
      <c r="H73" s="30"/>
      <c r="I73" s="63"/>
    </row>
    <row r="74" spans="1:22" s="7" customFormat="1" x14ac:dyDescent="0.2">
      <c r="A74" s="30"/>
      <c r="B74" s="70"/>
      <c r="C74" s="30"/>
      <c r="D74" s="30"/>
      <c r="E74" s="30"/>
      <c r="F74" s="30"/>
      <c r="G74" s="30"/>
      <c r="H74" s="30"/>
      <c r="I74" s="63"/>
    </row>
    <row r="75" spans="1:22" s="7" customFormat="1" x14ac:dyDescent="0.2">
      <c r="A75" s="30"/>
      <c r="B75" s="68" t="s">
        <v>22</v>
      </c>
      <c r="C75" s="100" t="s">
        <v>22</v>
      </c>
      <c r="D75" s="56" t="s">
        <v>62</v>
      </c>
      <c r="E75" s="56" t="s">
        <v>62</v>
      </c>
      <c r="F75" s="56" t="s">
        <v>62</v>
      </c>
      <c r="G75" s="56" t="s">
        <v>62</v>
      </c>
      <c r="H75" s="56" t="s">
        <v>62</v>
      </c>
      <c r="I75" s="79" t="s">
        <v>6</v>
      </c>
    </row>
    <row r="76" spans="1:22" s="7" customFormat="1" x14ac:dyDescent="0.2">
      <c r="A76" s="80" t="s">
        <v>1</v>
      </c>
      <c r="B76" s="52">
        <f t="shared" ref="B76:H76" si="24">B9</f>
        <v>2012</v>
      </c>
      <c r="C76" s="101">
        <f t="shared" si="24"/>
        <v>2013</v>
      </c>
      <c r="D76" s="52">
        <f t="shared" si="24"/>
        <v>2014</v>
      </c>
      <c r="E76" s="52">
        <f t="shared" si="24"/>
        <v>2015</v>
      </c>
      <c r="F76" s="52">
        <f t="shared" si="24"/>
        <v>2016</v>
      </c>
      <c r="G76" s="52">
        <f t="shared" si="24"/>
        <v>2017</v>
      </c>
      <c r="H76" s="52">
        <f t="shared" si="24"/>
        <v>2018</v>
      </c>
      <c r="I76" s="87" t="s">
        <v>35</v>
      </c>
    </row>
    <row r="77" spans="1:22" s="7" customFormat="1" x14ac:dyDescent="0.2">
      <c r="A77" s="30"/>
      <c r="B77" s="70"/>
      <c r="C77" s="103"/>
      <c r="D77" s="30"/>
      <c r="E77" s="30"/>
      <c r="F77" s="30"/>
      <c r="G77" s="30"/>
      <c r="H77" s="30"/>
      <c r="I77" s="63"/>
    </row>
    <row r="78" spans="1:22" s="7" customFormat="1" x14ac:dyDescent="0.2">
      <c r="A78" s="30" t="str">
        <f>'Financial Statements'!A77</f>
        <v>Operating Revenues</v>
      </c>
      <c r="B78" s="124">
        <f>'Financial Statements'!G77</f>
        <v>11344663</v>
      </c>
      <c r="C78" s="218">
        <f>'Financial Statements'!H77</f>
        <v>12304949</v>
      </c>
      <c r="D78" s="98">
        <f>C78*(1+Assumptions!$D$12)-200000</f>
        <v>12526436.787096847</v>
      </c>
      <c r="E78" s="98">
        <f>D78*(1+Assumptions!$D$12)</f>
        <v>12955511.310006449</v>
      </c>
      <c r="F78" s="98">
        <f>E78*(1+Assumptions!$D$12)</f>
        <v>13399283.144636789</v>
      </c>
      <c r="G78" s="98">
        <f>F78*(1+Assumptions!$D$12)</f>
        <v>13858255.72561352</v>
      </c>
      <c r="H78" s="98">
        <f>G78*(1+Assumptions!$D$12)</f>
        <v>14332949.731969096</v>
      </c>
      <c r="I78" s="63">
        <f>RATE(5,,-C78,H78)</f>
        <v>3.0982163736656743E-2</v>
      </c>
    </row>
    <row r="79" spans="1:22" s="7" customFormat="1" x14ac:dyDescent="0.2">
      <c r="A79" s="30" t="s">
        <v>213</v>
      </c>
      <c r="B79" s="99">
        <f>'Financial Statements'!F78</f>
        <v>0</v>
      </c>
      <c r="C79" s="219">
        <f>'Financial Statements'!G78</f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/>
    </row>
    <row r="80" spans="1:22" s="7" customFormat="1" x14ac:dyDescent="0.2">
      <c r="A80" s="30" t="str">
        <f>'Financial Statements'!A79</f>
        <v>Total Revenues</v>
      </c>
      <c r="B80" s="124">
        <f t="shared" ref="B80:H80" si="25">SUM(B77:B79)</f>
        <v>11344663</v>
      </c>
      <c r="C80" s="218">
        <f t="shared" ref="C80" si="26">SUM(C77:C79)</f>
        <v>12304949</v>
      </c>
      <c r="D80" s="135">
        <f t="shared" si="25"/>
        <v>12526436.787096847</v>
      </c>
      <c r="E80" s="135">
        <f t="shared" si="25"/>
        <v>12955511.310006449</v>
      </c>
      <c r="F80" s="135">
        <f t="shared" si="25"/>
        <v>13399283.144636789</v>
      </c>
      <c r="G80" s="135">
        <f t="shared" si="25"/>
        <v>13858255.72561352</v>
      </c>
      <c r="H80" s="135">
        <f t="shared" si="25"/>
        <v>14332949.731969096</v>
      </c>
      <c r="I80" s="63">
        <f>RATE(5,,-C80,H80)</f>
        <v>3.0982163736656743E-2</v>
      </c>
    </row>
    <row r="81" spans="1:19" s="7" customFormat="1" x14ac:dyDescent="0.2">
      <c r="A81" s="30"/>
      <c r="B81" s="124"/>
      <c r="C81" s="218"/>
      <c r="D81" s="124"/>
      <c r="E81" s="124"/>
      <c r="F81" s="124"/>
      <c r="G81" s="124"/>
      <c r="H81" s="124"/>
      <c r="I81" s="63"/>
    </row>
    <row r="82" spans="1:19" s="7" customFormat="1" x14ac:dyDescent="0.2">
      <c r="A82" s="30" t="s">
        <v>32</v>
      </c>
      <c r="B82" s="124"/>
      <c r="C82" s="218"/>
      <c r="D82" s="98"/>
      <c r="E82" s="98"/>
      <c r="F82" s="98"/>
      <c r="G82" s="98"/>
      <c r="H82" s="98"/>
      <c r="I82" s="63"/>
    </row>
    <row r="83" spans="1:19" s="7" customFormat="1" x14ac:dyDescent="0.2">
      <c r="A83" s="90" t="str">
        <f>'Financial Statements'!A82</f>
        <v>Cost of Purchased Power</v>
      </c>
      <c r="B83" s="124">
        <f>'Financial Statements'!G82</f>
        <v>5388895</v>
      </c>
      <c r="C83" s="218">
        <f>'Financial Statements'!H82</f>
        <v>6027011</v>
      </c>
      <c r="D83" s="98">
        <f>C83*(1+Assumptions!$D$16)</f>
        <v>6284915.3088893509</v>
      </c>
      <c r="E83" s="98">
        <f>D83*(1+Assumptions!$D$16)</f>
        <v>6553855.7072339375</v>
      </c>
      <c r="F83" s="98">
        <f>E83*(1+Assumptions!$D$16)</f>
        <v>6834304.4448809559</v>
      </c>
      <c r="G83" s="98">
        <f>F83*(1+Assumptions!$D$16)</f>
        <v>7126753.9799152277</v>
      </c>
      <c r="H83" s="98">
        <f>G83*(1+Assumptions!$D$16)</f>
        <v>7431717.8433982152</v>
      </c>
      <c r="I83" s="63">
        <f>RATE(5,,-C83,H83)</f>
        <v>4.2791411678085658E-2</v>
      </c>
    </row>
    <row r="84" spans="1:19" s="7" customFormat="1" x14ac:dyDescent="0.2">
      <c r="A84" s="90" t="str">
        <f>'Financial Statements'!A83</f>
        <v>Administrative and General Expenses</v>
      </c>
      <c r="B84" s="179">
        <f>'Financial Statements'!G83</f>
        <v>1551918</v>
      </c>
      <c r="C84" s="221">
        <f>'Financial Statements'!H83</f>
        <v>1461950</v>
      </c>
      <c r="D84" s="98">
        <f>C84*(1+Assumptions!$D$17)</f>
        <v>1543242.9342473417</v>
      </c>
      <c r="E84" s="98">
        <f>D84*(1+Assumptions!$D$17)</f>
        <v>1629056.2290805741</v>
      </c>
      <c r="F84" s="98">
        <f>E84*(1+Assumptions!$D$17)</f>
        <v>1719641.2428743904</v>
      </c>
      <c r="G84" s="98">
        <f>F84*(1+Assumptions!$D$17)</f>
        <v>1815263.3109930025</v>
      </c>
      <c r="H84" s="98">
        <f>G84*(1+Assumptions!$D$17)</f>
        <v>1916202.5229921585</v>
      </c>
      <c r="I84" s="63">
        <f>RATE(5,,-C84,H84)</f>
        <v>5.5605823897771807E-2</v>
      </c>
    </row>
    <row r="85" spans="1:19" s="7" customFormat="1" x14ac:dyDescent="0.2">
      <c r="A85" s="90" t="str">
        <f>'Financial Statements'!A84</f>
        <v>Distribution  Expense - Operation</v>
      </c>
      <c r="B85" s="124">
        <f>'Financial Statements'!G84</f>
        <v>1269970</v>
      </c>
      <c r="C85" s="218">
        <f>'Financial Statements'!H84</f>
        <v>1440334</v>
      </c>
      <c r="D85" s="98">
        <f>C85*(1+Assumptions!$D$18)</f>
        <v>1471660.4036025549</v>
      </c>
      <c r="E85" s="98">
        <f>D85*(1+Assumptions!$D$18)</f>
        <v>1503668.1377594606</v>
      </c>
      <c r="F85" s="98">
        <f>E85*(1+Assumptions!$D$18)</f>
        <v>1536372.0210030382</v>
      </c>
      <c r="G85" s="98">
        <f>F85*(1+Assumptions!$D$18)</f>
        <v>1569787.1941598298</v>
      </c>
      <c r="H85" s="98">
        <f>G85*(1+Assumptions!$D$18)</f>
        <v>1603929.1273603048</v>
      </c>
      <c r="I85" s="63">
        <f t="shared" ref="I85:I93" si="27">RATE(5,,-C85,H85)</f>
        <v>2.174940229318692E-2</v>
      </c>
    </row>
    <row r="86" spans="1:19" s="7" customFormat="1" x14ac:dyDescent="0.2">
      <c r="A86" s="90" t="str">
        <f>'Financial Statements'!A85</f>
        <v>Distribution  Expense - Maintenance</v>
      </c>
      <c r="B86" s="124">
        <f>'Financial Statements'!G85</f>
        <v>265850</v>
      </c>
      <c r="C86" s="218">
        <f>'Financial Statements'!H85</f>
        <v>348324</v>
      </c>
      <c r="D86" s="98">
        <f>C86*(1+Assumptions!$D$19)</f>
        <v>372283.47817676433</v>
      </c>
      <c r="E86" s="98">
        <f>D86*(1+Assumptions!$D$19)</f>
        <v>397891.00987410964</v>
      </c>
      <c r="F86" s="98">
        <f>E86*(1+Assumptions!$D$19)</f>
        <v>425259.9565094533</v>
      </c>
      <c r="G86" s="98">
        <f>F86*(1+Assumptions!$D$19)</f>
        <v>454511.47706916207</v>
      </c>
      <c r="H86" s="98">
        <f>G86*(1+Assumptions!$D$19)</f>
        <v>485775.06446459709</v>
      </c>
      <c r="I86" s="63">
        <f>RATE(5,,-C86,H86)</f>
        <v>6.8785033982052268E-2</v>
      </c>
    </row>
    <row r="87" spans="1:19" s="7" customFormat="1" x14ac:dyDescent="0.2">
      <c r="A87" s="90" t="str">
        <f>'Financial Statements'!A86</f>
        <v>Depreciation and amortization</v>
      </c>
      <c r="B87" s="124">
        <f>'Financial Statements'!G86</f>
        <v>1100779</v>
      </c>
      <c r="C87" s="218">
        <f>'Financial Statements'!H86</f>
        <v>1111049</v>
      </c>
      <c r="D87" s="98">
        <f>C87*(1+Assumptions!$D$20)</f>
        <v>1162046.1491</v>
      </c>
      <c r="E87" s="98">
        <f>D87*(1+Assumptions!$D$20)</f>
        <v>1215384.0673436902</v>
      </c>
      <c r="F87" s="98">
        <f>E87*(1+Assumptions!$D$20)</f>
        <v>1271170.1960347656</v>
      </c>
      <c r="G87" s="98">
        <f>F87*(1+Assumptions!$D$20)</f>
        <v>1329516.9080327614</v>
      </c>
      <c r="H87" s="98">
        <f>G87*(1+Assumptions!$D$20)</f>
        <v>1390541.7341114653</v>
      </c>
      <c r="I87" s="63">
        <f t="shared" si="27"/>
        <v>4.5900000000000149E-2</v>
      </c>
    </row>
    <row r="88" spans="1:19" s="7" customFormat="1" x14ac:dyDescent="0.2">
      <c r="A88" s="90" t="str">
        <f>'Financial Statements'!A87</f>
        <v>Consumer Accounts</v>
      </c>
      <c r="B88" s="124">
        <f>'Financial Statements'!G87</f>
        <v>416458</v>
      </c>
      <c r="C88" s="218">
        <f>'Financial Statements'!H87</f>
        <v>370970</v>
      </c>
      <c r="D88" s="98">
        <f>C88*(1+Assumptions!$D$21)</f>
        <v>369481.32578873064</v>
      </c>
      <c r="E88" s="98">
        <f>D88*(1+Assumptions!$D$21)</f>
        <v>367998.62551310915</v>
      </c>
      <c r="F88" s="98">
        <f>E88*(1+Assumptions!$D$21)</f>
        <v>366521.87520018913</v>
      </c>
      <c r="G88" s="98">
        <f>F88*(1+Assumptions!$D$21)</f>
        <v>365051.05097322573</v>
      </c>
      <c r="H88" s="98">
        <f>G88*(1+Assumptions!$D$21)</f>
        <v>363586.12905128964</v>
      </c>
      <c r="I88" s="63">
        <f t="shared" si="27"/>
        <v>-4.0129234473656825E-3</v>
      </c>
    </row>
    <row r="89" spans="1:19" s="7" customFormat="1" x14ac:dyDescent="0.2">
      <c r="A89" s="90" t="str">
        <f>'Financial Statements'!A88</f>
        <v>Customer Service</v>
      </c>
      <c r="B89" s="124">
        <f>'Financial Statements'!G88</f>
        <v>102159</v>
      </c>
      <c r="C89" s="218">
        <f>'Financial Statements'!H88</f>
        <v>92360</v>
      </c>
      <c r="D89" s="98">
        <f>C89*(1+Assumptions!$D$22)</f>
        <v>96397.709701083731</v>
      </c>
      <c r="E89" s="98">
        <f>D89*(1+Assumptions!$D$22)</f>
        <v>100611.93628859259</v>
      </c>
      <c r="F89" s="98">
        <f>E89*(1+Assumptions!$D$22)</f>
        <v>105010.39656573928</v>
      </c>
      <c r="G89" s="98">
        <f>F89*(1+Assumptions!$D$22)</f>
        <v>109601.14469185594</v>
      </c>
      <c r="H89" s="98">
        <f>G89*(1+Assumptions!$D$22)</f>
        <v>114392.58693061933</v>
      </c>
      <c r="I89" s="63">
        <f t="shared" si="27"/>
        <v>4.3717082081972586E-2</v>
      </c>
    </row>
    <row r="90" spans="1:19" s="7" customFormat="1" x14ac:dyDescent="0.2">
      <c r="A90" s="90" t="str">
        <f>'Financial Statements'!A89</f>
        <v>Transmission Expense</v>
      </c>
      <c r="B90" s="124">
        <f>'Financial Statements'!G89</f>
        <v>46334</v>
      </c>
      <c r="C90" s="218">
        <f>'Financial Statements'!H89</f>
        <v>45960</v>
      </c>
      <c r="D90" s="98">
        <f>C90*(1+Assumptions!$D$23)</f>
        <v>47108.999999999993</v>
      </c>
      <c r="E90" s="98">
        <f>D90*(1+Assumptions!$D$23)</f>
        <v>48286.724999999991</v>
      </c>
      <c r="F90" s="98">
        <f>E90*(1+Assumptions!$D$23)</f>
        <v>49493.893124999988</v>
      </c>
      <c r="G90" s="98">
        <f>F90*(1+Assumptions!$D$23)</f>
        <v>50731.240453124985</v>
      </c>
      <c r="H90" s="98">
        <f>G90*(1+Assumptions!$D$23)</f>
        <v>51999.521464453108</v>
      </c>
      <c r="I90" s="63">
        <f t="shared" si="27"/>
        <v>2.4999999999999883E-2</v>
      </c>
    </row>
    <row r="91" spans="1:19" s="7" customFormat="1" x14ac:dyDescent="0.2">
      <c r="A91" s="90" t="str">
        <f>'Financial Statements'!A90</f>
        <v>Taxes, other than income taxes</v>
      </c>
      <c r="B91" s="99">
        <f>'Financial Statements'!G90</f>
        <v>94296</v>
      </c>
      <c r="C91" s="219">
        <f>'Financial Statements'!H90</f>
        <v>126451</v>
      </c>
      <c r="D91" s="98">
        <f>C91*(1+Assumptions!$D$24)</f>
        <v>132773.55000000002</v>
      </c>
      <c r="E91" s="98">
        <f>D91*(1+Assumptions!$D$24)</f>
        <v>139412.22750000004</v>
      </c>
      <c r="F91" s="98">
        <f>E91*(1+Assumptions!$D$24)</f>
        <v>146382.83887500004</v>
      </c>
      <c r="G91" s="98">
        <f>F91*(1+Assumptions!$D$24)</f>
        <v>153701.98081875005</v>
      </c>
      <c r="H91" s="98">
        <f>G91*(1+Assumptions!$D$24)</f>
        <v>161387.07985968757</v>
      </c>
      <c r="I91" s="67">
        <f t="shared" si="27"/>
        <v>5.0000000000017399E-2</v>
      </c>
    </row>
    <row r="92" spans="1:19" s="7" customFormat="1" x14ac:dyDescent="0.2">
      <c r="A92" s="90" t="str">
        <f>'Financial Statements'!A91</f>
        <v>Total Operating Expenses</v>
      </c>
      <c r="B92" s="136">
        <f t="shared" ref="B92:H92" si="28">SUM(B83:B91)</f>
        <v>10236659</v>
      </c>
      <c r="C92" s="223">
        <f t="shared" ref="C92" si="29">SUM(C83:C91)</f>
        <v>11024409</v>
      </c>
      <c r="D92" s="135">
        <f t="shared" si="28"/>
        <v>11479909.859505828</v>
      </c>
      <c r="E92" s="135">
        <f t="shared" si="28"/>
        <v>11956164.665593471</v>
      </c>
      <c r="F92" s="135">
        <f t="shared" si="28"/>
        <v>12454156.865068531</v>
      </c>
      <c r="G92" s="135">
        <f t="shared" si="28"/>
        <v>12974918.287106942</v>
      </c>
      <c r="H92" s="135">
        <f t="shared" si="28"/>
        <v>13519531.609632792</v>
      </c>
      <c r="I92" s="71">
        <f t="shared" si="27"/>
        <v>4.1648674884874982E-2</v>
      </c>
    </row>
    <row r="93" spans="1:19" s="7" customFormat="1" x14ac:dyDescent="0.2">
      <c r="A93" s="90" t="str">
        <f>'Financial Statements'!A92</f>
        <v>Earnings From Operations</v>
      </c>
      <c r="B93" s="124">
        <f t="shared" ref="B93:H93" si="30">B80-B92</f>
        <v>1108004</v>
      </c>
      <c r="C93" s="218">
        <f t="shared" ref="C93" si="31">C80-C92</f>
        <v>1280540</v>
      </c>
      <c r="D93" s="135">
        <f t="shared" si="30"/>
        <v>1046526.9275910184</v>
      </c>
      <c r="E93" s="135">
        <f t="shared" si="30"/>
        <v>999346.64441297762</v>
      </c>
      <c r="F93" s="135">
        <f t="shared" si="30"/>
        <v>945126.27956825867</v>
      </c>
      <c r="G93" s="135">
        <f t="shared" si="30"/>
        <v>883337.43850657716</v>
      </c>
      <c r="H93" s="135">
        <f t="shared" si="30"/>
        <v>813418.12233630382</v>
      </c>
      <c r="I93" s="63">
        <f t="shared" si="27"/>
        <v>-8.6761653626873783E-2</v>
      </c>
    </row>
    <row r="94" spans="1:19" s="7" customFormat="1" x14ac:dyDescent="0.2">
      <c r="A94" s="30"/>
      <c r="B94" s="124"/>
      <c r="C94" s="218"/>
      <c r="D94" s="98"/>
      <c r="E94" s="98"/>
      <c r="F94" s="98"/>
      <c r="G94" s="98"/>
      <c r="H94" s="98"/>
      <c r="I94" s="63"/>
    </row>
    <row r="95" spans="1:19" s="7" customFormat="1" x14ac:dyDescent="0.2">
      <c r="A95" s="65" t="s">
        <v>162</v>
      </c>
      <c r="B95" s="124">
        <v>0</v>
      </c>
      <c r="C95" s="218">
        <v>0</v>
      </c>
      <c r="D95" s="98">
        <f ca="1">IF(D13&gt;0,(AVERAGE(C13:D13)*-Assumptions!$D$26),(AVERAGE('Forecast '!C51:D51)*Assumptions!$D$66))</f>
        <v>-14145.706257458118</v>
      </c>
      <c r="E95" s="98">
        <f ca="1">IF(E13&gt;0,(AVERAGE(D13:E13)*-Assumptions!$D$26),(AVERAGE('Forecast '!D51:E51)*Assumptions!$D$66))</f>
        <v>-29346.947334320761</v>
      </c>
      <c r="F95" s="98">
        <f ca="1">IF(F13&gt;0,(AVERAGE(E13:F13)*-Assumptions!$D$26),(AVERAGE('Forecast '!E51:F51)*Assumptions!$D$66))</f>
        <v>-31311.055426245381</v>
      </c>
      <c r="G95" s="98">
        <f ca="1">IF(G13&gt;0,(AVERAGE(F13:G13)*-Assumptions!$D$26),(AVERAGE('Forecast '!F51:G51)*Assumptions!$D$66))</f>
        <v>-32174.163054003129</v>
      </c>
      <c r="H95" s="98">
        <f ca="1">IF(H13&gt;0,(AVERAGE(G13:H13)*-Assumptions!$D$26),(AVERAGE('Forecast '!G51:H51)*Assumptions!$D$66))</f>
        <v>-31200.306334473044</v>
      </c>
      <c r="I95" s="63"/>
      <c r="K95" s="19">
        <v>0.06</v>
      </c>
      <c r="L95" s="19">
        <v>7.0000000000000007E-2</v>
      </c>
      <c r="M95" s="19">
        <v>0.08</v>
      </c>
      <c r="N95" s="19">
        <v>0.09</v>
      </c>
      <c r="O95" s="19">
        <v>0.1</v>
      </c>
      <c r="P95" s="19">
        <v>0.11</v>
      </c>
      <c r="Q95" s="19">
        <v>0.11</v>
      </c>
      <c r="R95" s="19">
        <v>0.11</v>
      </c>
      <c r="S95" s="19">
        <v>0.11</v>
      </c>
    </row>
    <row r="96" spans="1:19" s="7" customFormat="1" x14ac:dyDescent="0.2">
      <c r="A96" s="90" t="s">
        <v>64</v>
      </c>
      <c r="B96" s="124">
        <f>'Financial Statements'!G94</f>
        <v>263565</v>
      </c>
      <c r="C96" s="218">
        <f>'Financial Statements'!H94</f>
        <v>320426</v>
      </c>
      <c r="D96" s="98">
        <f>((D48+C48+C40+D40)/2)*Assumptions!$D$62</f>
        <v>308225.20587438025</v>
      </c>
      <c r="E96" s="98">
        <f>((E48+D48+D40+E40)/2)*Assumptions!$D$62</f>
        <v>286686.11135711969</v>
      </c>
      <c r="F96" s="98">
        <f>((F48+E48+E40+F40)/2)*Assumptions!$D$62</f>
        <v>268598.67721512541</v>
      </c>
      <c r="G96" s="98">
        <f>((G48+F48+F40+G40)/2)*Assumptions!$D$62</f>
        <v>251652.40499511021</v>
      </c>
      <c r="H96" s="98">
        <f>((H48+G48+G40+H40)/2)*Assumptions!$D$62</f>
        <v>235775.29716984302</v>
      </c>
      <c r="I96" s="63">
        <f>RATE(5,,-C96,H96)</f>
        <v>-5.9510155169951333E-2</v>
      </c>
      <c r="K96" s="19"/>
      <c r="L96" s="19"/>
      <c r="M96" s="19"/>
      <c r="N96" s="19"/>
      <c r="O96" s="19"/>
      <c r="P96" s="19"/>
      <c r="Q96" s="19"/>
      <c r="R96" s="19"/>
      <c r="S96" s="19"/>
    </row>
    <row r="97" spans="1:19" s="7" customFormat="1" x14ac:dyDescent="0.2">
      <c r="A97" s="90" t="str">
        <f>'Financial Statements'!A95</f>
        <v xml:space="preserve">   Interest and Other Income</v>
      </c>
      <c r="B97" s="124">
        <f>'Financial Statements'!G95</f>
        <v>-19517</v>
      </c>
      <c r="C97" s="218">
        <f>'Financial Statements'!H95</f>
        <v>-22343</v>
      </c>
      <c r="D97" s="98"/>
      <c r="E97" s="98">
        <f>D97</f>
        <v>0</v>
      </c>
      <c r="F97" s="98">
        <f>E97</f>
        <v>0</v>
      </c>
      <c r="G97" s="98">
        <f>F97</f>
        <v>0</v>
      </c>
      <c r="H97" s="98">
        <f>G97</f>
        <v>0</v>
      </c>
      <c r="I97" s="63"/>
      <c r="K97" s="19"/>
      <c r="L97" s="19"/>
      <c r="M97" s="19"/>
      <c r="N97" s="19"/>
      <c r="O97" s="19"/>
      <c r="P97" s="19"/>
      <c r="Q97" s="19"/>
      <c r="R97" s="19"/>
      <c r="S97" s="19"/>
    </row>
    <row r="98" spans="1:19" s="7" customFormat="1" x14ac:dyDescent="0.2">
      <c r="A98" s="90" t="s">
        <v>68</v>
      </c>
      <c r="B98" s="124">
        <f>'Financial Statements'!G96</f>
        <v>0</v>
      </c>
      <c r="C98" s="218">
        <f>'Financial Statements'!H96</f>
        <v>0</v>
      </c>
      <c r="D98" s="98"/>
      <c r="E98" s="98"/>
      <c r="F98" s="98"/>
      <c r="G98" s="98"/>
      <c r="H98" s="98"/>
      <c r="I98" s="63"/>
      <c r="K98" s="19"/>
      <c r="L98" s="19"/>
      <c r="M98" s="19"/>
      <c r="N98" s="19"/>
      <c r="O98" s="19"/>
      <c r="P98" s="19"/>
      <c r="Q98" s="19"/>
      <c r="R98" s="19"/>
      <c r="S98" s="19"/>
    </row>
    <row r="99" spans="1:19" s="7" customFormat="1" x14ac:dyDescent="0.2">
      <c r="A99" s="109" t="s">
        <v>129</v>
      </c>
      <c r="B99" s="99">
        <f>'Financial Statements'!G97</f>
        <v>-237385</v>
      </c>
      <c r="C99" s="219">
        <f>'Financial Statements'!H97</f>
        <v>-326148</v>
      </c>
      <c r="D99" s="98">
        <f>Assumptions!$D$30</f>
        <v>-326148</v>
      </c>
      <c r="E99" s="98">
        <f>Assumptions!$D$30</f>
        <v>-326148</v>
      </c>
      <c r="F99" s="98">
        <f>Assumptions!$D$30</f>
        <v>-326148</v>
      </c>
      <c r="G99" s="98">
        <f>Assumptions!$D$30</f>
        <v>-326148</v>
      </c>
      <c r="H99" s="98">
        <f>Assumptions!$D$30</f>
        <v>-326148</v>
      </c>
      <c r="I99" s="67"/>
    </row>
    <row r="100" spans="1:19" s="7" customFormat="1" x14ac:dyDescent="0.2">
      <c r="A100" s="30" t="s">
        <v>65</v>
      </c>
      <c r="B100" s="124">
        <f t="shared" ref="B100:H100" si="32">SUM(B95:B99)</f>
        <v>6663</v>
      </c>
      <c r="C100" s="218">
        <f t="shared" ref="C100" si="33">SUM(C95:C99)</f>
        <v>-28065</v>
      </c>
      <c r="D100" s="135">
        <f t="shared" ca="1" si="32"/>
        <v>-32068.500383077888</v>
      </c>
      <c r="E100" s="135">
        <f t="shared" ca="1" si="32"/>
        <v>-68808.835977201059</v>
      </c>
      <c r="F100" s="135">
        <f t="shared" ca="1" si="32"/>
        <v>-88860.378211119969</v>
      </c>
      <c r="G100" s="135">
        <f t="shared" ca="1" si="32"/>
        <v>-106669.75805889291</v>
      </c>
      <c r="H100" s="135">
        <f t="shared" ca="1" si="32"/>
        <v>-121573.00916463003</v>
      </c>
      <c r="I100" s="63"/>
    </row>
    <row r="101" spans="1:19" s="7" customFormat="1" ht="7.5" customHeight="1" x14ac:dyDescent="0.2">
      <c r="A101" s="30"/>
      <c r="B101" s="124"/>
      <c r="C101" s="218"/>
      <c r="D101" s="98"/>
      <c r="E101" s="98"/>
      <c r="F101" s="98"/>
      <c r="G101" s="98"/>
      <c r="H101" s="98"/>
      <c r="I101" s="63"/>
    </row>
    <row r="102" spans="1:19" s="7" customFormat="1" x14ac:dyDescent="0.2">
      <c r="A102" s="30" t="s">
        <v>18</v>
      </c>
      <c r="B102" s="99">
        <f t="shared" ref="B102:H102" si="34">B93-B100</f>
        <v>1101341</v>
      </c>
      <c r="C102" s="219">
        <f t="shared" ref="C102" si="35">C93-C100</f>
        <v>1308605</v>
      </c>
      <c r="D102" s="98">
        <f t="shared" ca="1" si="34"/>
        <v>1078595.4279740963</v>
      </c>
      <c r="E102" s="98">
        <f t="shared" ca="1" si="34"/>
        <v>1068155.4803901787</v>
      </c>
      <c r="F102" s="98">
        <f t="shared" ca="1" si="34"/>
        <v>1033986.6577793786</v>
      </c>
      <c r="G102" s="98">
        <f t="shared" ca="1" si="34"/>
        <v>990007.19656547008</v>
      </c>
      <c r="H102" s="98">
        <f t="shared" ca="1" si="34"/>
        <v>934991.13150093378</v>
      </c>
      <c r="I102" s="63">
        <f ca="1">RATE(5,,-C102,H102)</f>
        <v>-6.5025463559273952E-2</v>
      </c>
    </row>
    <row r="103" spans="1:19" s="7" customFormat="1" x14ac:dyDescent="0.2">
      <c r="A103" s="30" t="s">
        <v>66</v>
      </c>
      <c r="B103" s="136">
        <f>'Financial Statements'!G101</f>
        <v>0</v>
      </c>
      <c r="C103" s="223">
        <f>'Financial Statements'!H101</f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71"/>
    </row>
    <row r="104" spans="1:19" s="7" customFormat="1" x14ac:dyDescent="0.2">
      <c r="A104" s="30" t="s">
        <v>25</v>
      </c>
      <c r="B104" s="136">
        <f>'Financial Statements'!G102</f>
        <v>0</v>
      </c>
      <c r="C104" s="223">
        <f>'Financial Statements'!H102</f>
        <v>0</v>
      </c>
      <c r="D104" s="135">
        <f>C104</f>
        <v>0</v>
      </c>
      <c r="E104" s="135">
        <f>D104</f>
        <v>0</v>
      </c>
      <c r="F104" s="135">
        <f>E104</f>
        <v>0</v>
      </c>
      <c r="G104" s="135">
        <f>F104</f>
        <v>0</v>
      </c>
      <c r="H104" s="135">
        <f>G104</f>
        <v>0</v>
      </c>
      <c r="I104" s="71"/>
    </row>
    <row r="105" spans="1:19" s="7" customFormat="1" ht="13.5" thickBot="1" x14ac:dyDescent="0.25">
      <c r="A105" s="30" t="s">
        <v>151</v>
      </c>
      <c r="B105" s="227">
        <f t="shared" ref="B105:H105" si="36">B102+B103-B104</f>
        <v>1101341</v>
      </c>
      <c r="C105" s="228">
        <f t="shared" ref="C105" si="37">C102+C103-C104</f>
        <v>1308605</v>
      </c>
      <c r="D105" s="135">
        <f ca="1">D102+D103-D104</f>
        <v>1078595.4279740963</v>
      </c>
      <c r="E105" s="135">
        <f t="shared" ca="1" si="36"/>
        <v>1068155.4803901787</v>
      </c>
      <c r="F105" s="135">
        <f t="shared" ca="1" si="36"/>
        <v>1033986.6577793786</v>
      </c>
      <c r="G105" s="135">
        <f t="shared" ca="1" si="36"/>
        <v>990007.19656547008</v>
      </c>
      <c r="H105" s="135">
        <f t="shared" ca="1" si="36"/>
        <v>934991.13150093378</v>
      </c>
      <c r="I105" s="63">
        <f ca="1">RATE(5,,-C105,H105)</f>
        <v>-6.5025463559273952E-2</v>
      </c>
      <c r="J105" s="7">
        <f ca="1">AVERAGE(D105:H105)</f>
        <v>1021147.1788420115</v>
      </c>
    </row>
    <row r="106" spans="1:19" s="7" customFormat="1" ht="13.5" thickTop="1" x14ac:dyDescent="0.2">
      <c r="A106" s="30"/>
      <c r="B106" s="124"/>
      <c r="C106" s="218"/>
      <c r="D106" s="185"/>
      <c r="E106" s="185"/>
      <c r="F106" s="185"/>
      <c r="G106" s="185"/>
      <c r="H106" s="185"/>
      <c r="I106" s="104"/>
    </row>
    <row r="107" spans="1:19" s="7" customFormat="1" x14ac:dyDescent="0.2">
      <c r="A107" s="30" t="s">
        <v>69</v>
      </c>
      <c r="B107" s="124"/>
      <c r="C107" s="218"/>
      <c r="D107" s="98"/>
      <c r="E107" s="98"/>
      <c r="F107" s="98"/>
      <c r="G107" s="98"/>
      <c r="H107" s="98"/>
      <c r="I107" s="63"/>
    </row>
    <row r="108" spans="1:19" s="7" customFormat="1" x14ac:dyDescent="0.2">
      <c r="A108" s="65" t="s">
        <v>122</v>
      </c>
      <c r="B108" s="124">
        <f>'Financial Statements'!G105</f>
        <v>286307</v>
      </c>
      <c r="C108" s="218">
        <f>'Financial Statements'!H105</f>
        <v>391156</v>
      </c>
      <c r="D108" s="98">
        <f ca="1">D105*Assumptions!$D$35</f>
        <v>295705.69753517478</v>
      </c>
      <c r="E108" s="98">
        <f ca="1">E105*Assumptions!$D$35</f>
        <v>292843.50110594317</v>
      </c>
      <c r="F108" s="98">
        <f ca="1">F105*Assumptions!$D$35</f>
        <v>283475.84084888059</v>
      </c>
      <c r="G108" s="98">
        <f ca="1">G105*Assumptions!$D$35</f>
        <v>271418.51433127525</v>
      </c>
      <c r="H108" s="98">
        <f ca="1">H105*Assumptions!$D$35</f>
        <v>256335.41322254331</v>
      </c>
      <c r="I108" s="63"/>
    </row>
    <row r="109" spans="1:19" s="7" customFormat="1" x14ac:dyDescent="0.2">
      <c r="A109" s="30"/>
      <c r="B109" s="70"/>
      <c r="C109" s="30"/>
      <c r="D109" s="30"/>
      <c r="E109" s="30"/>
      <c r="F109" s="30"/>
      <c r="G109" s="30"/>
      <c r="H109" s="30"/>
      <c r="I109" s="30"/>
    </row>
    <row r="110" spans="1:19" s="7" customFormat="1" ht="15" hidden="1" x14ac:dyDescent="0.2">
      <c r="A110" s="30"/>
      <c r="B110" s="70"/>
      <c r="C110" s="30"/>
      <c r="D110" s="30"/>
      <c r="E110" s="30"/>
      <c r="F110" s="30"/>
      <c r="G110" s="30"/>
      <c r="H110" s="30"/>
      <c r="I110" s="105" t="str">
        <f>I68</f>
        <v>Exhibit 2</v>
      </c>
    </row>
    <row r="111" spans="1:19" s="7" customFormat="1" ht="15" hidden="1" x14ac:dyDescent="0.2">
      <c r="A111" s="30"/>
      <c r="B111" s="70"/>
      <c r="C111" s="30"/>
      <c r="D111" s="30"/>
      <c r="E111" s="30"/>
      <c r="F111" s="30"/>
      <c r="G111" s="30"/>
      <c r="H111" s="30"/>
      <c r="I111" s="105" t="s">
        <v>120</v>
      </c>
    </row>
    <row r="112" spans="1:19" s="7" customFormat="1" ht="18" hidden="1" x14ac:dyDescent="0.25">
      <c r="A112" s="76" t="str">
        <f>A3</f>
        <v>Bridger Valley Electric Association, Inc.</v>
      </c>
      <c r="B112" s="106"/>
      <c r="C112" s="53"/>
      <c r="D112" s="53"/>
      <c r="E112" s="53"/>
      <c r="F112" s="53"/>
      <c r="G112" s="53"/>
      <c r="H112" s="53"/>
      <c r="I112" s="54"/>
    </row>
    <row r="113" spans="1:9" s="7" customFormat="1" ht="15.75" hidden="1" x14ac:dyDescent="0.25">
      <c r="A113" s="77" t="s">
        <v>60</v>
      </c>
      <c r="B113" s="106"/>
      <c r="C113" s="53"/>
      <c r="D113" s="53"/>
      <c r="E113" s="53"/>
      <c r="F113" s="53"/>
      <c r="G113" s="53"/>
      <c r="H113" s="53"/>
      <c r="I113" s="54"/>
    </row>
    <row r="114" spans="1:9" s="7" customFormat="1" ht="15.75" hidden="1" x14ac:dyDescent="0.25">
      <c r="A114" s="77" t="s">
        <v>57</v>
      </c>
      <c r="B114" s="106"/>
      <c r="C114" s="53"/>
      <c r="D114" s="53"/>
      <c r="E114" s="53"/>
      <c r="F114" s="53"/>
      <c r="G114" s="53"/>
      <c r="H114" s="53"/>
      <c r="I114" s="54"/>
    </row>
    <row r="115" spans="1:9" s="7" customFormat="1" hidden="1" x14ac:dyDescent="0.2">
      <c r="A115" s="30"/>
      <c r="B115" s="70"/>
      <c r="C115" s="30"/>
      <c r="D115" s="30"/>
      <c r="E115" s="30"/>
      <c r="F115" s="30"/>
      <c r="G115" s="30"/>
      <c r="H115" s="30"/>
      <c r="I115" s="63"/>
    </row>
    <row r="116" spans="1:9" s="7" customFormat="1" hidden="1" x14ac:dyDescent="0.2">
      <c r="A116" s="30"/>
      <c r="B116" s="68" t="s">
        <v>22</v>
      </c>
      <c r="C116" s="68" t="s">
        <v>22</v>
      </c>
      <c r="D116" s="110" t="s">
        <v>62</v>
      </c>
      <c r="E116" s="56" t="s">
        <v>62</v>
      </c>
      <c r="F116" s="56" t="s">
        <v>62</v>
      </c>
      <c r="G116" s="56" t="s">
        <v>62</v>
      </c>
      <c r="H116" s="56" t="s">
        <v>62</v>
      </c>
      <c r="I116" s="79" t="s">
        <v>62</v>
      </c>
    </row>
    <row r="117" spans="1:9" s="7" customFormat="1" hidden="1" x14ac:dyDescent="0.2">
      <c r="A117" s="80" t="s">
        <v>1</v>
      </c>
      <c r="B117" s="212">
        <f>B9</f>
        <v>2012</v>
      </c>
      <c r="C117" s="52">
        <f t="shared" ref="C117:H117" si="38">C9</f>
        <v>2013</v>
      </c>
      <c r="D117" s="111">
        <f t="shared" si="38"/>
        <v>2014</v>
      </c>
      <c r="E117" s="52">
        <f t="shared" si="38"/>
        <v>2015</v>
      </c>
      <c r="F117" s="52">
        <f t="shared" si="38"/>
        <v>2016</v>
      </c>
      <c r="G117" s="52">
        <f t="shared" si="38"/>
        <v>2017</v>
      </c>
      <c r="H117" s="52">
        <f t="shared" si="38"/>
        <v>2018</v>
      </c>
      <c r="I117" s="87" t="s">
        <v>5</v>
      </c>
    </row>
    <row r="118" spans="1:9" s="7" customFormat="1" ht="7.5" hidden="1" customHeight="1" x14ac:dyDescent="0.2">
      <c r="A118" s="30"/>
      <c r="B118" s="84"/>
      <c r="C118" s="30"/>
      <c r="D118" s="112"/>
      <c r="E118" s="30"/>
      <c r="F118" s="30"/>
      <c r="G118" s="30"/>
      <c r="H118" s="30"/>
      <c r="I118" s="63"/>
    </row>
    <row r="119" spans="1:9" s="7" customFormat="1" hidden="1" x14ac:dyDescent="0.2">
      <c r="A119" s="62" t="s">
        <v>10</v>
      </c>
      <c r="B119" s="84"/>
      <c r="C119" s="63"/>
      <c r="D119" s="113"/>
      <c r="E119" s="63"/>
      <c r="F119" s="63"/>
      <c r="G119" s="63"/>
      <c r="H119" s="30"/>
      <c r="I119" s="63"/>
    </row>
    <row r="120" spans="1:9" s="7" customFormat="1" hidden="1" x14ac:dyDescent="0.2">
      <c r="A120" s="30" t="str">
        <f>A12</f>
        <v>Cash &amp; Equivalents</v>
      </c>
      <c r="B120" s="84">
        <f t="shared" ref="B120:H120" si="39">B12/B$37</f>
        <v>5.8231491419213903E-2</v>
      </c>
      <c r="C120" s="63">
        <f t="shared" si="39"/>
        <v>3.7654942733073508E-2</v>
      </c>
      <c r="D120" s="113">
        <f t="shared" ca="1" si="39"/>
        <v>2.1497554132542892E-2</v>
      </c>
      <c r="E120" s="63">
        <f t="shared" ca="1" si="39"/>
        <v>2.1321453469928964E-2</v>
      </c>
      <c r="F120" s="63">
        <f t="shared" ca="1" si="39"/>
        <v>2.1196730286314591E-2</v>
      </c>
      <c r="G120" s="63">
        <f t="shared" ca="1" si="39"/>
        <v>2.1128933520908107E-2</v>
      </c>
      <c r="H120" s="63">
        <f t="shared" ca="1" si="39"/>
        <v>2.112414069449952E-2</v>
      </c>
      <c r="I120" s="63">
        <f ca="1">SUM(C12:H12)/SUM(C$37:H$37)</f>
        <v>2.3743267061167143E-2</v>
      </c>
    </row>
    <row r="121" spans="1:9" s="7" customFormat="1" hidden="1" x14ac:dyDescent="0.2">
      <c r="A121" s="30" t="str">
        <f>A13</f>
        <v>Surplus Cash</v>
      </c>
      <c r="B121" s="84">
        <f t="shared" ref="B121:H121" si="40">B13/B$37</f>
        <v>0</v>
      </c>
      <c r="C121" s="63">
        <f t="shared" si="40"/>
        <v>0</v>
      </c>
      <c r="D121" s="113">
        <f t="shared" ca="1" si="40"/>
        <v>5.8263608305787334E-2</v>
      </c>
      <c r="E121" s="63">
        <f t="shared" ca="1" si="40"/>
        <v>6.0041638783673162E-2</v>
      </c>
      <c r="F121" s="63">
        <f t="shared" ca="1" si="40"/>
        <v>6.116304331336931E-2</v>
      </c>
      <c r="G121" s="63">
        <f t="shared" ca="1" si="40"/>
        <v>5.8781866212950243E-2</v>
      </c>
      <c r="H121" s="63">
        <f t="shared" ca="1" si="40"/>
        <v>5.3538305149707366E-2</v>
      </c>
      <c r="I121" s="63">
        <f ca="1">SUM(C13:H13)/SUM(C$37:H$37)</f>
        <v>4.9410853512572489E-2</v>
      </c>
    </row>
    <row r="122" spans="1:9" s="7" customFormat="1" hidden="1" x14ac:dyDescent="0.2">
      <c r="A122" s="30" t="str">
        <f>A14</f>
        <v>Accounts Receivable - Customers</v>
      </c>
      <c r="B122" s="84">
        <f t="shared" ref="B122:H122" si="41">B14/B$37</f>
        <v>5.6600521546888702E-2</v>
      </c>
      <c r="C122" s="63">
        <f t="shared" si="41"/>
        <v>6.3956981465563778E-2</v>
      </c>
      <c r="D122" s="113">
        <f t="shared" ca="1" si="41"/>
        <v>6.2930018459754336E-2</v>
      </c>
      <c r="E122" s="63">
        <f t="shared" ca="1" si="41"/>
        <v>6.241451712035808E-2</v>
      </c>
      <c r="F122" s="63">
        <f t="shared" ca="1" si="41"/>
        <v>6.2049413620731096E-2</v>
      </c>
      <c r="G122" s="63">
        <f t="shared" ca="1" si="41"/>
        <v>6.1850951429533119E-2</v>
      </c>
      <c r="H122" s="63">
        <f t="shared" ca="1" si="41"/>
        <v>6.1836921337900037E-2</v>
      </c>
      <c r="I122" s="63">
        <f ca="1">SUM(C14:H14)/SUM(C$37:H$37)</f>
        <v>6.2463377723348222E-2</v>
      </c>
    </row>
    <row r="123" spans="1:9" s="7" customFormat="1" hidden="1" x14ac:dyDescent="0.2">
      <c r="A123" s="30" t="str">
        <f t="shared" ref="A123:A125" si="42">A16</f>
        <v>Material and Supplies</v>
      </c>
      <c r="B123" s="84">
        <f t="shared" ref="B123:H123" si="43">B16/B$37</f>
        <v>1.5235676764741309E-2</v>
      </c>
      <c r="C123" s="63">
        <f t="shared" si="43"/>
        <v>1.9201205030012432E-2</v>
      </c>
      <c r="D123" s="113">
        <f t="shared" ca="1" si="43"/>
        <v>1.7715450329869403E-2</v>
      </c>
      <c r="E123" s="63">
        <f t="shared" ca="1" si="43"/>
        <v>1.7472327236221909E-2</v>
      </c>
      <c r="F123" s="63">
        <f t="shared" ca="1" si="43"/>
        <v>1.7513585464007379E-2</v>
      </c>
      <c r="G123" s="63">
        <f t="shared" ca="1" si="43"/>
        <v>1.7560290740364377E-2</v>
      </c>
      <c r="H123" s="63">
        <f t="shared" ca="1" si="43"/>
        <v>1.7612640634292298E-2</v>
      </c>
      <c r="I123" s="63">
        <f ca="1">SUM(C16:H16)/SUM(C$37:H$37)</f>
        <v>1.7821508677979662E-2</v>
      </c>
    </row>
    <row r="124" spans="1:9" s="7" customFormat="1" hidden="1" x14ac:dyDescent="0.2">
      <c r="A124" s="30" t="str">
        <f t="shared" si="42"/>
        <v>Other Current Assets</v>
      </c>
      <c r="B124" s="67">
        <f t="shared" ref="B124:H124" si="44">B17/B$37</f>
        <v>2.1832291834234076E-3</v>
      </c>
      <c r="C124" s="83">
        <f t="shared" si="44"/>
        <v>2.6980838191094331E-3</v>
      </c>
      <c r="D124" s="114">
        <f t="shared" ca="1" si="44"/>
        <v>2.3952993787331191E-3</v>
      </c>
      <c r="E124" s="83">
        <f t="shared" ca="1" si="44"/>
        <v>2.2969976502636735E-3</v>
      </c>
      <c r="F124" s="83">
        <f t="shared" ca="1" si="44"/>
        <v>2.2079315793141221E-3</v>
      </c>
      <c r="G124" s="83">
        <f t="shared" ca="1" si="44"/>
        <v>2.1279788508518308E-3</v>
      </c>
      <c r="H124" s="83">
        <f t="shared" ca="1" si="44"/>
        <v>2.0570354463997952E-3</v>
      </c>
      <c r="I124" s="63">
        <f ca="1">SUM(C17:H17)/SUM(C$37:H$37)</f>
        <v>2.2847882739120782E-3</v>
      </c>
    </row>
    <row r="125" spans="1:9" s="7" customFormat="1" hidden="1" x14ac:dyDescent="0.2">
      <c r="A125" s="30" t="str">
        <f t="shared" si="42"/>
        <v>Total Current Assets</v>
      </c>
      <c r="B125" s="84">
        <f t="shared" ref="B125:H125" si="45">B18/B$37</f>
        <v>0.13225091891426732</v>
      </c>
      <c r="C125" s="63">
        <f t="shared" si="45"/>
        <v>0.12351121304775915</v>
      </c>
      <c r="D125" s="113">
        <f t="shared" ca="1" si="45"/>
        <v>0.16280193060668707</v>
      </c>
      <c r="E125" s="63">
        <f t="shared" ca="1" si="45"/>
        <v>0.16354693426044578</v>
      </c>
      <c r="F125" s="63">
        <f t="shared" ca="1" si="45"/>
        <v>0.16413070426373649</v>
      </c>
      <c r="G125" s="63">
        <f t="shared" ca="1" si="45"/>
        <v>0.16145002075460768</v>
      </c>
      <c r="H125" s="63">
        <f t="shared" ca="1" si="45"/>
        <v>0.15616904326279901</v>
      </c>
      <c r="I125" s="85">
        <f ca="1">SUM(C18:H18)/SUM(C$37:H$37)</f>
        <v>0.15572379524897959</v>
      </c>
    </row>
    <row r="126" spans="1:9" s="7" customFormat="1" hidden="1" x14ac:dyDescent="0.2">
      <c r="A126" s="30"/>
      <c r="B126" s="84"/>
      <c r="C126" s="63"/>
      <c r="D126" s="113"/>
      <c r="E126" s="63"/>
      <c r="F126" s="63"/>
      <c r="G126" s="63"/>
      <c r="H126" s="63"/>
      <c r="I126" s="63"/>
    </row>
    <row r="127" spans="1:9" s="7" customFormat="1" hidden="1" x14ac:dyDescent="0.2">
      <c r="A127" s="30" t="str">
        <f>A20</f>
        <v>Plant &amp; Equipment:</v>
      </c>
      <c r="B127" s="84"/>
      <c r="C127" s="63"/>
      <c r="D127" s="113"/>
      <c r="E127" s="63"/>
      <c r="F127" s="63"/>
      <c r="G127" s="63"/>
      <c r="H127" s="63"/>
      <c r="I127" s="63"/>
    </row>
    <row r="128" spans="1:9" s="7" customFormat="1" hidden="1" x14ac:dyDescent="0.2">
      <c r="A128" s="30" t="str">
        <f>A21</f>
        <v>Plant in Service</v>
      </c>
      <c r="B128" s="84">
        <f t="shared" ref="B128:H128" si="46">B21/B$37</f>
        <v>1.5104732389286635</v>
      </c>
      <c r="C128" s="63">
        <f t="shared" si="46"/>
        <v>1.5913302770695537</v>
      </c>
      <c r="D128" s="113">
        <f t="shared" ca="1" si="46"/>
        <v>1.6749881748834246</v>
      </c>
      <c r="E128" s="63">
        <f t="shared" ca="1" si="46"/>
        <v>1.6727781420640524</v>
      </c>
      <c r="F128" s="63">
        <f t="shared" ca="1" si="46"/>
        <v>1.6745158231415784</v>
      </c>
      <c r="G128" s="63">
        <f t="shared" ca="1" si="46"/>
        <v>1.6807255514500916</v>
      </c>
      <c r="H128" s="63">
        <f t="shared" ca="1" si="46"/>
        <v>1.6919873866973509</v>
      </c>
      <c r="I128" s="63">
        <f ca="1">SUM(C21:H21)/SUM(C$37:H$37)</f>
        <v>1.6659263550112668</v>
      </c>
    </row>
    <row r="129" spans="1:9" s="7" customFormat="1" hidden="1" x14ac:dyDescent="0.2">
      <c r="A129" s="30" t="str">
        <f>A22</f>
        <v>Construction Work in Progress</v>
      </c>
      <c r="B129" s="84">
        <f t="shared" ref="B129:H129" si="47">B22/B$37</f>
        <v>8.9528039026767231E-2</v>
      </c>
      <c r="C129" s="63">
        <f t="shared" si="47"/>
        <v>6.2853296923971791E-2</v>
      </c>
      <c r="D129" s="113">
        <f t="shared" ca="1" si="47"/>
        <v>0</v>
      </c>
      <c r="E129" s="63">
        <f t="shared" ca="1" si="47"/>
        <v>0</v>
      </c>
      <c r="F129" s="63">
        <f t="shared" ca="1" si="47"/>
        <v>0</v>
      </c>
      <c r="G129" s="63">
        <f t="shared" ca="1" si="47"/>
        <v>0</v>
      </c>
      <c r="H129" s="63">
        <f t="shared" ca="1" si="47"/>
        <v>0</v>
      </c>
      <c r="I129" s="63">
        <f ca="1">SUM(C22:H22)/SUM(C$37:H$37)</f>
        <v>9.563737862046489E-3</v>
      </c>
    </row>
    <row r="130" spans="1:9" s="7" customFormat="1" hidden="1" x14ac:dyDescent="0.2">
      <c r="A130" s="30" t="str">
        <f>A23</f>
        <v>Other PP&amp;E</v>
      </c>
      <c r="B130" s="67">
        <f t="shared" ref="B130:H130" si="48">B23/B$37</f>
        <v>0</v>
      </c>
      <c r="C130" s="83">
        <f t="shared" si="48"/>
        <v>0</v>
      </c>
      <c r="D130" s="114">
        <f t="shared" ca="1" si="48"/>
        <v>0</v>
      </c>
      <c r="E130" s="83">
        <f t="shared" ca="1" si="48"/>
        <v>0</v>
      </c>
      <c r="F130" s="83">
        <f t="shared" ca="1" si="48"/>
        <v>0</v>
      </c>
      <c r="G130" s="83">
        <f t="shared" ca="1" si="48"/>
        <v>0</v>
      </c>
      <c r="H130" s="83">
        <f t="shared" ca="1" si="48"/>
        <v>0</v>
      </c>
      <c r="I130" s="63">
        <f ca="1">SUM(C23:H23)/SUM(C$37:H$37)</f>
        <v>0</v>
      </c>
    </row>
    <row r="131" spans="1:9" s="7" customFormat="1" hidden="1" x14ac:dyDescent="0.2">
      <c r="A131" s="30" t="str">
        <f>A24</f>
        <v>Total Plant &amp; Equipment:</v>
      </c>
      <c r="B131" s="84">
        <f t="shared" ref="B131:H131" si="49">B24/B$37</f>
        <v>1.6000012779554307</v>
      </c>
      <c r="C131" s="63">
        <f t="shared" si="49"/>
        <v>1.6541835739935253</v>
      </c>
      <c r="D131" s="113">
        <f t="shared" ca="1" si="49"/>
        <v>1.6749881748834246</v>
      </c>
      <c r="E131" s="63">
        <f t="shared" ca="1" si="49"/>
        <v>1.6727781420640524</v>
      </c>
      <c r="F131" s="63">
        <f t="shared" ca="1" si="49"/>
        <v>1.6745158231415784</v>
      </c>
      <c r="G131" s="63">
        <f t="shared" ca="1" si="49"/>
        <v>1.6807255514500916</v>
      </c>
      <c r="H131" s="63">
        <f t="shared" ca="1" si="49"/>
        <v>1.6919873866973509</v>
      </c>
      <c r="I131" s="85">
        <f ca="1">SUM(C24:H24)/SUM(C$37:H$37)</f>
        <v>1.6754900928733134</v>
      </c>
    </row>
    <row r="132" spans="1:9" s="7" customFormat="1" hidden="1" x14ac:dyDescent="0.2">
      <c r="A132" s="30"/>
      <c r="B132" s="84"/>
      <c r="C132" s="63"/>
      <c r="D132" s="113"/>
      <c r="E132" s="63"/>
      <c r="F132" s="63"/>
      <c r="G132" s="63"/>
      <c r="H132" s="63"/>
      <c r="I132" s="63"/>
    </row>
    <row r="133" spans="1:9" s="7" customFormat="1" hidden="1" x14ac:dyDescent="0.2">
      <c r="A133" s="30" t="str">
        <f>A26</f>
        <v>Accumulated Depreciation &amp; Amort.</v>
      </c>
      <c r="B133" s="84">
        <f t="shared" ref="B133:H133" si="50">B26/B$37</f>
        <v>0.76429647288035429</v>
      </c>
      <c r="C133" s="63">
        <f t="shared" si="50"/>
        <v>0.81311423270562033</v>
      </c>
      <c r="D133" s="113">
        <f t="shared" ca="1" si="50"/>
        <v>0.87396499065274091</v>
      </c>
      <c r="E133" s="63">
        <f t="shared" ca="1" si="50"/>
        <v>0.87281185337016931</v>
      </c>
      <c r="F133" s="63">
        <f t="shared" ca="1" si="50"/>
        <v>0.87371852987657705</v>
      </c>
      <c r="G133" s="63">
        <f t="shared" ca="1" si="50"/>
        <v>0.87695860358246058</v>
      </c>
      <c r="H133" s="63">
        <f t="shared" ca="1" si="50"/>
        <v>0.88283473446158678</v>
      </c>
      <c r="I133" s="63">
        <f ca="1">SUM(C26:H26)/SUM(C$37:H$37)</f>
        <v>0.86661958461649191</v>
      </c>
    </row>
    <row r="134" spans="1:9" s="7" customFormat="1" hidden="1" x14ac:dyDescent="0.2">
      <c r="A134" s="30"/>
      <c r="B134" s="84"/>
      <c r="C134" s="63"/>
      <c r="D134" s="113"/>
      <c r="E134" s="63"/>
      <c r="F134" s="63"/>
      <c r="G134" s="63"/>
      <c r="H134" s="63"/>
      <c r="I134" s="63"/>
    </row>
    <row r="135" spans="1:9" s="7" customFormat="1" hidden="1" x14ac:dyDescent="0.2">
      <c r="A135" s="30" t="str">
        <f>A28</f>
        <v>Net Plant &amp; Equipment</v>
      </c>
      <c r="B135" s="84">
        <f t="shared" ref="B135:H135" si="51">B28/B$37</f>
        <v>0.83570480507507638</v>
      </c>
      <c r="C135" s="63">
        <f t="shared" si="51"/>
        <v>0.841069341287905</v>
      </c>
      <c r="D135" s="113">
        <f t="shared" ca="1" si="51"/>
        <v>0.80102318423068353</v>
      </c>
      <c r="E135" s="63">
        <f t="shared" ca="1" si="51"/>
        <v>0.7999662886938832</v>
      </c>
      <c r="F135" s="63">
        <f t="shared" ca="1" si="51"/>
        <v>0.80079729326500149</v>
      </c>
      <c r="G135" s="63">
        <f t="shared" ca="1" si="51"/>
        <v>0.80376694786763103</v>
      </c>
      <c r="H135" s="63">
        <f t="shared" ca="1" si="51"/>
        <v>0.80915265223576416</v>
      </c>
      <c r="I135" s="63">
        <f ca="1">SUM(C28:H28)/SUM(C$37:H$37)</f>
        <v>0.80887050825682116</v>
      </c>
    </row>
    <row r="136" spans="1:9" s="7" customFormat="1" hidden="1" x14ac:dyDescent="0.2">
      <c r="A136" s="30"/>
      <c r="B136" s="84"/>
      <c r="C136" s="63"/>
      <c r="D136" s="113"/>
      <c r="E136" s="63"/>
      <c r="F136" s="63"/>
      <c r="G136" s="63"/>
      <c r="H136" s="63"/>
      <c r="I136" s="63"/>
    </row>
    <row r="137" spans="1:9" s="7" customFormat="1" hidden="1" x14ac:dyDescent="0.2">
      <c r="A137" s="30" t="str">
        <f>A30</f>
        <v>Other Assets:</v>
      </c>
      <c r="B137" s="84"/>
      <c r="C137" s="63"/>
      <c r="D137" s="113"/>
      <c r="E137" s="63"/>
      <c r="F137" s="63"/>
      <c r="G137" s="63"/>
      <c r="H137" s="63"/>
      <c r="I137" s="63"/>
    </row>
    <row r="138" spans="1:9" s="7" customFormat="1" hidden="1" x14ac:dyDescent="0.2">
      <c r="A138" s="30" t="str">
        <f>A31</f>
        <v>Regulatory Assets</v>
      </c>
      <c r="B138" s="84">
        <f t="shared" ref="B138:H138" si="52">B31/B$37</f>
        <v>0</v>
      </c>
      <c r="C138" s="63">
        <f t="shared" si="52"/>
        <v>0</v>
      </c>
      <c r="D138" s="113">
        <f t="shared" ca="1" si="52"/>
        <v>0</v>
      </c>
      <c r="E138" s="63">
        <f t="shared" ca="1" si="52"/>
        <v>0</v>
      </c>
      <c r="F138" s="63">
        <f t="shared" ca="1" si="52"/>
        <v>0</v>
      </c>
      <c r="G138" s="63">
        <f t="shared" ca="1" si="52"/>
        <v>0</v>
      </c>
      <c r="H138" s="63">
        <f t="shared" ca="1" si="52"/>
        <v>0</v>
      </c>
      <c r="I138" s="63">
        <f ca="1">SUM(C31:H31)/SUM(C$37:H$37)</f>
        <v>0</v>
      </c>
    </row>
    <row r="139" spans="1:9" s="7" customFormat="1" hidden="1" x14ac:dyDescent="0.2">
      <c r="A139" s="30" t="str">
        <f>A33</f>
        <v>Non-utility Property</v>
      </c>
      <c r="B139" s="84">
        <f t="shared" ref="B139:H139" si="53">B33/B$37</f>
        <v>4.8948182517096698E-4</v>
      </c>
      <c r="C139" s="63">
        <f t="shared" si="53"/>
        <v>4.9973771924313856E-4</v>
      </c>
      <c r="D139" s="113">
        <f t="shared" ca="1" si="53"/>
        <v>4.8589711582692124E-4</v>
      </c>
      <c r="E139" s="63">
        <f t="shared" ca="1" si="53"/>
        <v>4.6595617367656359E-4</v>
      </c>
      <c r="F139" s="63">
        <f t="shared" ca="1" si="53"/>
        <v>4.4788872566707414E-4</v>
      </c>
      <c r="G139" s="63">
        <f t="shared" ca="1" si="53"/>
        <v>4.3166995965091649E-4</v>
      </c>
      <c r="H139" s="63">
        <f t="shared" ca="1" si="53"/>
        <v>4.1727877501811336E-4</v>
      </c>
      <c r="I139" s="63">
        <f ca="1">SUM(C33:H33)/SUM(C$37:H$37)</f>
        <v>4.5623960369807259E-4</v>
      </c>
    </row>
    <row r="140" spans="1:9" s="7" customFormat="1" hidden="1" x14ac:dyDescent="0.2">
      <c r="A140" s="30"/>
      <c r="B140" s="84"/>
      <c r="C140" s="63"/>
      <c r="D140" s="113"/>
      <c r="E140" s="63"/>
      <c r="F140" s="63"/>
      <c r="G140" s="63"/>
      <c r="H140" s="63"/>
      <c r="I140" s="63"/>
    </row>
    <row r="141" spans="1:9" s="7" customFormat="1" hidden="1" x14ac:dyDescent="0.2">
      <c r="A141" s="30"/>
      <c r="B141" s="84"/>
      <c r="C141" s="63"/>
      <c r="D141" s="113"/>
      <c r="E141" s="63"/>
      <c r="F141" s="63"/>
      <c r="G141" s="63"/>
      <c r="H141" s="63"/>
      <c r="I141" s="63"/>
    </row>
    <row r="142" spans="1:9" s="7" customFormat="1" hidden="1" x14ac:dyDescent="0.2">
      <c r="A142" s="30" t="str">
        <f>A34</f>
        <v>Investment in associated organizations</v>
      </c>
      <c r="B142" s="84">
        <f t="shared" ref="B142:H142" si="54">B34/B$37</f>
        <v>3.1079876073176558E-2</v>
      </c>
      <c r="C142" s="63">
        <f t="shared" si="54"/>
        <v>3.4586789513666706E-2</v>
      </c>
      <c r="D142" s="113">
        <f t="shared" ca="1" si="54"/>
        <v>3.5541245997597538E-2</v>
      </c>
      <c r="E142" s="63">
        <f t="shared" ca="1" si="54"/>
        <v>3.6020820871994409E-2</v>
      </c>
      <c r="F142" s="63">
        <f t="shared" ca="1" si="54"/>
        <v>3.4624113745594924E-2</v>
      </c>
      <c r="G142" s="63">
        <f t="shared" ca="1" si="54"/>
        <v>3.435136141811039E-2</v>
      </c>
      <c r="H142" s="63">
        <f t="shared" ca="1" si="54"/>
        <v>3.4261025726418697E-2</v>
      </c>
      <c r="I142" s="63">
        <f ca="1">SUM(C36:H36)/SUM(C$37:H$37)</f>
        <v>0.84427620475102039</v>
      </c>
    </row>
    <row r="143" spans="1:9" s="7" customFormat="1" hidden="1" x14ac:dyDescent="0.2">
      <c r="A143" s="30" t="str">
        <f>A35</f>
        <v>Total Other Assets</v>
      </c>
      <c r="B143" s="67">
        <f>B35/B$37</f>
        <v>3.204427601065632E-2</v>
      </c>
      <c r="C143" s="83">
        <f t="shared" ref="C143:H143" si="55">C34/C$37</f>
        <v>3.4586789513666706E-2</v>
      </c>
      <c r="D143" s="114">
        <f t="shared" ca="1" si="55"/>
        <v>3.5541245997597538E-2</v>
      </c>
      <c r="E143" s="83">
        <f t="shared" ca="1" si="55"/>
        <v>3.6020820871994409E-2</v>
      </c>
      <c r="F143" s="83">
        <f t="shared" ca="1" si="55"/>
        <v>3.4624113745594924E-2</v>
      </c>
      <c r="G143" s="83">
        <f t="shared" ca="1" si="55"/>
        <v>3.435136141811039E-2</v>
      </c>
      <c r="H143" s="83">
        <f t="shared" ca="1" si="55"/>
        <v>3.4261025726418697E-2</v>
      </c>
      <c r="I143" s="63">
        <f ca="1">SUM(C37:H37)/SUM(C$37:H$37)</f>
        <v>1</v>
      </c>
    </row>
    <row r="144" spans="1:9" s="7" customFormat="1" hidden="1" x14ac:dyDescent="0.2">
      <c r="A144" s="30" t="str">
        <f>A36</f>
        <v>Total Non-Current Assets</v>
      </c>
      <c r="B144" s="71">
        <f>B36/B$37</f>
        <v>0.86774908108573268</v>
      </c>
      <c r="C144" s="83">
        <f t="shared" ref="C144:H144" si="56">C36/C$37</f>
        <v>0.87648878695224086</v>
      </c>
      <c r="D144" s="114">
        <f t="shared" ca="1" si="56"/>
        <v>0.83719806939331287</v>
      </c>
      <c r="E144" s="83">
        <f t="shared" ca="1" si="56"/>
        <v>0.83645306573955425</v>
      </c>
      <c r="F144" s="83">
        <f t="shared" ca="1" si="56"/>
        <v>0.83586929573626345</v>
      </c>
      <c r="G144" s="83">
        <f t="shared" ca="1" si="56"/>
        <v>0.83854997924539232</v>
      </c>
      <c r="H144" s="83">
        <f t="shared" ca="1" si="56"/>
        <v>0.84383095673720099</v>
      </c>
      <c r="I144" s="71">
        <f ca="1">SUM(C36:H36)/SUM(C$37:H$37)</f>
        <v>0.84427620475102039</v>
      </c>
    </row>
    <row r="145" spans="1:9" s="7" customFormat="1" ht="13.5" hidden="1" thickBot="1" x14ac:dyDescent="0.25">
      <c r="A145" s="30" t="str">
        <f>A37</f>
        <v>Total Assets</v>
      </c>
      <c r="B145" s="75">
        <f>B37/B$37</f>
        <v>1</v>
      </c>
      <c r="C145" s="86">
        <f t="shared" ref="C145:H145" si="57">C37/C$37</f>
        <v>1</v>
      </c>
      <c r="D145" s="115">
        <f t="shared" ca="1" si="57"/>
        <v>1</v>
      </c>
      <c r="E145" s="86">
        <f t="shared" ca="1" si="57"/>
        <v>1</v>
      </c>
      <c r="F145" s="86">
        <f t="shared" ca="1" si="57"/>
        <v>1</v>
      </c>
      <c r="G145" s="86">
        <f t="shared" ca="1" si="57"/>
        <v>1</v>
      </c>
      <c r="H145" s="86">
        <f t="shared" ca="1" si="57"/>
        <v>1</v>
      </c>
      <c r="I145" s="72">
        <f ca="1">SUM(C37:H37)/SUM(C$37:H$37)</f>
        <v>1</v>
      </c>
    </row>
    <row r="146" spans="1:9" s="7" customFormat="1" ht="13.5" hidden="1" thickTop="1" x14ac:dyDescent="0.2">
      <c r="A146" s="30"/>
      <c r="B146" s="84"/>
      <c r="C146" s="63"/>
      <c r="D146" s="113"/>
      <c r="E146" s="63"/>
      <c r="F146" s="63"/>
      <c r="G146" s="63"/>
      <c r="H146" s="63"/>
      <c r="I146" s="104"/>
    </row>
    <row r="147" spans="1:9" s="7" customFormat="1" hidden="1" x14ac:dyDescent="0.2">
      <c r="A147" s="30" t="str">
        <f t="shared" ref="A147:A154" si="58">A39</f>
        <v>Current Liabilities:</v>
      </c>
      <c r="B147" s="84"/>
      <c r="C147" s="63"/>
      <c r="D147" s="113"/>
      <c r="E147" s="63"/>
      <c r="F147" s="63"/>
      <c r="G147" s="63"/>
      <c r="H147" s="63"/>
      <c r="I147" s="63"/>
    </row>
    <row r="148" spans="1:9" s="7" customFormat="1" hidden="1" x14ac:dyDescent="0.2">
      <c r="A148" s="30" t="str">
        <f t="shared" si="58"/>
        <v>Current Portion of LTD</v>
      </c>
      <c r="B148" s="84">
        <f t="shared" ref="B148:H148" si="59">B40/B$37</f>
        <v>2.1500936247575153E-2</v>
      </c>
      <c r="C148" s="63">
        <f t="shared" si="59"/>
        <v>2.1028761585372906E-2</v>
      </c>
      <c r="D148" s="113">
        <f t="shared" ca="1" si="59"/>
        <v>1.5649325691372031E-2</v>
      </c>
      <c r="E148" s="63">
        <f t="shared" ca="1" si="59"/>
        <v>1.4060267841947284E-2</v>
      </c>
      <c r="F148" s="63">
        <f t="shared" ca="1" si="59"/>
        <v>1.2662395368326737E-2</v>
      </c>
      <c r="G148" s="63">
        <f t="shared" ca="1" si="59"/>
        <v>1.1433910322852365E-2</v>
      </c>
      <c r="H148" s="63">
        <f t="shared" ca="1" si="59"/>
        <v>1.0355390135797846E-2</v>
      </c>
      <c r="I148" s="63">
        <f t="shared" ref="I148:I154" ca="1" si="60">SUM(C40:H40)/SUM(C$37:H$37)</f>
        <v>1.3994173311320324E-2</v>
      </c>
    </row>
    <row r="149" spans="1:9" s="7" customFormat="1" hidden="1" x14ac:dyDescent="0.2">
      <c r="A149" s="30" t="str">
        <f t="shared" si="58"/>
        <v>Acounts Payable</v>
      </c>
      <c r="B149" s="84">
        <f t="shared" ref="B149:H149" si="61">B41/B$37</f>
        <v>5.4503180926498598E-2</v>
      </c>
      <c r="C149" s="63">
        <f>C41/C$37</f>
        <v>6.2060799403280034E-2</v>
      </c>
      <c r="D149" s="113">
        <f t="shared" ca="1" si="61"/>
        <v>5.9792727855057175E-2</v>
      </c>
      <c r="E149" s="63">
        <f t="shared" ca="1" si="61"/>
        <v>5.9302926134831235E-2</v>
      </c>
      <c r="F149" s="63">
        <f t="shared" ca="1" si="61"/>
        <v>5.8956024374329022E-2</v>
      </c>
      <c r="G149" s="63">
        <f t="shared" ca="1" si="61"/>
        <v>5.8767456246140604E-2</v>
      </c>
      <c r="H149" s="63">
        <f t="shared" ca="1" si="61"/>
        <v>5.8754125605671538E-2</v>
      </c>
      <c r="I149" s="63">
        <f t="shared" ca="1" si="60"/>
        <v>5.9545987791809196E-2</v>
      </c>
    </row>
    <row r="150" spans="1:9" s="7" customFormat="1" hidden="1" x14ac:dyDescent="0.2">
      <c r="A150" s="30" t="str">
        <f t="shared" si="58"/>
        <v>Accrued Expenses</v>
      </c>
      <c r="B150" s="84">
        <f t="shared" ref="B150:H150" si="62">B42/B$37</f>
        <v>2.1012408739771223E-2</v>
      </c>
      <c r="C150" s="63">
        <f t="shared" si="62"/>
        <v>2.1502997727351963E-2</v>
      </c>
      <c r="D150" s="113">
        <f t="shared" ca="1" si="62"/>
        <v>2.1241975704111436E-2</v>
      </c>
      <c r="E150" s="63">
        <f t="shared" ca="1" si="62"/>
        <v>2.0696140537551672E-2</v>
      </c>
      <c r="F150" s="63">
        <f t="shared" ca="1" si="62"/>
        <v>2.0211946169670075E-2</v>
      </c>
      <c r="G150" s="63">
        <f t="shared" ca="1" si="62"/>
        <v>1.979171995036464E-2</v>
      </c>
      <c r="H150" s="63">
        <f t="shared" ca="1" si="62"/>
        <v>1.9438006058326216E-2</v>
      </c>
      <c r="I150" s="63">
        <f t="shared" ca="1" si="60"/>
        <v>2.0433544001364476E-2</v>
      </c>
    </row>
    <row r="151" spans="1:9" s="7" customFormat="1" hidden="1" x14ac:dyDescent="0.2">
      <c r="A151" s="30" t="str">
        <f t="shared" si="58"/>
        <v>Customer Deposits</v>
      </c>
      <c r="B151" s="84">
        <f>B43/B$37</f>
        <v>0</v>
      </c>
      <c r="C151" s="63">
        <f t="shared" ref="C151:H151" si="63">C43/C$37</f>
        <v>0</v>
      </c>
      <c r="D151" s="113">
        <f t="shared" ca="1" si="63"/>
        <v>0</v>
      </c>
      <c r="E151" s="63">
        <f t="shared" ca="1" si="63"/>
        <v>0</v>
      </c>
      <c r="F151" s="63">
        <f t="shared" ca="1" si="63"/>
        <v>0</v>
      </c>
      <c r="G151" s="63">
        <f t="shared" ca="1" si="63"/>
        <v>0</v>
      </c>
      <c r="H151" s="63">
        <f t="shared" ca="1" si="63"/>
        <v>0</v>
      </c>
      <c r="I151" s="63">
        <f t="shared" ca="1" si="60"/>
        <v>0</v>
      </c>
    </row>
    <row r="152" spans="1:9" s="7" customFormat="1" hidden="1" x14ac:dyDescent="0.2">
      <c r="A152" s="30" t="str">
        <f t="shared" si="58"/>
        <v>Line of Credit</v>
      </c>
      <c r="B152" s="84">
        <f>B44/B$37</f>
        <v>0</v>
      </c>
      <c r="C152" s="63">
        <f t="shared" ref="C152:H152" si="64">C44/C$37</f>
        <v>0</v>
      </c>
      <c r="D152" s="113">
        <f t="shared" ca="1" si="64"/>
        <v>0</v>
      </c>
      <c r="E152" s="63">
        <f t="shared" ca="1" si="64"/>
        <v>0</v>
      </c>
      <c r="F152" s="63">
        <f t="shared" ca="1" si="64"/>
        <v>0</v>
      </c>
      <c r="G152" s="63">
        <f t="shared" ca="1" si="64"/>
        <v>0</v>
      </c>
      <c r="H152" s="63">
        <f t="shared" ca="1" si="64"/>
        <v>0</v>
      </c>
      <c r="I152" s="63">
        <f t="shared" ca="1" si="60"/>
        <v>0</v>
      </c>
    </row>
    <row r="153" spans="1:9" s="7" customFormat="1" hidden="1" x14ac:dyDescent="0.2">
      <c r="A153" s="30" t="str">
        <f t="shared" si="58"/>
        <v>Other Current and Accrued Liabilities</v>
      </c>
      <c r="B153" s="67">
        <f>B45/B$37</f>
        <v>0</v>
      </c>
      <c r="C153" s="83">
        <f t="shared" ref="C153:H153" si="65">C45/C$37</f>
        <v>0</v>
      </c>
      <c r="D153" s="114">
        <f t="shared" ca="1" si="65"/>
        <v>0</v>
      </c>
      <c r="E153" s="83">
        <f t="shared" ca="1" si="65"/>
        <v>0</v>
      </c>
      <c r="F153" s="83">
        <f t="shared" ca="1" si="65"/>
        <v>0</v>
      </c>
      <c r="G153" s="83">
        <f t="shared" ca="1" si="65"/>
        <v>0</v>
      </c>
      <c r="H153" s="83">
        <f t="shared" ca="1" si="65"/>
        <v>0</v>
      </c>
      <c r="I153" s="63">
        <f t="shared" ca="1" si="60"/>
        <v>0</v>
      </c>
    </row>
    <row r="154" spans="1:9" s="7" customFormat="1" hidden="1" x14ac:dyDescent="0.2">
      <c r="A154" s="30" t="str">
        <f t="shared" si="58"/>
        <v>Total Current Liabilities</v>
      </c>
      <c r="B154" s="84">
        <f>B46/B$37</f>
        <v>9.7016525913844978E-2</v>
      </c>
      <c r="C154" s="63">
        <f t="shared" ref="C154:H154" si="66">C46/C$37</f>
        <v>0.10459255871600491</v>
      </c>
      <c r="D154" s="113">
        <f t="shared" ca="1" si="66"/>
        <v>9.6684029250540648E-2</v>
      </c>
      <c r="E154" s="63">
        <f t="shared" ca="1" si="66"/>
        <v>9.4059334514330198E-2</v>
      </c>
      <c r="F154" s="63">
        <f t="shared" ca="1" si="66"/>
        <v>9.1830365912325837E-2</v>
      </c>
      <c r="G154" s="63">
        <f t="shared" ca="1" si="66"/>
        <v>8.9993086519357599E-2</v>
      </c>
      <c r="H154" s="63">
        <f t="shared" ca="1" si="66"/>
        <v>8.8547521799795595E-2</v>
      </c>
      <c r="I154" s="85">
        <f t="shared" ca="1" si="60"/>
        <v>9.3973705104493988E-2</v>
      </c>
    </row>
    <row r="155" spans="1:9" s="7" customFormat="1" hidden="1" x14ac:dyDescent="0.2">
      <c r="A155" s="30"/>
      <c r="B155" s="84"/>
      <c r="C155" s="63"/>
      <c r="D155" s="113"/>
      <c r="E155" s="63"/>
      <c r="F155" s="63"/>
      <c r="G155" s="63"/>
      <c r="H155" s="30"/>
      <c r="I155" s="63"/>
    </row>
    <row r="156" spans="1:9" s="7" customFormat="1" hidden="1" x14ac:dyDescent="0.2">
      <c r="A156" s="30" t="str">
        <f>A48</f>
        <v>Long-Term Debt</v>
      </c>
      <c r="B156" s="84">
        <f>B48/B$37</f>
        <v>0.27023965025181323</v>
      </c>
      <c r="C156" s="84">
        <f t="shared" ref="C156:H156" si="67">C48/C$37</f>
        <v>0.25510744276240882</v>
      </c>
      <c r="D156" s="113">
        <f t="shared" ca="1" si="67"/>
        <v>0.23239272895275065</v>
      </c>
      <c r="E156" s="84">
        <f t="shared" ca="1" si="67"/>
        <v>0.20879519527146206</v>
      </c>
      <c r="F156" s="84">
        <f t="shared" ca="1" si="67"/>
        <v>0.18803676738266725</v>
      </c>
      <c r="G156" s="84">
        <f t="shared" ca="1" si="67"/>
        <v>0.16979374542595546</v>
      </c>
      <c r="H156" s="84">
        <f t="shared" ca="1" si="67"/>
        <v>0.15377770394000081</v>
      </c>
      <c r="I156" s="63">
        <f ca="1">SUM(C48:H48)/SUM(C$37:H$37)</f>
        <v>0.19911472240856687</v>
      </c>
    </row>
    <row r="157" spans="1:9" s="7" customFormat="1" hidden="1" x14ac:dyDescent="0.2">
      <c r="A157" s="30" t="str">
        <f>A49</f>
        <v>Deferred Income Taxes</v>
      </c>
      <c r="B157" s="84">
        <f>B49/B$37</f>
        <v>0</v>
      </c>
      <c r="C157" s="63">
        <f t="shared" ref="C157:H157" si="68">C49/C$37</f>
        <v>0</v>
      </c>
      <c r="D157" s="113">
        <f t="shared" ca="1" si="68"/>
        <v>0</v>
      </c>
      <c r="E157" s="63">
        <f t="shared" ca="1" si="68"/>
        <v>0</v>
      </c>
      <c r="F157" s="63">
        <f t="shared" ca="1" si="68"/>
        <v>0</v>
      </c>
      <c r="G157" s="63">
        <f t="shared" ca="1" si="68"/>
        <v>0</v>
      </c>
      <c r="H157" s="63">
        <f t="shared" ca="1" si="68"/>
        <v>0</v>
      </c>
      <c r="I157" s="63">
        <f ca="1">SUM(C49:H49)/SUM(C$37:H$37)</f>
        <v>0</v>
      </c>
    </row>
    <row r="158" spans="1:9" s="7" customFormat="1" hidden="1" x14ac:dyDescent="0.2">
      <c r="A158" s="30" t="str">
        <f>A50</f>
        <v>Other Deferred Credits</v>
      </c>
      <c r="B158" s="84">
        <f>B50/B$37</f>
        <v>4.7284724362232813E-2</v>
      </c>
      <c r="C158" s="63">
        <f t="shared" ref="C158:H158" si="69">C50/C$37</f>
        <v>0</v>
      </c>
      <c r="D158" s="113">
        <f t="shared" ca="1" si="69"/>
        <v>0</v>
      </c>
      <c r="E158" s="63">
        <f t="shared" ca="1" si="69"/>
        <v>0</v>
      </c>
      <c r="F158" s="63">
        <f t="shared" ca="1" si="69"/>
        <v>0</v>
      </c>
      <c r="G158" s="63">
        <f t="shared" ca="1" si="69"/>
        <v>0</v>
      </c>
      <c r="H158" s="63">
        <f t="shared" ca="1" si="69"/>
        <v>0</v>
      </c>
      <c r="I158" s="63">
        <f ca="1">SUM(C50:H50)/SUM(C$37:H$37)</f>
        <v>0</v>
      </c>
    </row>
    <row r="159" spans="1:9" s="7" customFormat="1" hidden="1" x14ac:dyDescent="0.2">
      <c r="A159" s="30" t="str">
        <f>A51</f>
        <v>Additional Loans</v>
      </c>
      <c r="B159" s="67">
        <f>B51/B$37</f>
        <v>0</v>
      </c>
      <c r="C159" s="83">
        <f t="shared" ref="C159:H159" si="70">C51/C$37</f>
        <v>0</v>
      </c>
      <c r="D159" s="114">
        <f t="shared" ca="1" si="70"/>
        <v>0</v>
      </c>
      <c r="E159" s="83">
        <f t="shared" ca="1" si="70"/>
        <v>0</v>
      </c>
      <c r="F159" s="83">
        <f t="shared" ca="1" si="70"/>
        <v>0</v>
      </c>
      <c r="G159" s="83">
        <f t="shared" ca="1" si="70"/>
        <v>0</v>
      </c>
      <c r="H159" s="83">
        <f t="shared" ca="1" si="70"/>
        <v>0</v>
      </c>
      <c r="I159" s="63">
        <f ca="1">SUM(C51:H51)/SUM(C$37:H$37)</f>
        <v>0</v>
      </c>
    </row>
    <row r="160" spans="1:9" s="7" customFormat="1" hidden="1" x14ac:dyDescent="0.2">
      <c r="A160" s="30" t="str">
        <f>A52</f>
        <v>Total LTD &amp; Deferrals</v>
      </c>
      <c r="B160" s="84">
        <f>B52/B$37</f>
        <v>0.31752437461404603</v>
      </c>
      <c r="C160" s="63">
        <f t="shared" ref="C160:H160" si="71">C52/C$37</f>
        <v>0.25510744276240882</v>
      </c>
      <c r="D160" s="113">
        <f t="shared" ca="1" si="71"/>
        <v>0.23239272895275065</v>
      </c>
      <c r="E160" s="63">
        <f t="shared" ca="1" si="71"/>
        <v>0.20879519527146206</v>
      </c>
      <c r="F160" s="63">
        <f t="shared" ca="1" si="71"/>
        <v>0.18803676738266725</v>
      </c>
      <c r="G160" s="63">
        <f t="shared" ca="1" si="71"/>
        <v>0.16979374542595546</v>
      </c>
      <c r="H160" s="63">
        <f t="shared" ca="1" si="71"/>
        <v>0.15377770394000081</v>
      </c>
      <c r="I160" s="85">
        <f ca="1">SUM(C52:H52)/SUM(C$37:H$37)</f>
        <v>0.19911472240856687</v>
      </c>
    </row>
    <row r="161" spans="1:19" s="7" customFormat="1" hidden="1" x14ac:dyDescent="0.2">
      <c r="A161" s="30"/>
      <c r="B161" s="84"/>
      <c r="C161" s="63"/>
      <c r="D161" s="113"/>
      <c r="E161" s="63"/>
      <c r="F161" s="63"/>
      <c r="G161" s="63"/>
      <c r="H161" s="30"/>
      <c r="I161" s="63"/>
    </row>
    <row r="162" spans="1:19" s="7" customFormat="1" hidden="1" x14ac:dyDescent="0.2">
      <c r="A162" s="30" t="str">
        <f>A54</f>
        <v>Total Liabilities</v>
      </c>
      <c r="B162" s="84">
        <f t="shared" ref="B162:H162" si="72">B54/B$37</f>
        <v>0.414540900527891</v>
      </c>
      <c r="C162" s="63">
        <f t="shared" si="72"/>
        <v>0.35970000147841369</v>
      </c>
      <c r="D162" s="113">
        <f t="shared" ca="1" si="72"/>
        <v>0.3290767582032913</v>
      </c>
      <c r="E162" s="63">
        <f t="shared" ca="1" si="72"/>
        <v>0.30285452978579225</v>
      </c>
      <c r="F162" s="63">
        <f t="shared" ca="1" si="72"/>
        <v>0.27986713329499313</v>
      </c>
      <c r="G162" s="63">
        <f t="shared" ca="1" si="72"/>
        <v>0.2597868319453131</v>
      </c>
      <c r="H162" s="63">
        <f t="shared" ca="1" si="72"/>
        <v>0.2423252257397964</v>
      </c>
      <c r="I162" s="63">
        <f ca="1">SUM(C54:H54)/SUM(C$37:H$37)</f>
        <v>0.29308842751306086</v>
      </c>
    </row>
    <row r="163" spans="1:19" s="7" customFormat="1" hidden="1" x14ac:dyDescent="0.2">
      <c r="A163" s="30"/>
      <c r="B163" s="84"/>
      <c r="C163" s="63"/>
      <c r="D163" s="113"/>
      <c r="E163" s="63"/>
      <c r="F163" s="63"/>
      <c r="G163" s="63"/>
      <c r="H163" s="30"/>
      <c r="I163" s="63"/>
    </row>
    <row r="164" spans="1:19" s="7" customFormat="1" hidden="1" x14ac:dyDescent="0.2">
      <c r="A164" s="30" t="str">
        <f>A56</f>
        <v>Other Deferred Credit</v>
      </c>
      <c r="B164" s="84">
        <f t="shared" ref="B164:H164" si="73">B56/B$37</f>
        <v>0</v>
      </c>
      <c r="C164" s="63">
        <f t="shared" si="73"/>
        <v>0</v>
      </c>
      <c r="D164" s="113">
        <f t="shared" ca="1" si="73"/>
        <v>0</v>
      </c>
      <c r="E164" s="63">
        <f t="shared" ca="1" si="73"/>
        <v>0</v>
      </c>
      <c r="F164" s="63">
        <f t="shared" ca="1" si="73"/>
        <v>0</v>
      </c>
      <c r="G164" s="63">
        <f t="shared" ca="1" si="73"/>
        <v>0</v>
      </c>
      <c r="H164" s="63">
        <f t="shared" ca="1" si="73"/>
        <v>0</v>
      </c>
      <c r="I164" s="63">
        <f ca="1">SUM(C56:H56)/SUM(C$37:H$37)</f>
        <v>0</v>
      </c>
    </row>
    <row r="165" spans="1:19" s="7" customFormat="1" hidden="1" x14ac:dyDescent="0.2">
      <c r="A165" s="30"/>
      <c r="B165" s="84"/>
      <c r="C165" s="63"/>
      <c r="D165" s="113"/>
      <c r="E165" s="63"/>
      <c r="F165" s="63"/>
      <c r="G165" s="63"/>
      <c r="H165" s="30"/>
      <c r="I165" s="63"/>
    </row>
    <row r="166" spans="1:19" s="7" customFormat="1" hidden="1" x14ac:dyDescent="0.2">
      <c r="A166" s="30" t="str">
        <f>A58</f>
        <v>Common Equity:</v>
      </c>
      <c r="B166" s="84"/>
      <c r="C166" s="63"/>
      <c r="D166" s="113"/>
      <c r="E166" s="63"/>
      <c r="F166" s="63"/>
      <c r="G166" s="63"/>
      <c r="H166" s="30"/>
      <c r="I166" s="63"/>
    </row>
    <row r="167" spans="1:19" s="7" customFormat="1" hidden="1" x14ac:dyDescent="0.2">
      <c r="A167" s="30" t="str">
        <f t="shared" ref="A167:A170" si="74">A60</f>
        <v>Patrons Capital</v>
      </c>
      <c r="B167" s="84">
        <f t="shared" ref="B167:H167" si="75">B60/B$37</f>
        <v>0.54602496319965521</v>
      </c>
      <c r="C167" s="63">
        <f t="shared" si="75"/>
        <v>0.5963300265017305</v>
      </c>
      <c r="D167" s="113">
        <f t="shared" ca="1" si="75"/>
        <v>0.59592523706633482</v>
      </c>
      <c r="E167" s="63">
        <f t="shared" ca="1" si="75"/>
        <v>0.57146880320161753</v>
      </c>
      <c r="F167" s="63">
        <f t="shared" ca="1" si="75"/>
        <v>0.54931010357666676</v>
      </c>
      <c r="G167" s="63">
        <f t="shared" ca="1" si="75"/>
        <v>0.529418707500661</v>
      </c>
      <c r="H167" s="63">
        <f t="shared" ca="1" si="75"/>
        <v>0.51176873627295882</v>
      </c>
      <c r="I167" s="63">
        <f ca="1">SUM(C60:H60)/SUM(C$37:H$37)</f>
        <v>0.55703070695944668</v>
      </c>
    </row>
    <row r="168" spans="1:19" s="7" customFormat="1" hidden="1" x14ac:dyDescent="0.2">
      <c r="A168" s="30" t="str">
        <f t="shared" si="74"/>
        <v>Retained Earnings</v>
      </c>
      <c r="B168" s="67">
        <f t="shared" ref="B168:H168" si="76">B61/B$37</f>
        <v>0</v>
      </c>
      <c r="C168" s="83">
        <f t="shared" si="76"/>
        <v>0</v>
      </c>
      <c r="D168" s="114">
        <f t="shared" ca="1" si="76"/>
        <v>3.224581351447639E-2</v>
      </c>
      <c r="E168" s="83">
        <f t="shared" ca="1" si="76"/>
        <v>8.4679001525735861E-2</v>
      </c>
      <c r="F168" s="83">
        <f t="shared" ca="1" si="76"/>
        <v>0.13141478195983244</v>
      </c>
      <c r="G168" s="83">
        <f t="shared" ca="1" si="76"/>
        <v>0.17281350539273083</v>
      </c>
      <c r="H168" s="83">
        <f t="shared" ca="1" si="76"/>
        <v>0.20919130708535022</v>
      </c>
      <c r="I168" s="63">
        <f ca="1">SUM(C61:H61)/SUM(C$37:H$37)</f>
        <v>0.10973812316461523</v>
      </c>
    </row>
    <row r="169" spans="1:19" s="7" customFormat="1" hidden="1" x14ac:dyDescent="0.2">
      <c r="A169" s="30" t="str">
        <f t="shared" si="74"/>
        <v>Total Patronage Equity</v>
      </c>
      <c r="B169" s="84">
        <f t="shared" ref="B169:H169" si="77">B62/B$37</f>
        <v>0.58545909947210895</v>
      </c>
      <c r="C169" s="84">
        <f t="shared" si="77"/>
        <v>0.64029999852158626</v>
      </c>
      <c r="D169" s="113">
        <f t="shared" ca="1" si="77"/>
        <v>0.6709232419098865</v>
      </c>
      <c r="E169" s="84">
        <f t="shared" ca="1" si="77"/>
        <v>0.69714547036297347</v>
      </c>
      <c r="F169" s="84">
        <f t="shared" ca="1" si="77"/>
        <v>0.72013286691804568</v>
      </c>
      <c r="G169" s="84">
        <f t="shared" ca="1" si="77"/>
        <v>0.74021316833619766</v>
      </c>
      <c r="H169" s="84">
        <f t="shared" ca="1" si="77"/>
        <v>0.75767477461736654</v>
      </c>
      <c r="I169" s="85">
        <f ca="1">SUM(C62:H62)/SUM(C$37:H$37)</f>
        <v>0.70691157267977067</v>
      </c>
    </row>
    <row r="170" spans="1:19" s="7" customFormat="1" ht="13.5" hidden="1" thickBot="1" x14ac:dyDescent="0.25">
      <c r="A170" s="30" t="str">
        <f t="shared" si="74"/>
        <v>Total Liabilities &amp; Equity</v>
      </c>
      <c r="B170" s="214">
        <f t="shared" ref="B170:H170" si="78">B63/B$37</f>
        <v>1</v>
      </c>
      <c r="C170" s="215">
        <f t="shared" si="78"/>
        <v>1</v>
      </c>
      <c r="D170" s="115">
        <f t="shared" ca="1" si="78"/>
        <v>1.0000000001131779</v>
      </c>
      <c r="E170" s="86">
        <f t="shared" ca="1" si="78"/>
        <v>1.0000000001487657</v>
      </c>
      <c r="F170" s="86">
        <f t="shared" ca="1" si="78"/>
        <v>1.0000000002130387</v>
      </c>
      <c r="G170" s="86">
        <f t="shared" ca="1" si="78"/>
        <v>1.0000000002815108</v>
      </c>
      <c r="H170" s="86">
        <f t="shared" ca="1" si="78"/>
        <v>1.000000000357163</v>
      </c>
      <c r="I170" s="63">
        <f ca="1">SUM(C63:H63)/SUM(C$37:H$37)</f>
        <v>1.0000000001928315</v>
      </c>
    </row>
    <row r="171" spans="1:19" s="7" customFormat="1" ht="13.5" hidden="1" thickTop="1" x14ac:dyDescent="0.2">
      <c r="A171" s="30"/>
      <c r="B171" s="70"/>
      <c r="C171" s="30"/>
      <c r="D171" s="112"/>
      <c r="E171" s="30"/>
      <c r="F171" s="30"/>
      <c r="G171" s="30"/>
      <c r="H171" s="30"/>
      <c r="I171" s="104"/>
      <c r="K171" s="46">
        <v>2005</v>
      </c>
      <c r="L171" s="46">
        <f t="shared" ref="L171:S171" si="79">K171+1</f>
        <v>2006</v>
      </c>
      <c r="M171" s="46">
        <f t="shared" si="79"/>
        <v>2007</v>
      </c>
      <c r="N171" s="46">
        <f t="shared" si="79"/>
        <v>2008</v>
      </c>
      <c r="O171" s="46">
        <f t="shared" si="79"/>
        <v>2009</v>
      </c>
      <c r="P171" s="46">
        <f t="shared" si="79"/>
        <v>2010</v>
      </c>
      <c r="Q171" s="46">
        <f t="shared" si="79"/>
        <v>2011</v>
      </c>
      <c r="R171" s="46">
        <f t="shared" si="79"/>
        <v>2012</v>
      </c>
      <c r="S171" s="46">
        <f t="shared" si="79"/>
        <v>2013</v>
      </c>
    </row>
    <row r="172" spans="1:19" s="7" customFormat="1" hidden="1" x14ac:dyDescent="0.2">
      <c r="A172" s="30"/>
      <c r="B172" s="70"/>
      <c r="C172" s="30"/>
      <c r="D172" s="30"/>
      <c r="E172" s="30"/>
      <c r="F172" s="30"/>
      <c r="G172" s="30"/>
      <c r="H172" s="30"/>
      <c r="I172" s="63"/>
      <c r="K172" s="3" t="e">
        <f>+'Financial Statements'!#REF!-'Financial Statements'!#REF!</f>
        <v>#REF!</v>
      </c>
      <c r="L172" s="3" t="e">
        <f>+'Financial Statements'!#REF!-'Financial Statements'!#REF!</f>
        <v>#REF!</v>
      </c>
      <c r="M172" s="3" t="e">
        <f>+'Financial Statements'!#REF!-'Financial Statements'!#REF!</f>
        <v>#REF!</v>
      </c>
      <c r="N172" s="3" t="e">
        <f>+'Financial Statements'!#REF!-'Financial Statements'!#REF!</f>
        <v>#REF!</v>
      </c>
      <c r="O172" s="10">
        <f ca="1">D169-C169</f>
        <v>3.0623243388300248E-2</v>
      </c>
      <c r="P172" s="10">
        <f ca="1">E169-D169</f>
        <v>2.6222228453086971E-2</v>
      </c>
      <c r="Q172" s="10">
        <f ca="1">F169-E169</f>
        <v>2.2987396555072204E-2</v>
      </c>
      <c r="R172" s="10">
        <f ca="1">G169-F169</f>
        <v>2.008030141815198E-2</v>
      </c>
      <c r="S172" s="10">
        <f ca="1">H169-G169</f>
        <v>1.7461606281168884E-2</v>
      </c>
    </row>
    <row r="173" spans="1:19" s="7" customFormat="1" ht="15" hidden="1" x14ac:dyDescent="0.2">
      <c r="A173" s="30"/>
      <c r="B173" s="70"/>
      <c r="C173" s="30"/>
      <c r="D173" s="30"/>
      <c r="E173" s="30"/>
      <c r="F173" s="30"/>
      <c r="G173" s="30"/>
      <c r="H173" s="30"/>
      <c r="I173" s="105" t="str">
        <f>I110</f>
        <v>Exhibit 2</v>
      </c>
    </row>
    <row r="174" spans="1:19" s="7" customFormat="1" ht="15" hidden="1" x14ac:dyDescent="0.2">
      <c r="A174" s="30"/>
      <c r="B174" s="70"/>
      <c r="C174" s="30"/>
      <c r="D174" s="30"/>
      <c r="E174" s="30"/>
      <c r="F174" s="30"/>
      <c r="G174" s="30"/>
      <c r="H174" s="30"/>
      <c r="I174" s="105" t="s">
        <v>121</v>
      </c>
      <c r="M174" s="10" t="e">
        <f>AVERAGE(K172:N172)</f>
        <v>#REF!</v>
      </c>
      <c r="Q174" s="10">
        <f ca="1">AVERAGE(O172:S172)</f>
        <v>2.3474955219156057E-2</v>
      </c>
    </row>
    <row r="175" spans="1:19" s="7" customFormat="1" ht="18" hidden="1" x14ac:dyDescent="0.25">
      <c r="A175" s="76" t="str">
        <f>A3</f>
        <v>Bridger Valley Electric Association, Inc.</v>
      </c>
      <c r="B175" s="106"/>
      <c r="C175" s="53"/>
      <c r="D175" s="53"/>
      <c r="E175" s="53"/>
      <c r="F175" s="53"/>
      <c r="G175" s="53"/>
      <c r="H175" s="53"/>
      <c r="I175" s="54"/>
    </row>
    <row r="176" spans="1:19" s="7" customFormat="1" ht="15.75" hidden="1" x14ac:dyDescent="0.25">
      <c r="A176" s="77" t="s">
        <v>60</v>
      </c>
      <c r="B176" s="106"/>
      <c r="C176" s="53"/>
      <c r="D176" s="53"/>
      <c r="E176" s="53"/>
      <c r="F176" s="53"/>
      <c r="G176" s="53"/>
      <c r="H176" s="53"/>
      <c r="I176" s="54"/>
    </row>
    <row r="177" spans="1:9" s="7" customFormat="1" ht="15.75" hidden="1" x14ac:dyDescent="0.25">
      <c r="A177" s="77" t="s">
        <v>59</v>
      </c>
      <c r="B177" s="106"/>
      <c r="C177" s="53"/>
      <c r="D177" s="53"/>
      <c r="E177" s="53"/>
      <c r="F177" s="53"/>
      <c r="G177" s="53"/>
      <c r="H177" s="53"/>
      <c r="I177" s="54"/>
    </row>
    <row r="178" spans="1:9" s="7" customFormat="1" ht="15.75" hidden="1" x14ac:dyDescent="0.25">
      <c r="A178" s="77"/>
      <c r="B178" s="106"/>
      <c r="C178" s="53"/>
      <c r="D178" s="53"/>
      <c r="E178" s="53"/>
      <c r="F178" s="53"/>
      <c r="G178" s="53"/>
      <c r="H178" s="53"/>
      <c r="I178" s="54"/>
    </row>
    <row r="179" spans="1:9" s="7" customFormat="1" hidden="1" x14ac:dyDescent="0.2">
      <c r="A179" s="30"/>
      <c r="B179" s="70"/>
      <c r="C179" s="30"/>
      <c r="D179" s="30"/>
      <c r="E179" s="30"/>
      <c r="F179" s="30"/>
      <c r="G179" s="30"/>
      <c r="H179" s="30"/>
      <c r="I179" s="63"/>
    </row>
    <row r="180" spans="1:9" s="7" customFormat="1" hidden="1" x14ac:dyDescent="0.2">
      <c r="A180" s="30"/>
      <c r="B180" s="68" t="s">
        <v>22</v>
      </c>
      <c r="C180" s="68" t="s">
        <v>22</v>
      </c>
      <c r="D180" s="110" t="s">
        <v>62</v>
      </c>
      <c r="E180" s="56" t="s">
        <v>62</v>
      </c>
      <c r="F180" s="56" t="s">
        <v>62</v>
      </c>
      <c r="G180" s="56" t="s">
        <v>62</v>
      </c>
      <c r="H180" s="56" t="s">
        <v>62</v>
      </c>
      <c r="I180" s="79" t="s">
        <v>62</v>
      </c>
    </row>
    <row r="181" spans="1:9" s="7" customFormat="1" hidden="1" x14ac:dyDescent="0.2">
      <c r="A181" s="80" t="s">
        <v>1</v>
      </c>
      <c r="B181" s="212">
        <f>B9</f>
        <v>2012</v>
      </c>
      <c r="C181" s="52">
        <f t="shared" ref="C181:H181" si="80">C9</f>
        <v>2013</v>
      </c>
      <c r="D181" s="111">
        <f t="shared" si="80"/>
        <v>2014</v>
      </c>
      <c r="E181" s="52">
        <f t="shared" si="80"/>
        <v>2015</v>
      </c>
      <c r="F181" s="52">
        <f t="shared" si="80"/>
        <v>2016</v>
      </c>
      <c r="G181" s="52">
        <f t="shared" si="80"/>
        <v>2017</v>
      </c>
      <c r="H181" s="52">
        <f t="shared" si="80"/>
        <v>2018</v>
      </c>
      <c r="I181" s="87" t="s">
        <v>5</v>
      </c>
    </row>
    <row r="182" spans="1:9" s="7" customFormat="1" hidden="1" x14ac:dyDescent="0.2">
      <c r="A182" s="30" t="s">
        <v>33</v>
      </c>
      <c r="B182" s="84"/>
      <c r="C182" s="63"/>
      <c r="D182" s="113"/>
      <c r="E182" s="63"/>
      <c r="F182" s="63"/>
      <c r="G182" s="63"/>
      <c r="H182" s="63"/>
      <c r="I182" s="63"/>
    </row>
    <row r="183" spans="1:9" s="7" customFormat="1" hidden="1" x14ac:dyDescent="0.2">
      <c r="A183" s="30" t="str">
        <f>A78</f>
        <v>Operating Revenues</v>
      </c>
      <c r="B183" s="84">
        <f t="shared" ref="B183:H184" si="81">B78/B$80</f>
        <v>1</v>
      </c>
      <c r="C183" s="84">
        <f t="shared" ref="C183:H183" si="82">C78/C$80</f>
        <v>1</v>
      </c>
      <c r="D183" s="113">
        <f t="shared" si="82"/>
        <v>1</v>
      </c>
      <c r="E183" s="84">
        <f t="shared" si="82"/>
        <v>1</v>
      </c>
      <c r="F183" s="84">
        <f t="shared" si="82"/>
        <v>1</v>
      </c>
      <c r="G183" s="84">
        <f t="shared" si="82"/>
        <v>1</v>
      </c>
      <c r="H183" s="84">
        <f t="shared" si="82"/>
        <v>1</v>
      </c>
      <c r="I183" s="84">
        <f>SUM(C78:H78)/SUM(C$80:H$80)</f>
        <v>1</v>
      </c>
    </row>
    <row r="184" spans="1:9" s="7" customFormat="1" hidden="1" x14ac:dyDescent="0.2">
      <c r="A184" s="30" t="str">
        <f>A79</f>
        <v>Additional Revenue Requirements</v>
      </c>
      <c r="B184" s="67">
        <f t="shared" si="81"/>
        <v>0</v>
      </c>
      <c r="C184" s="83">
        <f>C79/C$80</f>
        <v>0</v>
      </c>
      <c r="D184" s="114">
        <f t="shared" si="81"/>
        <v>0</v>
      </c>
      <c r="E184" s="83">
        <f t="shared" si="81"/>
        <v>0</v>
      </c>
      <c r="F184" s="83">
        <f t="shared" si="81"/>
        <v>0</v>
      </c>
      <c r="G184" s="83">
        <f t="shared" si="81"/>
        <v>0</v>
      </c>
      <c r="H184" s="83">
        <f t="shared" si="81"/>
        <v>0</v>
      </c>
      <c r="I184" s="63">
        <f>SUM(C79:H79)/SUM(C$80:H$80)</f>
        <v>0</v>
      </c>
    </row>
    <row r="185" spans="1:9" s="7" customFormat="1" hidden="1" x14ac:dyDescent="0.2">
      <c r="A185" s="30" t="str">
        <f>A80</f>
        <v>Total Revenues</v>
      </c>
      <c r="B185" s="84">
        <f t="shared" ref="B185:H185" si="83">B80/B$80</f>
        <v>1</v>
      </c>
      <c r="C185" s="63">
        <f t="shared" si="83"/>
        <v>1</v>
      </c>
      <c r="D185" s="113">
        <f t="shared" si="83"/>
        <v>1</v>
      </c>
      <c r="E185" s="63">
        <f t="shared" si="83"/>
        <v>1</v>
      </c>
      <c r="F185" s="63">
        <f t="shared" si="83"/>
        <v>1</v>
      </c>
      <c r="G185" s="63">
        <f t="shared" si="83"/>
        <v>1</v>
      </c>
      <c r="H185" s="63">
        <f t="shared" si="83"/>
        <v>1</v>
      </c>
      <c r="I185" s="85">
        <f>SUM(C80:H80)/SUM(C$80:H$80)</f>
        <v>1</v>
      </c>
    </row>
    <row r="186" spans="1:9" s="7" customFormat="1" hidden="1" x14ac:dyDescent="0.2">
      <c r="A186" s="30"/>
      <c r="B186" s="84"/>
      <c r="C186" s="63"/>
      <c r="D186" s="113"/>
      <c r="E186" s="63"/>
      <c r="F186" s="63"/>
      <c r="G186" s="63"/>
      <c r="H186" s="63"/>
      <c r="I186" s="84"/>
    </row>
    <row r="187" spans="1:9" s="7" customFormat="1" hidden="1" x14ac:dyDescent="0.2">
      <c r="A187" s="30" t="s">
        <v>32</v>
      </c>
      <c r="B187" s="84"/>
      <c r="C187" s="63"/>
      <c r="D187" s="113"/>
      <c r="E187" s="63"/>
      <c r="F187" s="63"/>
      <c r="G187" s="63"/>
      <c r="H187" s="63"/>
      <c r="I187" s="63"/>
    </row>
    <row r="188" spans="1:9" s="7" customFormat="1" hidden="1" x14ac:dyDescent="0.2">
      <c r="A188" s="30" t="str">
        <f>A83</f>
        <v>Cost of Purchased Power</v>
      </c>
      <c r="B188" s="84">
        <f>B83/$B$80</f>
        <v>0.47501587310262106</v>
      </c>
      <c r="C188" s="63">
        <f t="shared" ref="C188:H190" si="84">C83/C$80</f>
        <v>0.48980381795974937</v>
      </c>
      <c r="D188" s="113">
        <f t="shared" si="84"/>
        <v>0.50173208995580265</v>
      </c>
      <c r="E188" s="63">
        <f t="shared" si="84"/>
        <v>0.50587395205096497</v>
      </c>
      <c r="F188" s="63">
        <f t="shared" si="84"/>
        <v>0.51005000574351333</v>
      </c>
      <c r="G188" s="63">
        <f t="shared" si="84"/>
        <v>0.51426053328942445</v>
      </c>
      <c r="H188" s="63">
        <f t="shared" si="84"/>
        <v>0.51850581927473405</v>
      </c>
      <c r="I188" s="63">
        <f>SUM(C83:H83)/SUM(C$80:H$80)</f>
        <v>0.50717919127262467</v>
      </c>
    </row>
    <row r="189" spans="1:9" s="7" customFormat="1" hidden="1" x14ac:dyDescent="0.2">
      <c r="A189" s="30" t="str">
        <f>A84</f>
        <v>Administrative and General Expenses</v>
      </c>
      <c r="B189" s="84">
        <f>B84/$B$80</f>
        <v>0.13679718824613829</v>
      </c>
      <c r="C189" s="63">
        <f t="shared" si="84"/>
        <v>0.11880991948849198</v>
      </c>
      <c r="D189" s="113">
        <f t="shared" si="84"/>
        <v>0.12319887614305416</v>
      </c>
      <c r="E189" s="63">
        <f t="shared" si="84"/>
        <v>0.12574233390714112</v>
      </c>
      <c r="F189" s="63">
        <f t="shared" si="84"/>
        <v>0.12833830170703542</v>
      </c>
      <c r="G189" s="63">
        <f t="shared" si="84"/>
        <v>0.13098786361965759</v>
      </c>
      <c r="H189" s="63">
        <f t="shared" si="84"/>
        <v>0.13369212610284553</v>
      </c>
      <c r="I189" s="63">
        <f>SUM(C84:H84)/SUM(C$80:H$80)</f>
        <v>0.12705578737992529</v>
      </c>
    </row>
    <row r="190" spans="1:9" s="7" customFormat="1" hidden="1" x14ac:dyDescent="0.2">
      <c r="A190" s="30" t="str">
        <f>A85</f>
        <v>Distribution  Expense - Operation</v>
      </c>
      <c r="B190" s="84">
        <f>B85/$B$80</f>
        <v>0.11194426841943211</v>
      </c>
      <c r="C190" s="63">
        <f t="shared" si="84"/>
        <v>0.11705322793292357</v>
      </c>
      <c r="D190" s="113">
        <f t="shared" si="84"/>
        <v>0.11748435956811545</v>
      </c>
      <c r="E190" s="63">
        <f t="shared" si="84"/>
        <v>0.11606397476555574</v>
      </c>
      <c r="F190" s="63">
        <f t="shared" si="84"/>
        <v>0.11466076240190416</v>
      </c>
      <c r="G190" s="63">
        <f t="shared" si="84"/>
        <v>0.11327451486253574</v>
      </c>
      <c r="H190" s="63">
        <f t="shared" si="84"/>
        <v>0.11190502704288444</v>
      </c>
      <c r="I190" s="63">
        <f>SUM(C85:H85)/SUM(C$80:H$80)</f>
        <v>0.11496663443229341</v>
      </c>
    </row>
    <row r="191" spans="1:9" s="7" customFormat="1" hidden="1" x14ac:dyDescent="0.2">
      <c r="A191" s="30" t="str">
        <f>A87</f>
        <v>Depreciation and amortization</v>
      </c>
      <c r="B191" s="84">
        <f>B87/$B$80</f>
        <v>9.7030559656113194E-2</v>
      </c>
      <c r="C191" s="63">
        <f t="shared" ref="C191:H191" si="85">C87/C$80</f>
        <v>9.0292856963486809E-2</v>
      </c>
      <c r="D191" s="113">
        <f t="shared" si="85"/>
        <v>9.2767493968994696E-2</v>
      </c>
      <c r="E191" s="63">
        <f t="shared" si="85"/>
        <v>9.3812126612476038E-2</v>
      </c>
      <c r="F191" s="63">
        <f t="shared" si="85"/>
        <v>9.4868522615224049E-2</v>
      </c>
      <c r="G191" s="63">
        <f t="shared" si="85"/>
        <v>9.5936814441624274E-2</v>
      </c>
      <c r="H191" s="63">
        <f t="shared" si="85"/>
        <v>9.7017136047712157E-2</v>
      </c>
      <c r="I191" s="63">
        <f>SUM(C87:H87)/SUM(C$80:H$80)</f>
        <v>9.42297102471404E-2</v>
      </c>
    </row>
    <row r="192" spans="1:9" s="7" customFormat="1" hidden="1" x14ac:dyDescent="0.2">
      <c r="A192" s="30" t="str">
        <f t="shared" ref="A192:A193" si="86">A90</f>
        <v>Transmission Expense</v>
      </c>
      <c r="B192" s="84">
        <f t="shared" ref="B192:B193" si="87">B90/$B$80</f>
        <v>4.0842112277817335E-3</v>
      </c>
      <c r="C192" s="63">
        <f t="shared" ref="C192:H192" si="88">C90/C$80</f>
        <v>3.7350825265509025E-3</v>
      </c>
      <c r="D192" s="113">
        <f t="shared" si="88"/>
        <v>3.7607661939846881E-3</v>
      </c>
      <c r="E192" s="63">
        <f t="shared" si="88"/>
        <v>3.7271184320378597E-3</v>
      </c>
      <c r="F192" s="63">
        <f t="shared" si="88"/>
        <v>3.6937717182885612E-3</v>
      </c>
      <c r="G192" s="63">
        <f t="shared" si="88"/>
        <v>3.6607233592436152E-3</v>
      </c>
      <c r="H192" s="63">
        <f t="shared" si="88"/>
        <v>3.6279706855086614E-3</v>
      </c>
      <c r="I192" s="63">
        <f t="shared" ref="I192:I195" si="89">SUM(C90:H90)/SUM(C$80:H$80)</f>
        <v>3.6985392937308984E-3</v>
      </c>
    </row>
    <row r="193" spans="1:9" s="7" customFormat="1" hidden="1" x14ac:dyDescent="0.2">
      <c r="A193" s="30" t="str">
        <f t="shared" si="86"/>
        <v>Taxes, other than income taxes</v>
      </c>
      <c r="B193" s="67">
        <f t="shared" si="87"/>
        <v>8.3119260572129816E-3</v>
      </c>
      <c r="C193" s="83">
        <f t="shared" ref="C193:H193" si="90">C91/C$80</f>
        <v>1.0276434302978419E-2</v>
      </c>
      <c r="D193" s="114">
        <f t="shared" si="90"/>
        <v>1.0599466732372494E-2</v>
      </c>
      <c r="E193" s="83">
        <f t="shared" si="90"/>
        <v>1.0760843332545449E-2</v>
      </c>
      <c r="F193" s="83">
        <f t="shared" si="90"/>
        <v>1.0924676887180445E-2</v>
      </c>
      <c r="G193" s="83">
        <f t="shared" si="90"/>
        <v>1.1091004803344073E-2</v>
      </c>
      <c r="H193" s="83">
        <f t="shared" si="90"/>
        <v>1.1259865057624521E-2</v>
      </c>
      <c r="I193" s="63">
        <f t="shared" si="89"/>
        <v>1.0835689150956463E-2</v>
      </c>
    </row>
    <row r="194" spans="1:9" s="7" customFormat="1" hidden="1" x14ac:dyDescent="0.2">
      <c r="A194" s="30" t="s">
        <v>56</v>
      </c>
      <c r="B194" s="71">
        <f t="shared" ref="B194:H194" si="91">B92/B$80</f>
        <v>0.90233257700118552</v>
      </c>
      <c r="C194" s="83">
        <f t="shared" si="91"/>
        <v>0.89593292910031563</v>
      </c>
      <c r="D194" s="114">
        <f t="shared" si="91"/>
        <v>0.91645453967651691</v>
      </c>
      <c r="E194" s="83">
        <f t="shared" si="91"/>
        <v>0.92286320311872894</v>
      </c>
      <c r="F194" s="83">
        <f t="shared" si="91"/>
        <v>0.9294644146730674</v>
      </c>
      <c r="G194" s="83">
        <f t="shared" si="91"/>
        <v>0.93625911831934605</v>
      </c>
      <c r="H194" s="83">
        <f t="shared" si="91"/>
        <v>0.94324837960451324</v>
      </c>
      <c r="I194" s="85">
        <f t="shared" si="89"/>
        <v>0.92481113657455638</v>
      </c>
    </row>
    <row r="195" spans="1:9" s="7" customFormat="1" hidden="1" x14ac:dyDescent="0.2">
      <c r="A195" s="30" t="s">
        <v>19</v>
      </c>
      <c r="B195" s="84">
        <f t="shared" ref="B195:H195" si="92">B93/B$80</f>
        <v>9.7667422998814507E-2</v>
      </c>
      <c r="C195" s="63">
        <f t="shared" si="92"/>
        <v>0.10406707089968435</v>
      </c>
      <c r="D195" s="113">
        <f t="shared" si="92"/>
        <v>8.3545460323483076E-2</v>
      </c>
      <c r="E195" s="63">
        <f t="shared" si="92"/>
        <v>7.7136796881271077E-2</v>
      </c>
      <c r="F195" s="63">
        <f t="shared" si="92"/>
        <v>7.0535585326932645E-2</v>
      </c>
      <c r="G195" s="63">
        <f t="shared" si="92"/>
        <v>6.3740881680654005E-2</v>
      </c>
      <c r="H195" s="63">
        <f t="shared" si="92"/>
        <v>5.6751620395486757E-2</v>
      </c>
      <c r="I195" s="85">
        <f t="shared" si="89"/>
        <v>7.5188863425443619E-2</v>
      </c>
    </row>
    <row r="196" spans="1:9" s="7" customFormat="1" hidden="1" x14ac:dyDescent="0.2">
      <c r="A196" s="30"/>
      <c r="B196" s="84"/>
      <c r="C196" s="63"/>
      <c r="D196" s="113"/>
      <c r="E196" s="63"/>
      <c r="F196" s="63"/>
      <c r="G196" s="63"/>
      <c r="H196" s="63"/>
      <c r="I196" s="63"/>
    </row>
    <row r="197" spans="1:9" s="7" customFormat="1" hidden="1" x14ac:dyDescent="0.2">
      <c r="A197" s="30" t="str">
        <f>A95</f>
        <v>Interest (Surplus Cash)/Add. Loans</v>
      </c>
      <c r="B197" s="84">
        <f t="shared" ref="B197:C200" si="93">B95/B$80</f>
        <v>0</v>
      </c>
      <c r="C197" s="63">
        <f t="shared" si="93"/>
        <v>0</v>
      </c>
      <c r="D197" s="113">
        <f t="shared" ref="D197:H200" ca="1" si="94">D95/D$80</f>
        <v>-1.1292681628369561E-3</v>
      </c>
      <c r="E197" s="63">
        <f t="shared" ca="1" si="94"/>
        <v>-2.2652095028973542E-3</v>
      </c>
      <c r="F197" s="63">
        <f t="shared" ca="1" si="94"/>
        <v>-2.336770936792837E-3</v>
      </c>
      <c r="G197" s="63">
        <f t="shared" ca="1" si="94"/>
        <v>-2.3216603655637005E-3</v>
      </c>
      <c r="H197" s="63">
        <f t="shared" ca="1" si="94"/>
        <v>-2.1768238163064196E-3</v>
      </c>
      <c r="I197" s="63">
        <f ca="1">SUM(C95:H95)/SUM(C$80:H$80)</f>
        <v>-1.740775123659426E-3</v>
      </c>
    </row>
    <row r="198" spans="1:9" s="7" customFormat="1" hidden="1" x14ac:dyDescent="0.2">
      <c r="A198" s="30" t="str">
        <f>A96</f>
        <v xml:space="preserve">   Interest expense (net)</v>
      </c>
      <c r="B198" s="84">
        <f t="shared" si="93"/>
        <v>2.3232510300217821E-2</v>
      </c>
      <c r="C198" s="63">
        <f t="shared" si="93"/>
        <v>2.6040416746140108E-2</v>
      </c>
      <c r="D198" s="113">
        <f t="shared" si="94"/>
        <v>2.4605976233550705E-2</v>
      </c>
      <c r="E198" s="63">
        <f t="shared" si="94"/>
        <v>2.2128506123543879E-2</v>
      </c>
      <c r="F198" s="63">
        <f t="shared" si="94"/>
        <v>2.0045749784952861E-2</v>
      </c>
      <c r="G198" s="63">
        <f t="shared" si="94"/>
        <v>1.8159024481702535E-2</v>
      </c>
      <c r="H198" s="63">
        <f t="shared" si="94"/>
        <v>1.6449879583680896E-2</v>
      </c>
      <c r="I198" s="63">
        <f>SUM(C96:H96)/SUM(C$80:H$80)</f>
        <v>2.1055917650684729E-2</v>
      </c>
    </row>
    <row r="199" spans="1:9" s="7" customFormat="1" hidden="1" x14ac:dyDescent="0.2">
      <c r="A199" s="30" t="str">
        <f>A97</f>
        <v xml:space="preserve">   Interest and Other Income</v>
      </c>
      <c r="B199" s="84">
        <f t="shared" si="93"/>
        <v>-1.7203684234604413E-3</v>
      </c>
      <c r="C199" s="63">
        <f t="shared" si="93"/>
        <v>-1.8157734745588949E-3</v>
      </c>
      <c r="D199" s="113">
        <f t="shared" si="94"/>
        <v>0</v>
      </c>
      <c r="E199" s="63">
        <f t="shared" si="94"/>
        <v>0</v>
      </c>
      <c r="F199" s="63">
        <f t="shared" si="94"/>
        <v>0</v>
      </c>
      <c r="G199" s="63">
        <f t="shared" si="94"/>
        <v>0</v>
      </c>
      <c r="H199" s="63">
        <f t="shared" si="94"/>
        <v>0</v>
      </c>
      <c r="I199" s="63">
        <f>SUM(C97:H97)/SUM(C$80:H$80)</f>
        <v>-2.8147815405050113E-4</v>
      </c>
    </row>
    <row r="200" spans="1:9" s="7" customFormat="1" hidden="1" x14ac:dyDescent="0.2">
      <c r="A200" s="30" t="str">
        <f>A98</f>
        <v xml:space="preserve">   Loss (Gain) on Sale of Assets</v>
      </c>
      <c r="B200" s="84">
        <f t="shared" si="93"/>
        <v>0</v>
      </c>
      <c r="C200" s="63">
        <f t="shared" si="93"/>
        <v>0</v>
      </c>
      <c r="D200" s="113">
        <f t="shared" si="94"/>
        <v>0</v>
      </c>
      <c r="E200" s="63">
        <f t="shared" si="94"/>
        <v>0</v>
      </c>
      <c r="F200" s="63">
        <f t="shared" si="94"/>
        <v>0</v>
      </c>
      <c r="G200" s="63">
        <f t="shared" si="94"/>
        <v>0</v>
      </c>
      <c r="H200" s="63">
        <f t="shared" si="94"/>
        <v>0</v>
      </c>
      <c r="I200" s="63">
        <f>SUM(C98:H98)/SUM(C$80:H$80)</f>
        <v>0</v>
      </c>
    </row>
    <row r="201" spans="1:9" s="7" customFormat="1" hidden="1" x14ac:dyDescent="0.2">
      <c r="A201" s="30" t="str">
        <f>A99</f>
        <v xml:space="preserve">   Other (Income) Expense</v>
      </c>
      <c r="B201" s="67">
        <f t="shared" ref="B201:H201" si="95">B99/B$80</f>
        <v>-2.0924817246664798E-2</v>
      </c>
      <c r="C201" s="83">
        <f t="shared" si="95"/>
        <v>-2.6505432895333414E-2</v>
      </c>
      <c r="D201" s="114">
        <f t="shared" si="95"/>
        <v>-2.603677370854228E-2</v>
      </c>
      <c r="E201" s="83">
        <f t="shared" si="95"/>
        <v>-2.5174459903260865E-2</v>
      </c>
      <c r="F201" s="83">
        <f t="shared" si="95"/>
        <v>-2.4340705131717762E-2</v>
      </c>
      <c r="G201" s="83">
        <f t="shared" si="95"/>
        <v>-2.3534563545194002E-2</v>
      </c>
      <c r="H201" s="83">
        <f t="shared" si="95"/>
        <v>-2.2755120620603263E-2</v>
      </c>
      <c r="I201" s="63">
        <f>SUM(C99:H99)/SUM(C$80:H$80)</f>
        <v>-2.4652966115722017E-2</v>
      </c>
    </row>
    <row r="202" spans="1:9" s="7" customFormat="1" hidden="1" x14ac:dyDescent="0.2">
      <c r="A202" s="30" t="s">
        <v>18</v>
      </c>
      <c r="B202" s="84">
        <f t="shared" ref="B202:H202" si="96">B102/B$80</f>
        <v>9.7080098368721932E-2</v>
      </c>
      <c r="C202" s="84">
        <f t="shared" si="96"/>
        <v>0.10634786052343655</v>
      </c>
      <c r="D202" s="113">
        <f t="shared" ca="1" si="96"/>
        <v>8.6105525961311602E-2</v>
      </c>
      <c r="E202" s="84">
        <f t="shared" ca="1" si="96"/>
        <v>8.244796016388542E-2</v>
      </c>
      <c r="F202" s="84">
        <f t="shared" ca="1" si="96"/>
        <v>7.7167311610490383E-2</v>
      </c>
      <c r="G202" s="84">
        <f t="shared" ca="1" si="96"/>
        <v>7.1438081109709173E-2</v>
      </c>
      <c r="H202" s="84">
        <f t="shared" ca="1" si="96"/>
        <v>6.5233685248715548E-2</v>
      </c>
      <c r="I202" s="85">
        <f ca="1">SUM(C102:H102)/SUM(C$80:H$80)</f>
        <v>8.0808165168190824E-2</v>
      </c>
    </row>
    <row r="203" spans="1:9" s="7" customFormat="1" ht="7.5" hidden="1" customHeight="1" x14ac:dyDescent="0.2">
      <c r="A203" s="30"/>
      <c r="B203" s="84"/>
      <c r="C203" s="84"/>
      <c r="D203" s="113"/>
      <c r="E203" s="84"/>
      <c r="F203" s="84"/>
      <c r="G203" s="84"/>
      <c r="H203" s="84"/>
      <c r="I203" s="84"/>
    </row>
    <row r="204" spans="1:9" s="7" customFormat="1" hidden="1" x14ac:dyDescent="0.2">
      <c r="A204" s="30" t="s">
        <v>66</v>
      </c>
      <c r="B204" s="84">
        <f t="shared" ref="B204:H204" si="97">B103/B$80</f>
        <v>0</v>
      </c>
      <c r="C204" s="84">
        <f t="shared" si="97"/>
        <v>0</v>
      </c>
      <c r="D204" s="113">
        <f t="shared" si="97"/>
        <v>0</v>
      </c>
      <c r="E204" s="84">
        <f t="shared" si="97"/>
        <v>0</v>
      </c>
      <c r="F204" s="84">
        <f t="shared" si="97"/>
        <v>0</v>
      </c>
      <c r="G204" s="84">
        <f t="shared" si="97"/>
        <v>0</v>
      </c>
      <c r="H204" s="84">
        <f t="shared" si="97"/>
        <v>0</v>
      </c>
      <c r="I204" s="63">
        <f ca="1">SUM(C102:H102)/SUM(C$80:H$80)</f>
        <v>8.0808165168190824E-2</v>
      </c>
    </row>
    <row r="205" spans="1:9" s="7" customFormat="1" ht="7.5" hidden="1" customHeight="1" x14ac:dyDescent="0.2">
      <c r="A205" s="30"/>
      <c r="B205" s="84"/>
      <c r="C205" s="84"/>
      <c r="D205" s="113"/>
      <c r="E205" s="84"/>
      <c r="F205" s="84"/>
      <c r="G205" s="84"/>
      <c r="H205" s="84"/>
      <c r="I205" s="84"/>
    </row>
    <row r="206" spans="1:9" s="7" customFormat="1" hidden="1" x14ac:dyDescent="0.2">
      <c r="A206" s="30" t="s">
        <v>25</v>
      </c>
      <c r="B206" s="67">
        <f t="shared" ref="B206:H206" si="98">B104/B$80</f>
        <v>0</v>
      </c>
      <c r="C206" s="83">
        <f t="shared" si="98"/>
        <v>0</v>
      </c>
      <c r="D206" s="114">
        <f>D104/D$80</f>
        <v>0</v>
      </c>
      <c r="E206" s="83">
        <f>E104/E$80</f>
        <v>0</v>
      </c>
      <c r="F206" s="83">
        <f t="shared" si="98"/>
        <v>0</v>
      </c>
      <c r="G206" s="83">
        <f t="shared" si="98"/>
        <v>0</v>
      </c>
      <c r="H206" s="83">
        <f t="shared" si="98"/>
        <v>0</v>
      </c>
      <c r="I206" s="63">
        <f>SUM(C104:H104)/SUM(C$80:H$80)</f>
        <v>0</v>
      </c>
    </row>
    <row r="207" spans="1:9" s="7" customFormat="1" ht="13.5" hidden="1" thickBot="1" x14ac:dyDescent="0.25">
      <c r="A207" s="30" t="s">
        <v>28</v>
      </c>
      <c r="B207" s="75">
        <f t="shared" ref="B207:H207" si="99">B105/B$80</f>
        <v>9.7080098368721932E-2</v>
      </c>
      <c r="C207" s="86">
        <f t="shared" si="99"/>
        <v>0.10634786052343655</v>
      </c>
      <c r="D207" s="115">
        <f t="shared" ca="1" si="99"/>
        <v>8.6105525961311602E-2</v>
      </c>
      <c r="E207" s="86">
        <f t="shared" ca="1" si="99"/>
        <v>8.244796016388542E-2</v>
      </c>
      <c r="F207" s="86">
        <f t="shared" ca="1" si="99"/>
        <v>7.7167311610490383E-2</v>
      </c>
      <c r="G207" s="86">
        <f t="shared" ca="1" si="99"/>
        <v>7.1438081109709173E-2</v>
      </c>
      <c r="H207" s="86">
        <f t="shared" ca="1" si="99"/>
        <v>6.5233685248715548E-2</v>
      </c>
      <c r="I207" s="85">
        <f ca="1">SUM(C105:H105)/SUM(C$80:H$80)</f>
        <v>8.0808165168190824E-2</v>
      </c>
    </row>
    <row r="208" spans="1:9" s="7" customFormat="1" ht="13.5" hidden="1" thickTop="1" x14ac:dyDescent="0.2">
      <c r="A208" s="30"/>
      <c r="B208" s="70"/>
      <c r="C208" s="30"/>
      <c r="D208" s="112"/>
      <c r="E208" s="30"/>
      <c r="F208" s="30"/>
      <c r="G208" s="30"/>
      <c r="H208" s="30"/>
      <c r="I208" s="104"/>
    </row>
    <row r="209" spans="1:9" s="7" customFormat="1" hidden="1" x14ac:dyDescent="0.2">
      <c r="A209" s="30" t="str">
        <f>A107</f>
        <v>Preferred Stock Dividends</v>
      </c>
      <c r="B209" s="84">
        <f t="shared" ref="B209:H210" si="100">B107/B$105</f>
        <v>0</v>
      </c>
      <c r="C209" s="63">
        <f t="shared" si="100"/>
        <v>0</v>
      </c>
      <c r="D209" s="113">
        <f t="shared" ca="1" si="100"/>
        <v>0</v>
      </c>
      <c r="E209" s="63">
        <f t="shared" ca="1" si="100"/>
        <v>0</v>
      </c>
      <c r="F209" s="63">
        <f t="shared" ca="1" si="100"/>
        <v>0</v>
      </c>
      <c r="G209" s="63">
        <f t="shared" ca="1" si="100"/>
        <v>0</v>
      </c>
      <c r="H209" s="63">
        <f t="shared" ca="1" si="100"/>
        <v>0</v>
      </c>
      <c r="I209" s="63">
        <f ca="1">SUM(C107:H107)/SUM(C$105:H$105)</f>
        <v>0</v>
      </c>
    </row>
    <row r="210" spans="1:9" s="7" customFormat="1" hidden="1" x14ac:dyDescent="0.2">
      <c r="A210" s="30" t="str">
        <f>A108</f>
        <v>Return of Patronage Capital</v>
      </c>
      <c r="B210" s="84">
        <f t="shared" si="100"/>
        <v>0.25996217338680755</v>
      </c>
      <c r="C210" s="63">
        <f t="shared" si="100"/>
        <v>0.29891067205153582</v>
      </c>
      <c r="D210" s="113">
        <f t="shared" ca="1" si="100"/>
        <v>0.27415812255999705</v>
      </c>
      <c r="E210" s="63">
        <f t="shared" ca="1" si="100"/>
        <v>0.27415812255999705</v>
      </c>
      <c r="F210" s="63">
        <f t="shared" ca="1" si="100"/>
        <v>0.27415812255999705</v>
      </c>
      <c r="G210" s="63">
        <f t="shared" ca="1" si="100"/>
        <v>0.27415812255999705</v>
      </c>
      <c r="H210" s="63">
        <f t="shared" ca="1" si="100"/>
        <v>0.27415812255999705</v>
      </c>
      <c r="I210" s="63">
        <f ca="1">SUM(C108:H108)/SUM(C$105:H$105)</f>
        <v>0.27920794927822046</v>
      </c>
    </row>
    <row r="211" spans="1:9" s="7" customFormat="1" hidden="1" x14ac:dyDescent="0.2">
      <c r="A211" s="30"/>
      <c r="B211" s="70"/>
      <c r="C211" s="30"/>
      <c r="D211" s="30"/>
      <c r="E211" s="30"/>
      <c r="F211" s="30"/>
      <c r="G211" s="30"/>
      <c r="H211" s="30"/>
      <c r="I211" s="63"/>
    </row>
    <row r="212" spans="1:9" s="7" customFormat="1" hidden="1" x14ac:dyDescent="0.2">
      <c r="A212" s="30"/>
      <c r="B212" s="70"/>
      <c r="C212" s="30"/>
      <c r="D212" s="30"/>
      <c r="E212" s="30"/>
      <c r="F212" s="30"/>
      <c r="G212" s="30"/>
      <c r="H212" s="30"/>
      <c r="I212" s="63"/>
    </row>
    <row r="213" spans="1:9" s="7" customFormat="1" ht="15" x14ac:dyDescent="0.2">
      <c r="A213" s="30"/>
      <c r="B213" s="70"/>
      <c r="C213" s="30"/>
      <c r="D213" s="30"/>
      <c r="E213" s="30"/>
      <c r="F213" s="30"/>
      <c r="G213" s="30"/>
      <c r="H213" s="30"/>
      <c r="I213" s="105" t="str">
        <f>I173</f>
        <v>Exhibit 2</v>
      </c>
    </row>
    <row r="214" spans="1:9" s="7" customFormat="1" ht="15" x14ac:dyDescent="0.2">
      <c r="A214" s="30"/>
      <c r="B214" s="70"/>
      <c r="C214" s="30"/>
      <c r="D214" s="30"/>
      <c r="E214" s="30"/>
      <c r="F214" s="30"/>
      <c r="G214" s="30"/>
      <c r="H214" s="30"/>
      <c r="I214" s="105" t="s">
        <v>240</v>
      </c>
    </row>
    <row r="215" spans="1:9" s="7" customFormat="1" ht="18" x14ac:dyDescent="0.25">
      <c r="A215" s="76" t="str">
        <f>Assumptions!D3</f>
        <v>Bridger Valley Electric Association, Inc.</v>
      </c>
      <c r="B215" s="106"/>
      <c r="C215" s="53"/>
      <c r="D215" s="53"/>
      <c r="E215" s="53"/>
      <c r="F215" s="53"/>
      <c r="G215" s="53"/>
      <c r="H215" s="53"/>
      <c r="I215" s="54"/>
    </row>
    <row r="216" spans="1:9" s="7" customFormat="1" ht="15.75" x14ac:dyDescent="0.25">
      <c r="A216" s="77" t="s">
        <v>148</v>
      </c>
      <c r="B216" s="106"/>
      <c r="C216" s="53"/>
      <c r="D216" s="53"/>
      <c r="E216" s="53"/>
      <c r="F216" s="53"/>
      <c r="G216" s="53"/>
      <c r="H216" s="53"/>
      <c r="I216" s="54"/>
    </row>
    <row r="217" spans="1:9" s="7" customFormat="1" x14ac:dyDescent="0.2">
      <c r="A217" s="30"/>
      <c r="B217" s="70"/>
      <c r="C217" s="30"/>
      <c r="D217" s="30"/>
      <c r="E217" s="30"/>
      <c r="F217" s="30"/>
      <c r="G217" s="30"/>
      <c r="H217" s="30"/>
      <c r="I217" s="63"/>
    </row>
    <row r="218" spans="1:9" s="7" customFormat="1" x14ac:dyDescent="0.2">
      <c r="A218" s="30"/>
      <c r="B218" s="70"/>
      <c r="C218" s="30"/>
      <c r="D218" s="30"/>
      <c r="E218" s="30"/>
      <c r="F218" s="30"/>
      <c r="G218" s="30"/>
      <c r="H218" s="30"/>
      <c r="I218" s="63"/>
    </row>
    <row r="219" spans="1:9" s="7" customFormat="1" x14ac:dyDescent="0.2">
      <c r="A219" s="30"/>
      <c r="B219" s="68" t="s">
        <v>22</v>
      </c>
      <c r="C219" s="56" t="str">
        <f>B219</f>
        <v>Historical</v>
      </c>
      <c r="D219" s="110" t="s">
        <v>62</v>
      </c>
      <c r="E219" s="56" t="s">
        <v>62</v>
      </c>
      <c r="F219" s="56" t="s">
        <v>62</v>
      </c>
      <c r="G219" s="56" t="s">
        <v>62</v>
      </c>
      <c r="H219" s="56" t="s">
        <v>62</v>
      </c>
      <c r="I219" s="56" t="s">
        <v>62</v>
      </c>
    </row>
    <row r="220" spans="1:9" s="7" customFormat="1" x14ac:dyDescent="0.2">
      <c r="A220" s="80" t="s">
        <v>39</v>
      </c>
      <c r="B220" s="116" t="s">
        <v>102</v>
      </c>
      <c r="C220" s="52">
        <f t="shared" ref="C220:H220" si="101">C9</f>
        <v>2013</v>
      </c>
      <c r="D220" s="111">
        <f t="shared" si="101"/>
        <v>2014</v>
      </c>
      <c r="E220" s="52">
        <f t="shared" si="101"/>
        <v>2015</v>
      </c>
      <c r="F220" s="52">
        <f t="shared" si="101"/>
        <v>2016</v>
      </c>
      <c r="G220" s="52">
        <f t="shared" si="101"/>
        <v>2017</v>
      </c>
      <c r="H220" s="52">
        <f t="shared" si="101"/>
        <v>2018</v>
      </c>
      <c r="I220" s="117" t="s">
        <v>5</v>
      </c>
    </row>
    <row r="221" spans="1:9" s="7" customFormat="1" ht="7.5" customHeight="1" x14ac:dyDescent="0.2">
      <c r="A221" s="70"/>
      <c r="B221" s="81"/>
      <c r="C221" s="81"/>
      <c r="D221" s="118"/>
      <c r="E221" s="81"/>
      <c r="F221" s="81"/>
      <c r="G221" s="81"/>
      <c r="H221" s="81"/>
      <c r="I221" s="68"/>
    </row>
    <row r="222" spans="1:9" s="7" customFormat="1" x14ac:dyDescent="0.2">
      <c r="A222" s="62" t="s">
        <v>47</v>
      </c>
      <c r="B222" s="94"/>
      <c r="C222" s="95"/>
      <c r="D222" s="119"/>
      <c r="E222" s="95"/>
      <c r="F222" s="95"/>
      <c r="G222" s="30"/>
      <c r="H222" s="30"/>
      <c r="I222" s="95"/>
    </row>
    <row r="223" spans="1:9" s="7" customFormat="1" x14ac:dyDescent="0.2">
      <c r="A223" s="30" t="s">
        <v>9</v>
      </c>
      <c r="B223" s="94">
        <f>'Financial Statements'!I118</f>
        <v>1.0299209579194226</v>
      </c>
      <c r="C223" s="95">
        <f t="shared" ref="C223:H223" si="102">C18/C46</f>
        <v>1.180879544051725</v>
      </c>
      <c r="D223" s="119">
        <f t="shared" ca="1" si="102"/>
        <v>1.6838554606036624</v>
      </c>
      <c r="E223" s="95">
        <f t="shared" ca="1" si="102"/>
        <v>1.7387634635617049</v>
      </c>
      <c r="F223" s="95">
        <f t="shared" ca="1" si="102"/>
        <v>1.7873249510999305</v>
      </c>
      <c r="G223" s="95">
        <f t="shared" ca="1" si="102"/>
        <v>1.7940269302784677</v>
      </c>
      <c r="H223" s="95">
        <f t="shared" ca="1" si="102"/>
        <v>1.7636749181517977</v>
      </c>
      <c r="I223" s="95">
        <f ca="1">AVERAGE(C223:H223)</f>
        <v>1.6580875446245482</v>
      </c>
    </row>
    <row r="224" spans="1:9" s="7" customFormat="1" x14ac:dyDescent="0.2">
      <c r="A224" s="30" t="s">
        <v>38</v>
      </c>
      <c r="B224" s="94">
        <f>'Financial Statements'!I119</f>
        <v>0.83378875708118172</v>
      </c>
      <c r="C224" s="95">
        <f t="shared" ref="C224:H224" si="103">(C12+C13+C14)/C46</f>
        <v>0.97150242279222954</v>
      </c>
      <c r="D224" s="119">
        <f t="shared" ca="1" si="103"/>
        <v>1.4758505826057786</v>
      </c>
      <c r="E224" s="95">
        <f t="shared" ca="1" si="103"/>
        <v>1.5285841656901717</v>
      </c>
      <c r="F224" s="95">
        <f t="shared" ca="1" si="103"/>
        <v>1.5725646498924799</v>
      </c>
      <c r="G224" s="95">
        <f t="shared" ca="1" si="103"/>
        <v>1.5752515737183697</v>
      </c>
      <c r="H224" s="95">
        <f t="shared" ca="1" si="103"/>
        <v>1.5415379720138258</v>
      </c>
      <c r="I224" s="95">
        <f ca="1">AVERAGE(C224:H224)</f>
        <v>1.4442152277854756</v>
      </c>
    </row>
    <row r="225" spans="1:9" s="7" customFormat="1" x14ac:dyDescent="0.2">
      <c r="A225" s="30" t="s">
        <v>12</v>
      </c>
      <c r="B225" s="94">
        <f>'Financial Statements'!I120</f>
        <v>43.590470409643459</v>
      </c>
      <c r="C225" s="95">
        <f t="shared" ref="C225:H225" si="104">365*(((B14+C14)/2)/((C80+B80)/2))</f>
        <v>44.355126418141658</v>
      </c>
      <c r="D225" s="119">
        <f t="shared" si="104"/>
        <v>44.650965232195041</v>
      </c>
      <c r="E225" s="95">
        <f t="shared" si="104"/>
        <v>44.51951563922195</v>
      </c>
      <c r="F225" s="95">
        <f t="shared" si="104"/>
        <v>44.519515639221957</v>
      </c>
      <c r="G225" s="95">
        <f t="shared" si="104"/>
        <v>44.519515639221957</v>
      </c>
      <c r="H225" s="95">
        <f t="shared" si="104"/>
        <v>44.51951563922195</v>
      </c>
      <c r="I225" s="95">
        <f>AVERAGE(C225:H225)</f>
        <v>44.514025701204083</v>
      </c>
    </row>
    <row r="226" spans="1:9" s="7" customFormat="1" x14ac:dyDescent="0.2">
      <c r="A226" s="30"/>
      <c r="B226" s="94"/>
      <c r="C226" s="95"/>
      <c r="D226" s="119"/>
      <c r="E226" s="95"/>
      <c r="F226" s="95"/>
      <c r="G226" s="95"/>
      <c r="H226" s="95"/>
      <c r="I226" s="95"/>
    </row>
    <row r="227" spans="1:9" s="7" customFormat="1" x14ac:dyDescent="0.2">
      <c r="A227" s="62" t="s">
        <v>27</v>
      </c>
      <c r="B227" s="94"/>
      <c r="C227" s="95"/>
      <c r="D227" s="119"/>
      <c r="E227" s="95"/>
      <c r="F227" s="95"/>
      <c r="G227" s="95"/>
      <c r="H227" s="95"/>
      <c r="I227" s="95"/>
    </row>
    <row r="228" spans="1:9" s="7" customFormat="1" x14ac:dyDescent="0.2">
      <c r="A228" s="30" t="s">
        <v>31</v>
      </c>
      <c r="B228" s="94">
        <f>'Financial Statements'!I123</f>
        <v>1.6598999704213959</v>
      </c>
      <c r="C228" s="95">
        <f t="shared" ref="C228:H228" si="105">C62/C54</f>
        <v>1.78009451178724</v>
      </c>
      <c r="D228" s="119">
        <f t="shared" ca="1" si="105"/>
        <v>2.0388047018969817</v>
      </c>
      <c r="E228" s="95">
        <f t="shared" ca="1" si="105"/>
        <v>2.3019152820862923</v>
      </c>
      <c r="F228" s="95">
        <f t="shared" ca="1" si="105"/>
        <v>2.5731241051409626</v>
      </c>
      <c r="G228" s="95">
        <f t="shared" ca="1" si="105"/>
        <v>2.8493098083278436</v>
      </c>
      <c r="H228" s="95">
        <f t="shared" ca="1" si="105"/>
        <v>3.1266855206850868</v>
      </c>
      <c r="I228" s="95">
        <f ca="1">AVERAGE(C228:H228)</f>
        <v>2.4449889883207345</v>
      </c>
    </row>
    <row r="229" spans="1:9" s="7" customFormat="1" x14ac:dyDescent="0.2">
      <c r="A229" s="30" t="s">
        <v>30</v>
      </c>
      <c r="B229" s="94">
        <f>'Financial Statements'!I124</f>
        <v>2.3924106151025635</v>
      </c>
      <c r="C229" s="95">
        <f t="shared" ref="C229:H229" si="106">C62/C52</f>
        <v>2.5099228450105313</v>
      </c>
      <c r="D229" s="119">
        <f t="shared" ca="1" si="106"/>
        <v>2.8870233803498064</v>
      </c>
      <c r="E229" s="95">
        <f t="shared" ca="1" si="106"/>
        <v>3.3388961343511272</v>
      </c>
      <c r="F229" s="95">
        <f t="shared" ca="1" si="106"/>
        <v>3.8297449852056205</v>
      </c>
      <c r="G229" s="95">
        <f t="shared" ca="1" si="106"/>
        <v>4.3594843053803398</v>
      </c>
      <c r="H229" s="95">
        <f t="shared" ca="1" si="106"/>
        <v>4.9270782122809376</v>
      </c>
      <c r="I229" s="95">
        <f ca="1">AVERAGE(C229:H229)</f>
        <v>3.6420249770963942</v>
      </c>
    </row>
    <row r="230" spans="1:9" s="7" customFormat="1" x14ac:dyDescent="0.2">
      <c r="A230" s="30" t="s">
        <v>29</v>
      </c>
      <c r="B230" s="94">
        <f>'Financial Statements'!I125</f>
        <v>0.7328149139031862</v>
      </c>
      <c r="C230" s="95">
        <f t="shared" ref="C230:H230" si="107">C62/C28</f>
        <v>0.76129275802767171</v>
      </c>
      <c r="D230" s="119">
        <f t="shared" ca="1" si="107"/>
        <v>0.83758280049565959</v>
      </c>
      <c r="E230" s="95">
        <f t="shared" ca="1" si="107"/>
        <v>0.87146856088300073</v>
      </c>
      <c r="F230" s="95">
        <f t="shared" ca="1" si="107"/>
        <v>0.89926985639765122</v>
      </c>
      <c r="G230" s="95">
        <f t="shared" ca="1" si="107"/>
        <v>0.92093009086770794</v>
      </c>
      <c r="H230" s="95">
        <f t="shared" ca="1" si="107"/>
        <v>0.93638051179074866</v>
      </c>
      <c r="I230" s="95">
        <f ca="1">AVERAGE(C230:H230)</f>
        <v>0.87115409641040653</v>
      </c>
    </row>
    <row r="231" spans="1:9" s="7" customFormat="1" x14ac:dyDescent="0.2">
      <c r="A231" s="30" t="s">
        <v>49</v>
      </c>
      <c r="B231" s="94">
        <f>'Financial Statements'!I126</f>
        <v>3.9953836689437727</v>
      </c>
      <c r="C231" s="95">
        <f t="shared" ref="C231:H231" si="108">(C102+C96+C95)/(C96+C95)</f>
        <v>5.0839538614219819</v>
      </c>
      <c r="D231" s="119">
        <f t="shared" ca="1" si="108"/>
        <v>4.6677001605998072</v>
      </c>
      <c r="E231" s="95">
        <f t="shared" ca="1" si="108"/>
        <v>5.1507692171392359</v>
      </c>
      <c r="F231" s="95">
        <f t="shared" ca="1" si="108"/>
        <v>5.3575246360694662</v>
      </c>
      <c r="G231" s="95">
        <f t="shared" ca="1" si="108"/>
        <v>5.5107304843052285</v>
      </c>
      <c r="H231" s="95">
        <f t="shared" ca="1" si="108"/>
        <v>5.5704077887671044</v>
      </c>
      <c r="I231" s="95">
        <f ca="1">AVERAGE(C231:H231)</f>
        <v>5.2235143580504699</v>
      </c>
    </row>
    <row r="232" spans="1:9" s="7" customFormat="1" x14ac:dyDescent="0.2">
      <c r="A232" s="30"/>
      <c r="B232" s="94"/>
      <c r="C232" s="95"/>
      <c r="D232" s="119"/>
      <c r="E232" s="95"/>
      <c r="F232" s="95"/>
      <c r="G232" s="95"/>
      <c r="H232" s="95"/>
      <c r="I232" s="95"/>
    </row>
    <row r="233" spans="1:9" s="7" customFormat="1" x14ac:dyDescent="0.2">
      <c r="A233" s="62" t="s">
        <v>80</v>
      </c>
      <c r="B233" s="94"/>
      <c r="C233" s="95"/>
      <c r="D233" s="119"/>
      <c r="E233" s="95"/>
      <c r="F233" s="95"/>
      <c r="G233" s="95"/>
      <c r="H233" s="95"/>
      <c r="I233" s="95"/>
    </row>
    <row r="234" spans="1:9" s="7" customFormat="1" x14ac:dyDescent="0.2">
      <c r="A234" s="30" t="s">
        <v>41</v>
      </c>
      <c r="B234" s="84">
        <f>'Financial Statements'!I131</f>
        <v>5.4312332488471268E-2</v>
      </c>
      <c r="C234" s="63">
        <f t="shared" ref="C234:H234" si="109">(C105+(C96*(1-(C104/C102))))/((B37+C37)/2)</f>
        <v>6.8292620554723404E-2</v>
      </c>
      <c r="D234" s="113">
        <f t="shared" ca="1" si="109"/>
        <v>5.7922742741953179E-2</v>
      </c>
      <c r="E234" s="63">
        <f t="shared" ca="1" si="109"/>
        <v>5.4634416988833812E-2</v>
      </c>
      <c r="F234" s="63">
        <f t="shared" ca="1" si="109"/>
        <v>5.0432129799386376E-2</v>
      </c>
      <c r="G234" s="63">
        <f t="shared" ca="1" si="109"/>
        <v>4.6271982087882337E-2</v>
      </c>
      <c r="H234" s="63">
        <f t="shared" ca="1" si="109"/>
        <v>4.2113887540845087E-2</v>
      </c>
      <c r="I234" s="63">
        <f ca="1">AVERAGE(C234:H234)</f>
        <v>5.3277963285604045E-2</v>
      </c>
    </row>
    <row r="235" spans="1:9" s="7" customFormat="1" x14ac:dyDescent="0.2">
      <c r="A235" s="30" t="s">
        <v>79</v>
      </c>
      <c r="B235" s="84">
        <f>'Financial Statements'!I132</f>
        <v>6.2095668392614399E-2</v>
      </c>
      <c r="C235" s="63">
        <f t="shared" ref="C235:H235" si="110">(C105+(C96*(1-(C104/C102))))/((B48+B56+B62+C48+C56+C62)/2)</f>
        <v>7.8017747095319015E-2</v>
      </c>
      <c r="D235" s="113">
        <f t="shared" ca="1" si="110"/>
        <v>6.4400303449564072E-2</v>
      </c>
      <c r="E235" s="63">
        <f t="shared" ca="1" si="110"/>
        <v>6.0392489939900186E-2</v>
      </c>
      <c r="F235" s="63">
        <f t="shared" ca="1" si="110"/>
        <v>5.5598498867371518E-2</v>
      </c>
      <c r="G235" s="63">
        <f t="shared" ca="1" si="110"/>
        <v>5.0898379421733392E-2</v>
      </c>
      <c r="H235" s="63">
        <f t="shared" ca="1" si="110"/>
        <v>4.6241295468504938E-2</v>
      </c>
      <c r="I235" s="63">
        <f ca="1">AVERAGE(C235:H235)</f>
        <v>5.9258119040398856E-2</v>
      </c>
    </row>
    <row r="236" spans="1:9" s="7" customFormat="1" x14ac:dyDescent="0.2">
      <c r="A236" s="30" t="s">
        <v>154</v>
      </c>
      <c r="B236" s="84">
        <f>'Financial Statements'!I133</f>
        <v>6.5439930023486165E-2</v>
      </c>
      <c r="C236" s="63">
        <f t="shared" ref="C236:H236" si="111">(C105-C107)/((C62+B62)/2)</f>
        <v>8.9552841432162494E-2</v>
      </c>
      <c r="D236" s="113">
        <f t="shared" ca="1" si="111"/>
        <v>6.8690764615146713E-2</v>
      </c>
      <c r="E236" s="63">
        <f t="shared" ca="1" si="111"/>
        <v>6.2944819951440981E-2</v>
      </c>
      <c r="F236" s="63">
        <f t="shared" ca="1" si="111"/>
        <v>5.6474404883356276E-2</v>
      </c>
      <c r="G236" s="63">
        <f t="shared" ca="1" si="111"/>
        <v>5.051472823920275E-2</v>
      </c>
      <c r="H236" s="63">
        <f t="shared" ca="1" si="111"/>
        <v>4.4898043872091453E-2</v>
      </c>
      <c r="I236" s="63">
        <f ca="1">AVERAGE(C236:H236)</f>
        <v>6.2179267165566772E-2</v>
      </c>
    </row>
    <row r="237" spans="1:9" s="7" customFormat="1" x14ac:dyDescent="0.2">
      <c r="A237" s="30"/>
      <c r="B237" s="94"/>
      <c r="C237" s="95"/>
      <c r="D237" s="119"/>
      <c r="E237" s="95"/>
      <c r="F237" s="95"/>
      <c r="G237" s="95"/>
      <c r="H237" s="95"/>
      <c r="I237" s="95"/>
    </row>
    <row r="238" spans="1:9" s="7" customFormat="1" x14ac:dyDescent="0.2">
      <c r="A238" s="62" t="s">
        <v>4</v>
      </c>
      <c r="B238" s="94"/>
      <c r="C238" s="95"/>
      <c r="D238" s="119"/>
      <c r="E238" s="95"/>
      <c r="F238" s="95"/>
      <c r="G238" s="95"/>
      <c r="H238" s="95"/>
      <c r="I238" s="95"/>
    </row>
    <row r="239" spans="1:9" s="7" customFormat="1" x14ac:dyDescent="0.2">
      <c r="A239" s="30" t="s">
        <v>43</v>
      </c>
      <c r="B239" s="94">
        <f>'Financial Statements'!I136</f>
        <v>22.412667588075895</v>
      </c>
      <c r="C239" s="95">
        <f t="shared" ref="C239:H239" si="112">C80/(C12+C13)</f>
        <v>13.842941308160563</v>
      </c>
      <c r="D239" s="119">
        <f t="shared" ca="1" si="112"/>
        <v>6.4685779821720271</v>
      </c>
      <c r="E239" s="95">
        <f t="shared" ca="1" si="112"/>
        <v>6.2892752611137448</v>
      </c>
      <c r="F239" s="95">
        <f t="shared" ca="1" si="112"/>
        <v>6.1768203655370737</v>
      </c>
      <c r="G239" s="95">
        <f t="shared" ca="1" si="112"/>
        <v>6.345755594871588</v>
      </c>
      <c r="H239" s="95">
        <f t="shared" ca="1" si="112"/>
        <v>6.7902862133108837</v>
      </c>
      <c r="I239" s="95">
        <f ca="1">AVERAGE(C239:H239)</f>
        <v>7.6522761208609813</v>
      </c>
    </row>
    <row r="240" spans="1:9" s="7" customFormat="1" x14ac:dyDescent="0.2">
      <c r="A240" s="30" t="s">
        <v>42</v>
      </c>
      <c r="B240" s="94">
        <f>'Financial Statements'!I137</f>
        <v>8.6595184460505354</v>
      </c>
      <c r="C240" s="95">
        <f t="shared" ref="C240:H240" si="113">C80/((B14+C14)/2)</f>
        <v>8.5631753401797273</v>
      </c>
      <c r="D240" s="119">
        <f t="shared" si="113"/>
        <v>8.2474293205622597</v>
      </c>
      <c r="E240" s="95">
        <f t="shared" si="113"/>
        <v>8.3367035888289784</v>
      </c>
      <c r="F240" s="95">
        <f t="shared" si="113"/>
        <v>8.3367035888289784</v>
      </c>
      <c r="G240" s="95">
        <f t="shared" si="113"/>
        <v>8.3367035888289784</v>
      </c>
      <c r="H240" s="95">
        <f t="shared" si="113"/>
        <v>8.3367035888289802</v>
      </c>
      <c r="I240" s="95">
        <f>AVERAGE(C240:H240)</f>
        <v>8.3595698360096495</v>
      </c>
    </row>
    <row r="241" spans="1:9" s="7" customFormat="1" x14ac:dyDescent="0.2">
      <c r="A241" s="30" t="s">
        <v>46</v>
      </c>
      <c r="B241" s="94">
        <f>'Financial Statements'!I138</f>
        <v>-10.382741824558158</v>
      </c>
      <c r="C241" s="95">
        <f t="shared" ref="C241:H241" si="114">C80/((B18+C18-B46-C46)/2)</f>
        <v>18.992269550890001</v>
      </c>
      <c r="D241" s="119">
        <f t="shared" ca="1" si="114"/>
        <v>12.209809243946548</v>
      </c>
      <c r="E241" s="95">
        <f t="shared" ca="1" si="114"/>
        <v>7.7012107961780831</v>
      </c>
      <c r="F241" s="95">
        <f t="shared" ca="1" si="114"/>
        <v>7.3148108157277036</v>
      </c>
      <c r="G241" s="95">
        <f t="shared" ca="1" si="114"/>
        <v>7.1857363720692335</v>
      </c>
      <c r="H241" s="95">
        <f t="shared" ca="1" si="114"/>
        <v>7.417607678682403</v>
      </c>
      <c r="I241" s="95">
        <f ca="1">AVERAGE(C241:H241)</f>
        <v>10.13690740958233</v>
      </c>
    </row>
    <row r="242" spans="1:9" s="7" customFormat="1" x14ac:dyDescent="0.2">
      <c r="A242" s="30" t="s">
        <v>44</v>
      </c>
      <c r="B242" s="94">
        <f>'Financial Statements'!I139</f>
        <v>0.60603399173873451</v>
      </c>
      <c r="C242" s="95">
        <f t="shared" ref="C242:H242" si="115">C80/((B28+C28)/2)</f>
        <v>0.61531015010429557</v>
      </c>
      <c r="D242" s="119">
        <f t="shared" si="115"/>
        <v>0.6374373360746568</v>
      </c>
      <c r="E242" s="95">
        <f t="shared" si="115"/>
        <v>0.65264929928248783</v>
      </c>
      <c r="F242" s="95">
        <f t="shared" si="115"/>
        <v>0.64815821849627298</v>
      </c>
      <c r="G242" s="95">
        <f t="shared" si="115"/>
        <v>0.6436980422198012</v>
      </c>
      <c r="H242" s="95">
        <f t="shared" si="115"/>
        <v>0.63926855778962466</v>
      </c>
      <c r="I242" s="95">
        <f>AVERAGE(C242:H242)</f>
        <v>0.63942026732785651</v>
      </c>
    </row>
    <row r="243" spans="1:9" s="7" customFormat="1" x14ac:dyDescent="0.2">
      <c r="A243" s="30" t="s">
        <v>45</v>
      </c>
      <c r="B243" s="94">
        <f>'Financial Statements'!I140</f>
        <v>0.50805823659545957</v>
      </c>
      <c r="C243" s="95">
        <f t="shared" ref="C243:H243" si="116">C80/((B37+C37)/2)</f>
        <v>0.51585096477735726</v>
      </c>
      <c r="D243" s="119">
        <f t="shared" ca="1" si="116"/>
        <v>0.52318631392069714</v>
      </c>
      <c r="E243" s="95">
        <f t="shared" ca="1" si="116"/>
        <v>0.52243510350283451</v>
      </c>
      <c r="F243" s="95">
        <f t="shared" ca="1" si="116"/>
        <v>0.51877936025734839</v>
      </c>
      <c r="G243" s="95">
        <f t="shared" ca="1" si="116"/>
        <v>0.51644505458575574</v>
      </c>
      <c r="H243" s="95">
        <f t="shared" ca="1" si="116"/>
        <v>0.51557357501790058</v>
      </c>
      <c r="I243" s="95">
        <f ca="1">AVERAGE(C243:H243)</f>
        <v>0.51871172867698234</v>
      </c>
    </row>
    <row r="244" spans="1:9" s="7" customFormat="1" x14ac:dyDescent="0.2">
      <c r="A244" s="30"/>
      <c r="B244" s="70"/>
      <c r="C244" s="30"/>
      <c r="D244" s="112"/>
      <c r="E244" s="30"/>
      <c r="F244" s="30"/>
      <c r="G244" s="30"/>
      <c r="H244" s="30"/>
      <c r="I244" s="63"/>
    </row>
    <row r="245" spans="1:9" s="7" customFormat="1" x14ac:dyDescent="0.2">
      <c r="A245" s="62" t="s">
        <v>153</v>
      </c>
      <c r="B245" s="30"/>
      <c r="C245" s="30"/>
      <c r="D245" s="112"/>
      <c r="E245" s="30"/>
      <c r="F245" s="30"/>
      <c r="G245" s="30"/>
      <c r="H245" s="30"/>
      <c r="I245" s="63"/>
    </row>
    <row r="246" spans="1:9" s="7" customFormat="1" x14ac:dyDescent="0.2">
      <c r="A246" s="30"/>
      <c r="B246" s="97"/>
      <c r="C246" s="97"/>
      <c r="D246" s="120"/>
      <c r="E246" s="97"/>
      <c r="F246" s="97"/>
      <c r="G246" s="97"/>
      <c r="H246" s="97"/>
      <c r="I246" s="95"/>
    </row>
    <row r="247" spans="1:9" s="7" customFormat="1" x14ac:dyDescent="0.2">
      <c r="A247" s="30"/>
      <c r="B247" s="96"/>
      <c r="C247" s="63"/>
      <c r="D247" s="113"/>
      <c r="E247" s="63"/>
      <c r="F247" s="63"/>
      <c r="G247" s="63"/>
      <c r="H247" s="63"/>
      <c r="I247" s="96"/>
    </row>
    <row r="248" spans="1:9" s="7" customFormat="1" x14ac:dyDescent="0.2">
      <c r="A248" s="30"/>
      <c r="B248" s="96"/>
      <c r="C248" s="96"/>
      <c r="D248" s="121"/>
      <c r="E248" s="96"/>
      <c r="F248" s="96"/>
      <c r="G248" s="96"/>
      <c r="H248" s="96"/>
      <c r="I248" s="96"/>
    </row>
    <row r="249" spans="1:9" s="7" customFormat="1" x14ac:dyDescent="0.2">
      <c r="A249" s="30"/>
      <c r="B249" s="70"/>
      <c r="C249" s="30"/>
      <c r="D249" s="112"/>
      <c r="E249" s="30"/>
      <c r="F249" s="30"/>
      <c r="G249" s="30"/>
      <c r="H249" s="30"/>
      <c r="I249" s="63"/>
    </row>
    <row r="250" spans="1:9" s="7" customFormat="1" x14ac:dyDescent="0.2">
      <c r="A250" s="62" t="s">
        <v>103</v>
      </c>
      <c r="B250" s="70"/>
      <c r="C250" s="30"/>
      <c r="D250" s="112"/>
      <c r="E250" s="30"/>
      <c r="F250" s="30"/>
      <c r="G250" s="30"/>
      <c r="H250" s="30"/>
      <c r="I250" s="63"/>
    </row>
    <row r="251" spans="1:9" s="7" customFormat="1" x14ac:dyDescent="0.2">
      <c r="A251" s="30" t="s">
        <v>74</v>
      </c>
      <c r="B251" s="63">
        <f t="shared" ref="B251:H251" si="117">(B40+B48+B51)/(B40+B48+B51+B62)</f>
        <v>0.3325817270172482</v>
      </c>
      <c r="C251" s="63">
        <f t="shared" si="117"/>
        <v>0.30131525084146321</v>
      </c>
      <c r="D251" s="229">
        <f t="shared" ca="1" si="117"/>
        <v>0.26991449576414422</v>
      </c>
      <c r="E251" s="204">
        <f t="shared" ca="1" si="117"/>
        <v>0.24223395325405966</v>
      </c>
      <c r="F251" s="204">
        <f t="shared" ca="1" si="117"/>
        <v>0.21795415046881911</v>
      </c>
      <c r="G251" s="204">
        <f t="shared" ca="1" si="117"/>
        <v>0.19667856145701776</v>
      </c>
      <c r="H251" s="204">
        <f t="shared" ca="1" si="117"/>
        <v>0.17805564440287103</v>
      </c>
      <c r="I251" s="204">
        <f ca="1">AVERAGE(C251:H251)</f>
        <v>0.23435867603139582</v>
      </c>
    </row>
    <row r="252" spans="1:9" s="7" customFormat="1" x14ac:dyDescent="0.2">
      <c r="A252" s="30" t="s">
        <v>104</v>
      </c>
      <c r="B252" s="63">
        <f t="shared" ref="B252:H252" si="118">B62/(B40+B48+B51+B62)</f>
        <v>0.6674182729827518</v>
      </c>
      <c r="C252" s="63">
        <f t="shared" si="118"/>
        <v>0.69868474915853673</v>
      </c>
      <c r="D252" s="229">
        <f t="shared" ca="1" si="118"/>
        <v>0.73008550423585572</v>
      </c>
      <c r="E252" s="204">
        <f t="shared" ca="1" si="118"/>
        <v>0.75776604674594028</v>
      </c>
      <c r="F252" s="204">
        <f t="shared" ca="1" si="118"/>
        <v>0.78204584953118084</v>
      </c>
      <c r="G252" s="204">
        <f t="shared" ca="1" si="118"/>
        <v>0.80332143854298232</v>
      </c>
      <c r="H252" s="204">
        <f t="shared" ca="1" si="118"/>
        <v>0.82194435559712897</v>
      </c>
      <c r="I252" s="204">
        <f ca="1">AVERAGE(C252:H252)</f>
        <v>0.76564132396860429</v>
      </c>
    </row>
    <row r="253" spans="1:9" s="7" customFormat="1" x14ac:dyDescent="0.2">
      <c r="A253" s="30"/>
      <c r="B253" s="84"/>
      <c r="C253" s="30"/>
      <c r="D253" s="230"/>
      <c r="E253" s="201"/>
      <c r="F253" s="201"/>
      <c r="G253" s="201"/>
      <c r="H253" s="201"/>
      <c r="I253" s="204"/>
    </row>
    <row r="254" spans="1:9" s="7" customFormat="1" x14ac:dyDescent="0.2">
      <c r="A254" s="62" t="s">
        <v>105</v>
      </c>
      <c r="B254" s="84"/>
      <c r="C254" s="30"/>
      <c r="D254" s="230"/>
      <c r="E254" s="201"/>
      <c r="F254" s="201"/>
      <c r="G254" s="201"/>
      <c r="H254" s="201"/>
      <c r="I254" s="204"/>
    </row>
    <row r="255" spans="1:9" s="7" customFormat="1" x14ac:dyDescent="0.2">
      <c r="A255" s="30" t="s">
        <v>106</v>
      </c>
      <c r="B255" s="63">
        <f t="shared" ref="B255:H255" si="119">(B$40)/(B$40+B$51+B$62)</f>
        <v>3.5423973543960076E-2</v>
      </c>
      <c r="C255" s="63">
        <f t="shared" si="119"/>
        <v>3.1797742445031189E-2</v>
      </c>
      <c r="D255" s="229">
        <f t="shared" ca="1" si="119"/>
        <v>2.2793403683528331E-2</v>
      </c>
      <c r="E255" s="204">
        <f t="shared" ca="1" si="119"/>
        <v>1.9769620922119275E-2</v>
      </c>
      <c r="F255" s="204">
        <f t="shared" ca="1" si="119"/>
        <v>1.727958137832275E-2</v>
      </c>
      <c r="G255" s="204">
        <f t="shared" ca="1" si="119"/>
        <v>1.5211807040147934E-2</v>
      </c>
      <c r="H255" s="204">
        <f t="shared" ca="1" si="119"/>
        <v>1.3483051331878278E-2</v>
      </c>
      <c r="I255" s="204">
        <f ca="1">AVERAGE(C255:H255)</f>
        <v>2.0055867800171292E-2</v>
      </c>
    </row>
    <row r="256" spans="1:9" s="7" customFormat="1" x14ac:dyDescent="0.2">
      <c r="A256" s="30" t="s">
        <v>74</v>
      </c>
      <c r="B256" s="63">
        <f>B$48/(B$40+B$48+B$62)</f>
        <v>0.30807084700734155</v>
      </c>
      <c r="C256" s="63">
        <f t="shared" ref="C256:H256" si="120">C$48/(C$40+C$48+C$62)</f>
        <v>0.27836901462825853</v>
      </c>
      <c r="D256" s="229">
        <f t="shared" ca="1" si="120"/>
        <v>0.25288520668211384</v>
      </c>
      <c r="E256" s="204">
        <f t="shared" ca="1" si="120"/>
        <v>0.22695106893260777</v>
      </c>
      <c r="F256" s="204">
        <f t="shared" ca="1" si="120"/>
        <v>0.20420311340630753</v>
      </c>
      <c r="G256" s="204">
        <f t="shared" ca="1" si="120"/>
        <v>0.18426983153753945</v>
      </c>
      <c r="H256" s="204">
        <f t="shared" ca="1" si="120"/>
        <v>0.16682186078321226</v>
      </c>
      <c r="I256" s="204">
        <f ca="1">AVERAGE(C256:H256)</f>
        <v>0.21891668266167322</v>
      </c>
    </row>
    <row r="257" spans="1:9" s="7" customFormat="1" x14ac:dyDescent="0.2">
      <c r="A257" s="30" t="s">
        <v>104</v>
      </c>
      <c r="B257" s="63">
        <f>B$62/(B$40+B$48+B$62)</f>
        <v>0.6674182729827518</v>
      </c>
      <c r="C257" s="63">
        <f t="shared" ref="C257:H257" si="121">C$62/(C$40+C$48+C$62)</f>
        <v>0.69868474915853673</v>
      </c>
      <c r="D257" s="229">
        <f t="shared" ca="1" si="121"/>
        <v>0.73008550423585572</v>
      </c>
      <c r="E257" s="204">
        <f t="shared" ca="1" si="121"/>
        <v>0.75776604674594028</v>
      </c>
      <c r="F257" s="204">
        <f t="shared" ca="1" si="121"/>
        <v>0.78204584953118084</v>
      </c>
      <c r="G257" s="204">
        <f t="shared" ca="1" si="121"/>
        <v>0.80332143854298232</v>
      </c>
      <c r="H257" s="204">
        <f t="shared" ca="1" si="121"/>
        <v>0.82194435559712897</v>
      </c>
      <c r="I257" s="204">
        <f ca="1">AVERAGE(C257:H257)</f>
        <v>0.76564132396860429</v>
      </c>
    </row>
    <row r="258" spans="1:9" s="7" customFormat="1" x14ac:dyDescent="0.2">
      <c r="D258" s="49"/>
      <c r="I258" s="10"/>
    </row>
    <row r="259" spans="1:9" s="7" customFormat="1" x14ac:dyDescent="0.2">
      <c r="I259" s="10"/>
    </row>
    <row r="260" spans="1:9" s="7" customFormat="1" x14ac:dyDescent="0.2">
      <c r="I260" s="10"/>
    </row>
    <row r="261" spans="1:9" s="7" customFormat="1" x14ac:dyDescent="0.2">
      <c r="I261" s="10"/>
    </row>
    <row r="262" spans="1:9" s="7" customFormat="1" x14ac:dyDescent="0.2">
      <c r="I262" s="10"/>
    </row>
    <row r="263" spans="1:9" s="7" customFormat="1" x14ac:dyDescent="0.2">
      <c r="I263" s="10"/>
    </row>
    <row r="264" spans="1:9" s="7" customFormat="1" x14ac:dyDescent="0.2">
      <c r="I264" s="10"/>
    </row>
    <row r="265" spans="1:9" s="7" customFormat="1" x14ac:dyDescent="0.2">
      <c r="B265" s="9"/>
      <c r="C265" s="9"/>
      <c r="I265" s="10"/>
    </row>
    <row r="266" spans="1:9" s="7" customFormat="1" x14ac:dyDescent="0.2">
      <c r="B266" s="7" t="s">
        <v>15</v>
      </c>
      <c r="C266" s="7" t="s">
        <v>37</v>
      </c>
      <c r="I266" s="10"/>
    </row>
    <row r="267" spans="1:9" s="7" customFormat="1" x14ac:dyDescent="0.2">
      <c r="B267" s="17"/>
      <c r="C267" s="37"/>
      <c r="D267" s="11"/>
      <c r="I267" s="10"/>
    </row>
    <row r="268" spans="1:9" s="7" customFormat="1" x14ac:dyDescent="0.2">
      <c r="A268" s="13">
        <f>B9</f>
        <v>2012</v>
      </c>
      <c r="B268" s="17">
        <f>B$95-$C268</f>
        <v>0</v>
      </c>
      <c r="C268" s="7">
        <f>B$95</f>
        <v>0</v>
      </c>
      <c r="D268" s="11"/>
      <c r="I268" s="10"/>
    </row>
    <row r="269" spans="1:9" s="7" customFormat="1" x14ac:dyDescent="0.2">
      <c r="A269" s="13">
        <f>C9</f>
        <v>2013</v>
      </c>
      <c r="B269" s="17">
        <f>C$95-$C269</f>
        <v>0</v>
      </c>
      <c r="C269" s="7">
        <f>C$95</f>
        <v>0</v>
      </c>
      <c r="D269" s="11"/>
      <c r="I269" s="10"/>
    </row>
    <row r="270" spans="1:9" s="7" customFormat="1" x14ac:dyDescent="0.2">
      <c r="A270" s="13">
        <f>D9</f>
        <v>2014</v>
      </c>
      <c r="B270" s="17">
        <f ca="1">D$95-$C270</f>
        <v>-1.4456418284680694E-6</v>
      </c>
      <c r="C270" s="7">
        <f ca="1">D$95</f>
        <v>-14145.706257458118</v>
      </c>
      <c r="D270" s="11"/>
      <c r="I270" s="10"/>
    </row>
    <row r="271" spans="1:9" s="7" customFormat="1" x14ac:dyDescent="0.2">
      <c r="A271" s="13">
        <f>E9</f>
        <v>2015</v>
      </c>
      <c r="B271" s="17">
        <f ca="1">E$95-$C271</f>
        <v>-3.4264303394593298E-6</v>
      </c>
      <c r="C271" s="7">
        <f ca="1">E$95</f>
        <v>-29346.947334320761</v>
      </c>
      <c r="I271" s="10"/>
    </row>
    <row r="272" spans="1:9" s="7" customFormat="1" x14ac:dyDescent="0.2">
      <c r="A272" s="13">
        <f>F9</f>
        <v>2016</v>
      </c>
      <c r="B272" s="17">
        <f ca="1">F$95-$C272</f>
        <v>-4.9296359065920115E-6</v>
      </c>
      <c r="C272" s="7">
        <f ca="1">F$95</f>
        <v>-31311.055426245381</v>
      </c>
      <c r="I272" s="10"/>
    </row>
    <row r="273" spans="1:9" s="7" customFormat="1" x14ac:dyDescent="0.2">
      <c r="A273" s="13">
        <f>G9</f>
        <v>2017</v>
      </c>
      <c r="B273" s="17">
        <f ca="1">G$95-$C273</f>
        <v>-6.9895795604679734E-6</v>
      </c>
      <c r="C273" s="7">
        <f ca="1">G$95</f>
        <v>-32174.163054003129</v>
      </c>
      <c r="I273" s="10"/>
    </row>
    <row r="274" spans="1:9" s="7" customFormat="1" x14ac:dyDescent="0.2">
      <c r="A274" s="13">
        <f>H9</f>
        <v>2018</v>
      </c>
      <c r="B274" s="17">
        <f ca="1">H$95-$C274</f>
        <v>-9.3413364083971828E-6</v>
      </c>
      <c r="C274" s="7">
        <f ca="1">H$95</f>
        <v>-31200.306334473044</v>
      </c>
      <c r="I274" s="10"/>
    </row>
    <row r="275" spans="1:9" s="7" customFormat="1" x14ac:dyDescent="0.2">
      <c r="A275" s="38"/>
      <c r="B275" s="17"/>
      <c r="I275" s="10"/>
    </row>
    <row r="276" spans="1:9" s="7" customFormat="1" x14ac:dyDescent="0.2">
      <c r="A276" s="11"/>
      <c r="B276" s="17"/>
      <c r="I276" s="10"/>
    </row>
    <row r="277" spans="1:9" s="7" customFormat="1" x14ac:dyDescent="0.2">
      <c r="A277" s="9" t="s">
        <v>16</v>
      </c>
      <c r="B277" s="31"/>
      <c r="I277" s="10"/>
    </row>
    <row r="278" spans="1:9" s="7" customFormat="1" x14ac:dyDescent="0.2">
      <c r="A278" s="7" t="s">
        <v>21</v>
      </c>
      <c r="B278" s="7" t="s">
        <v>15</v>
      </c>
      <c r="C278" s="11" t="s">
        <v>3</v>
      </c>
      <c r="I278" s="10"/>
    </row>
    <row r="279" spans="1:9" s="7" customFormat="1" x14ac:dyDescent="0.2">
      <c r="A279" s="13">
        <f t="shared" ref="A279:A285" si="122">A268</f>
        <v>2012</v>
      </c>
      <c r="B279" s="17">
        <f>$C279-B63</f>
        <v>0</v>
      </c>
      <c r="C279" s="7">
        <f>B$37</f>
        <v>24100997</v>
      </c>
      <c r="I279" s="10"/>
    </row>
    <row r="280" spans="1:9" s="7" customFormat="1" x14ac:dyDescent="0.2">
      <c r="A280" s="13">
        <f t="shared" si="122"/>
        <v>2013</v>
      </c>
      <c r="B280" s="17">
        <f>$C280-C$63</f>
        <v>0</v>
      </c>
      <c r="C280" s="7">
        <f>C$37</f>
        <v>23606383</v>
      </c>
      <c r="I280" s="10"/>
    </row>
    <row r="281" spans="1:9" s="7" customFormat="1" x14ac:dyDescent="0.2">
      <c r="A281" s="13">
        <f t="shared" si="122"/>
        <v>2014</v>
      </c>
      <c r="B281" s="17">
        <f ca="1">$C281-D$63</f>
        <v>-2.8923861682415009E-3</v>
      </c>
      <c r="C281" s="7">
        <f ca="1">D$37</f>
        <v>24278802.272623789</v>
      </c>
      <c r="I281" s="10"/>
    </row>
    <row r="282" spans="1:9" s="7" customFormat="1" x14ac:dyDescent="0.2">
      <c r="A282" s="13">
        <f t="shared" si="122"/>
        <v>2015</v>
      </c>
      <c r="B282" s="17">
        <f ca="1">$C282-E$63</f>
        <v>-3.9672739803791046E-3</v>
      </c>
      <c r="C282" s="7">
        <f ca="1">E37</f>
        <v>25317831.732794486</v>
      </c>
      <c r="I282" s="10"/>
    </row>
    <row r="283" spans="1:9" s="7" customFormat="1" x14ac:dyDescent="0.2">
      <c r="A283" s="13">
        <f t="shared" si="122"/>
        <v>2016</v>
      </c>
      <c r="B283" s="17">
        <f ca="1">$C283-F$63</f>
        <v>-5.909990519285202E-3</v>
      </c>
      <c r="C283" s="7">
        <f ca="1">F37</f>
        <v>26339131.404635932</v>
      </c>
      <c r="I283" s="10"/>
    </row>
    <row r="284" spans="1:9" s="7" customFormat="1" x14ac:dyDescent="0.2">
      <c r="A284" s="13">
        <f t="shared" si="122"/>
        <v>2017</v>
      </c>
      <c r="B284" s="17">
        <f ca="1">$C284-G$63</f>
        <v>-8.1031322479248047E-3</v>
      </c>
      <c r="C284" s="7">
        <f ca="1">G37</f>
        <v>27328749.050640482</v>
      </c>
      <c r="I284" s="10"/>
    </row>
    <row r="285" spans="1:9" s="7" customFormat="1" x14ac:dyDescent="0.2">
      <c r="A285" s="13">
        <f t="shared" si="122"/>
        <v>2018</v>
      </c>
      <c r="B285" s="17">
        <f ca="1">$C285-H$63</f>
        <v>-1.0635349899530411E-2</v>
      </c>
      <c r="C285" s="7">
        <f ca="1">H37</f>
        <v>28271267.81008191</v>
      </c>
      <c r="I285" s="10"/>
    </row>
    <row r="286" spans="1:9" s="7" customFormat="1" x14ac:dyDescent="0.2">
      <c r="I286" s="10"/>
    </row>
    <row r="287" spans="1:9" s="7" customFormat="1" x14ac:dyDescent="0.2">
      <c r="I287" s="10"/>
    </row>
    <row r="288" spans="1:9" s="7" customFormat="1" x14ac:dyDescent="0.2">
      <c r="I288" s="10"/>
    </row>
    <row r="289" spans="9:9" s="7" customFormat="1" x14ac:dyDescent="0.2">
      <c r="I289" s="10"/>
    </row>
    <row r="290" spans="9:9" s="7" customFormat="1" x14ac:dyDescent="0.2">
      <c r="I290" s="10"/>
    </row>
    <row r="291" spans="9:9" s="7" customFormat="1" x14ac:dyDescent="0.2">
      <c r="I291" s="10"/>
    </row>
    <row r="292" spans="9:9" s="7" customFormat="1" x14ac:dyDescent="0.2">
      <c r="I292" s="10"/>
    </row>
    <row r="293" spans="9:9" s="7" customFormat="1" x14ac:dyDescent="0.2">
      <c r="I293" s="10"/>
    </row>
    <row r="294" spans="9:9" s="7" customFormat="1" x14ac:dyDescent="0.2">
      <c r="I294" s="10"/>
    </row>
    <row r="295" spans="9:9" s="7" customFormat="1" x14ac:dyDescent="0.2">
      <c r="I295" s="10"/>
    </row>
    <row r="296" spans="9:9" s="7" customFormat="1" x14ac:dyDescent="0.2">
      <c r="I296" s="10"/>
    </row>
    <row r="297" spans="9:9" s="7" customFormat="1" x14ac:dyDescent="0.2">
      <c r="I297" s="10"/>
    </row>
    <row r="298" spans="9:9" s="7" customFormat="1" x14ac:dyDescent="0.2">
      <c r="I298" s="10"/>
    </row>
    <row r="299" spans="9:9" s="7" customFormat="1" x14ac:dyDescent="0.2">
      <c r="I299" s="10"/>
    </row>
    <row r="300" spans="9:9" s="7" customFormat="1" x14ac:dyDescent="0.2">
      <c r="I300" s="10"/>
    </row>
    <row r="301" spans="9:9" s="7" customFormat="1" x14ac:dyDescent="0.2">
      <c r="I301" s="10"/>
    </row>
    <row r="302" spans="9:9" s="7" customFormat="1" x14ac:dyDescent="0.2">
      <c r="I302" s="10"/>
    </row>
    <row r="303" spans="9:9" s="7" customFormat="1" x14ac:dyDescent="0.2">
      <c r="I303" s="10"/>
    </row>
    <row r="304" spans="9:9" s="7" customFormat="1" x14ac:dyDescent="0.2">
      <c r="I304" s="10"/>
    </row>
    <row r="305" spans="9:9" s="7" customFormat="1" x14ac:dyDescent="0.2">
      <c r="I305" s="10"/>
    </row>
    <row r="306" spans="9:9" s="7" customFormat="1" x14ac:dyDescent="0.2">
      <c r="I306" s="10"/>
    </row>
    <row r="307" spans="9:9" s="7" customFormat="1" x14ac:dyDescent="0.2">
      <c r="I307" s="10"/>
    </row>
    <row r="308" spans="9:9" s="7" customFormat="1" x14ac:dyDescent="0.2">
      <c r="I308" s="10"/>
    </row>
    <row r="309" spans="9:9" s="7" customFormat="1" x14ac:dyDescent="0.2">
      <c r="I309" s="10"/>
    </row>
    <row r="310" spans="9:9" s="7" customFormat="1" x14ac:dyDescent="0.2">
      <c r="I310" s="10"/>
    </row>
    <row r="311" spans="9:9" s="7" customFormat="1" x14ac:dyDescent="0.2">
      <c r="I311" s="10"/>
    </row>
  </sheetData>
  <phoneticPr fontId="5" type="noConversion"/>
  <printOptions horizontalCentered="1"/>
  <pageMargins left="0.66" right="0.66" top="0.75" bottom="0.75" header="0.5" footer="0.5"/>
  <pageSetup scale="75" fitToHeight="6" orientation="portrait" r:id="rId1"/>
  <headerFooter alignWithMargins="0"/>
  <rowBreaks count="4" manualBreakCount="4">
    <brk id="67" max="8" man="1"/>
    <brk id="109" max="12" man="1"/>
    <brk id="172" max="8" man="1"/>
    <brk id="21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4" sqref="I44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Financial Statements</vt:lpstr>
      <vt:lpstr>Cash Flow</vt:lpstr>
      <vt:lpstr>Assumptions</vt:lpstr>
      <vt:lpstr>Forecast </vt:lpstr>
      <vt:lpstr>Earnings Chart</vt:lpstr>
      <vt:lpstr>Chart1</vt:lpstr>
      <vt:lpstr>Assumptions!Print_Area</vt:lpstr>
      <vt:lpstr>'Cash Flow'!Print_Area</vt:lpstr>
      <vt:lpstr>'Financial Statements'!Print_Area</vt:lpstr>
      <vt:lpstr>'Forecast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Harris Wirz</dc:creator>
  <cp:lastModifiedBy>laurieharris</cp:lastModifiedBy>
  <cp:lastPrinted>2014-07-29T18:02:24Z</cp:lastPrinted>
  <dcterms:created xsi:type="dcterms:W3CDTF">2005-09-19T14:11:29Z</dcterms:created>
  <dcterms:modified xsi:type="dcterms:W3CDTF">2014-07-31T13:25:20Z</dcterms:modified>
</cp:coreProperties>
</file>