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101\"/>
    </mc:Choice>
  </mc:AlternateContent>
  <bookViews>
    <workbookView xWindow="-270" yWindow="-105" windowWidth="15285" windowHeight="8820" tabRatio="685"/>
  </bookViews>
  <sheets>
    <sheet name="Historical" sheetId="5" r:id="rId1"/>
    <sheet name="Cash Flow" sheetId="8" r:id="rId2"/>
    <sheet name="Forecast " sheetId="1" r:id="rId3"/>
    <sheet name="Assumptions" sheetId="2" r:id="rId4"/>
    <sheet name="Chart1" sheetId="7" r:id="rId5"/>
  </sheets>
  <definedNames>
    <definedName name="_xlnm.Print_Area" localSheetId="3">Assumptions!$A$1:$R$72</definedName>
    <definedName name="_xlnm.Print_Area" localSheetId="2">'Forecast '!$A$1:$J$265</definedName>
    <definedName name="_xlnm.Print_Area" localSheetId="0">Historical!$A$1:$L$165</definedName>
  </definedNames>
  <calcPr calcId="152511" iterate="1"/>
</workbook>
</file>

<file path=xl/calcChain.xml><?xml version="1.0" encoding="utf-8"?>
<calcChain xmlns="http://schemas.openxmlformats.org/spreadsheetml/2006/main">
  <c r="K80" i="5" l="1"/>
  <c r="J80" i="5"/>
  <c r="J90" i="5" s="1"/>
  <c r="C84" i="1"/>
  <c r="D84" i="1" s="1"/>
  <c r="E84" i="1" s="1"/>
  <c r="F84" i="1" s="1"/>
  <c r="G84" i="1" s="1"/>
  <c r="H84" i="1" s="1"/>
  <c r="I84" i="1" s="1"/>
  <c r="B84" i="1"/>
  <c r="L1" i="8"/>
  <c r="E107" i="1"/>
  <c r="F107" i="1" s="1"/>
  <c r="G107" i="1" s="1"/>
  <c r="H107" i="1" s="1"/>
  <c r="I102" i="1"/>
  <c r="G169" i="5"/>
  <c r="F169" i="5"/>
  <c r="D38" i="2"/>
  <c r="F110" i="1"/>
  <c r="G110" i="1" s="1"/>
  <c r="H110" i="1" s="1"/>
  <c r="I110" i="1" s="1"/>
  <c r="E110" i="1"/>
  <c r="D102" i="1"/>
  <c r="D24" i="2"/>
  <c r="D23" i="2"/>
  <c r="D22" i="2"/>
  <c r="B24" i="2"/>
  <c r="B23" i="2"/>
  <c r="B22" i="2"/>
  <c r="B21" i="2"/>
  <c r="C115" i="1"/>
  <c r="B115" i="1"/>
  <c r="C111" i="1"/>
  <c r="B111" i="1"/>
  <c r="C110" i="1"/>
  <c r="B110" i="1"/>
  <c r="C109" i="1"/>
  <c r="B109" i="1"/>
  <c r="C108" i="1"/>
  <c r="B108" i="1"/>
  <c r="C107" i="1"/>
  <c r="B107" i="1"/>
  <c r="A107" i="1"/>
  <c r="C102" i="1"/>
  <c r="B102" i="1"/>
  <c r="C101" i="1"/>
  <c r="B101" i="1"/>
  <c r="C100" i="1"/>
  <c r="B100" i="1"/>
  <c r="C99" i="1"/>
  <c r="B99" i="1"/>
  <c r="C93" i="1"/>
  <c r="B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C87" i="1"/>
  <c r="B87" i="1"/>
  <c r="C85" i="1"/>
  <c r="B85" i="1"/>
  <c r="A81" i="1"/>
  <c r="A79" i="1"/>
  <c r="C79" i="1"/>
  <c r="B79" i="1"/>
  <c r="C61" i="1"/>
  <c r="D61" i="1" s="1"/>
  <c r="B61" i="1"/>
  <c r="C52" i="1"/>
  <c r="B52" i="1"/>
  <c r="C51" i="1"/>
  <c r="B51" i="1"/>
  <c r="C50" i="1"/>
  <c r="B50" i="1"/>
  <c r="B54" i="1" s="1"/>
  <c r="C47" i="1"/>
  <c r="B47" i="1"/>
  <c r="C46" i="1"/>
  <c r="B46" i="1"/>
  <c r="C45" i="1"/>
  <c r="B45" i="1"/>
  <c r="C44" i="1"/>
  <c r="D44" i="1" s="1"/>
  <c r="E44" i="1" s="1"/>
  <c r="F44" i="1" s="1"/>
  <c r="G44" i="1" s="1"/>
  <c r="H44" i="1" s="1"/>
  <c r="I44" i="1" s="1"/>
  <c r="B44" i="1"/>
  <c r="C43" i="1"/>
  <c r="B43" i="1"/>
  <c r="C42" i="1"/>
  <c r="B42" i="1"/>
  <c r="A46" i="1"/>
  <c r="C35" i="1"/>
  <c r="B35" i="1"/>
  <c r="C34" i="1"/>
  <c r="B34" i="1"/>
  <c r="C33" i="1"/>
  <c r="D33" i="1" s="1"/>
  <c r="E33" i="1" s="1"/>
  <c r="F33" i="1" s="1"/>
  <c r="G33" i="1" s="1"/>
  <c r="H33" i="1" s="1"/>
  <c r="B33" i="1"/>
  <c r="A33" i="1"/>
  <c r="C32" i="1"/>
  <c r="B32" i="1"/>
  <c r="A32" i="1"/>
  <c r="C31" i="1"/>
  <c r="B31" i="1"/>
  <c r="C26" i="1"/>
  <c r="B26" i="1"/>
  <c r="C23" i="1"/>
  <c r="B23" i="1"/>
  <c r="A23" i="1"/>
  <c r="C22" i="1"/>
  <c r="D22" i="1" s="1"/>
  <c r="B22" i="1"/>
  <c r="C21" i="1"/>
  <c r="B21" i="1"/>
  <c r="C20" i="1"/>
  <c r="B20" i="1"/>
  <c r="B24" i="1" s="1"/>
  <c r="C12" i="1"/>
  <c r="C16" i="1"/>
  <c r="B16" i="1"/>
  <c r="C15" i="1"/>
  <c r="B15" i="1"/>
  <c r="C14" i="1"/>
  <c r="B14" i="1"/>
  <c r="B12" i="1"/>
  <c r="X128" i="5"/>
  <c r="X132" i="5"/>
  <c r="T140" i="5"/>
  <c r="S140" i="5"/>
  <c r="W139" i="5"/>
  <c r="W140" i="5" s="1"/>
  <c r="V139" i="5"/>
  <c r="V140" i="5" s="1"/>
  <c r="U139" i="5"/>
  <c r="U140" i="5" s="1"/>
  <c r="T139" i="5"/>
  <c r="S139" i="5"/>
  <c r="L12" i="5"/>
  <c r="X130" i="5"/>
  <c r="W129" i="5"/>
  <c r="V129" i="5"/>
  <c r="U129" i="5"/>
  <c r="T129" i="5"/>
  <c r="K42" i="8"/>
  <c r="K32" i="8"/>
  <c r="L51" i="8"/>
  <c r="L41" i="8"/>
  <c r="L40" i="8"/>
  <c r="L39" i="8"/>
  <c r="L38" i="8"/>
  <c r="L37" i="8"/>
  <c r="L36" i="8"/>
  <c r="L35" i="8"/>
  <c r="L31" i="8"/>
  <c r="L29" i="8"/>
  <c r="L28" i="8"/>
  <c r="L24" i="8"/>
  <c r="L23" i="8"/>
  <c r="L22" i="8"/>
  <c r="L21" i="8"/>
  <c r="L20" i="8"/>
  <c r="L19" i="8"/>
  <c r="L15" i="8"/>
  <c r="L14" i="8"/>
  <c r="L114" i="5"/>
  <c r="L108" i="5"/>
  <c r="L107" i="5"/>
  <c r="L102" i="5"/>
  <c r="L97" i="5"/>
  <c r="L94" i="5"/>
  <c r="L89" i="5"/>
  <c r="L87" i="5"/>
  <c r="L86" i="5"/>
  <c r="L85" i="5"/>
  <c r="L84" i="5"/>
  <c r="L83" i="5"/>
  <c r="L81" i="5"/>
  <c r="L80" i="5"/>
  <c r="L75" i="5"/>
  <c r="L60" i="5"/>
  <c r="L52" i="5"/>
  <c r="L50" i="5"/>
  <c r="L47" i="5"/>
  <c r="L46" i="5"/>
  <c r="L44" i="5"/>
  <c r="L43" i="5"/>
  <c r="L42" i="5"/>
  <c r="L34" i="5"/>
  <c r="L33" i="5"/>
  <c r="L26" i="5"/>
  <c r="L21" i="5"/>
  <c r="L20" i="5"/>
  <c r="L15" i="5"/>
  <c r="L14" i="5"/>
  <c r="L13" i="5"/>
  <c r="K82" i="5"/>
  <c r="C86" i="1" s="1"/>
  <c r="K41" i="5"/>
  <c r="L41" i="5" s="1"/>
  <c r="G32" i="8"/>
  <c r="L32" i="8" s="1"/>
  <c r="E46" i="8"/>
  <c r="H42" i="8"/>
  <c r="G42" i="8"/>
  <c r="F42" i="8"/>
  <c r="E42" i="8"/>
  <c r="D42" i="8"/>
  <c r="C42" i="8"/>
  <c r="B42" i="8"/>
  <c r="H32" i="8"/>
  <c r="F32" i="8"/>
  <c r="E32" i="8"/>
  <c r="D32" i="8"/>
  <c r="C32" i="8"/>
  <c r="B32" i="8"/>
  <c r="I32" i="8"/>
  <c r="J42" i="8"/>
  <c r="I42" i="8"/>
  <c r="J32" i="8"/>
  <c r="F125" i="5"/>
  <c r="E125" i="5"/>
  <c r="D125" i="5"/>
  <c r="C125" i="5"/>
  <c r="M114" i="5"/>
  <c r="M113" i="5"/>
  <c r="M111" i="5"/>
  <c r="M109" i="5"/>
  <c r="M108" i="5"/>
  <c r="M107" i="5"/>
  <c r="M106" i="5"/>
  <c r="M104" i="5"/>
  <c r="M103" i="5"/>
  <c r="M102" i="5"/>
  <c r="M100" i="5"/>
  <c r="M98" i="5"/>
  <c r="M97" i="5"/>
  <c r="M96" i="5"/>
  <c r="M95" i="5"/>
  <c r="M94" i="5"/>
  <c r="M92" i="5"/>
  <c r="M90" i="5"/>
  <c r="M89" i="5"/>
  <c r="M88" i="5"/>
  <c r="M87" i="5"/>
  <c r="M86" i="5"/>
  <c r="M85" i="5"/>
  <c r="M84" i="5"/>
  <c r="M83" i="5"/>
  <c r="M82" i="5"/>
  <c r="M81" i="5"/>
  <c r="M80" i="5"/>
  <c r="M79" i="5"/>
  <c r="M77" i="5"/>
  <c r="M74" i="5"/>
  <c r="M75" i="5"/>
  <c r="R73" i="5"/>
  <c r="Q73" i="5"/>
  <c r="P73" i="5"/>
  <c r="O73" i="5"/>
  <c r="N73" i="5"/>
  <c r="L65" i="5"/>
  <c r="L117" i="5" s="1"/>
  <c r="A69" i="5"/>
  <c r="L71" i="5"/>
  <c r="B73" i="5"/>
  <c r="B125" i="5" s="1"/>
  <c r="F73" i="5"/>
  <c r="B77" i="5"/>
  <c r="N108" i="5" s="1"/>
  <c r="C77" i="5"/>
  <c r="O114" i="5" s="1"/>
  <c r="D77" i="5"/>
  <c r="P108" i="5" s="1"/>
  <c r="E77" i="5"/>
  <c r="Q114" i="5" s="1"/>
  <c r="F77" i="5"/>
  <c r="R108" i="5" s="1"/>
  <c r="G77" i="5"/>
  <c r="S114" i="5" s="1"/>
  <c r="H77" i="5"/>
  <c r="T108" i="5" s="1"/>
  <c r="I77" i="5"/>
  <c r="U114" i="5" s="1"/>
  <c r="J77" i="5"/>
  <c r="V108" i="5" s="1"/>
  <c r="K77" i="5"/>
  <c r="W114" i="5" s="1"/>
  <c r="E82" i="5"/>
  <c r="F82" i="5"/>
  <c r="R82" i="5" s="1"/>
  <c r="G82" i="5"/>
  <c r="H82" i="5"/>
  <c r="T82" i="5" s="1"/>
  <c r="I82" i="5"/>
  <c r="J82" i="5"/>
  <c r="B86" i="1" s="1"/>
  <c r="B90" i="5"/>
  <c r="N90" i="5" s="1"/>
  <c r="C90" i="5"/>
  <c r="C92" i="5" s="1"/>
  <c r="O92" i="5" s="1"/>
  <c r="D90" i="5"/>
  <c r="P90" i="5" s="1"/>
  <c r="E90" i="5"/>
  <c r="G90" i="5"/>
  <c r="G92" i="5" s="1"/>
  <c r="S92" i="5" s="1"/>
  <c r="I90" i="5"/>
  <c r="I92" i="5" s="1"/>
  <c r="U92" i="5" s="1"/>
  <c r="K90" i="5"/>
  <c r="K92" i="5" s="1"/>
  <c r="W92" i="5" s="1"/>
  <c r="D92" i="5"/>
  <c r="P92" i="5" s="1"/>
  <c r="B98" i="5"/>
  <c r="C98" i="5"/>
  <c r="D98" i="5"/>
  <c r="D100" i="5" s="1"/>
  <c r="P100" i="5" s="1"/>
  <c r="E98" i="5"/>
  <c r="F98" i="5"/>
  <c r="G98" i="5"/>
  <c r="H98" i="5"/>
  <c r="I98" i="5"/>
  <c r="J98" i="5"/>
  <c r="K98" i="5"/>
  <c r="M63" i="5"/>
  <c r="M62" i="5"/>
  <c r="M61" i="5"/>
  <c r="M60" i="5"/>
  <c r="M59" i="5"/>
  <c r="M57" i="5"/>
  <c r="M56" i="5"/>
  <c r="M55" i="5"/>
  <c r="M53" i="5"/>
  <c r="M52" i="5"/>
  <c r="M50" i="5"/>
  <c r="M48" i="5"/>
  <c r="M47" i="5"/>
  <c r="M46" i="5"/>
  <c r="M45" i="5"/>
  <c r="M44" i="5"/>
  <c r="M43" i="5"/>
  <c r="M42" i="5"/>
  <c r="M41" i="5"/>
  <c r="M40" i="5"/>
  <c r="M38" i="5"/>
  <c r="M37" i="5"/>
  <c r="M36" i="5"/>
  <c r="M35" i="5"/>
  <c r="M34" i="5"/>
  <c r="M33" i="5"/>
  <c r="M32" i="5"/>
  <c r="M31" i="5"/>
  <c r="M30" i="5"/>
  <c r="M28" i="5"/>
  <c r="M26" i="5"/>
  <c r="M24" i="5"/>
  <c r="M23" i="5"/>
  <c r="M22" i="5"/>
  <c r="M21" i="5"/>
  <c r="M20" i="5"/>
  <c r="M19" i="5"/>
  <c r="M17" i="5"/>
  <c r="M16" i="5"/>
  <c r="M15" i="5"/>
  <c r="M14" i="5"/>
  <c r="M13" i="5"/>
  <c r="M12" i="5"/>
  <c r="M11" i="5"/>
  <c r="S9" i="5"/>
  <c r="T9" i="5" s="1"/>
  <c r="U9" i="5" s="1"/>
  <c r="V9" i="5" s="1"/>
  <c r="W9" i="5" s="1"/>
  <c r="W73" i="5" s="1"/>
  <c r="G9" i="8"/>
  <c r="H9" i="8" s="1"/>
  <c r="I9" i="8" s="1"/>
  <c r="J9" i="8" s="1"/>
  <c r="K9" i="8" s="1"/>
  <c r="A3" i="8"/>
  <c r="J41" i="5"/>
  <c r="J169" i="5" s="1"/>
  <c r="I41" i="5"/>
  <c r="K24" i="5"/>
  <c r="K152" i="5" s="1"/>
  <c r="J24" i="5"/>
  <c r="J152" i="5" s="1"/>
  <c r="I24" i="5"/>
  <c r="I174" i="5" s="1"/>
  <c r="K153" i="5"/>
  <c r="J153" i="5"/>
  <c r="I153" i="5"/>
  <c r="H153" i="5"/>
  <c r="G153" i="5"/>
  <c r="L153" i="5" s="1"/>
  <c r="K145" i="5"/>
  <c r="H145" i="5"/>
  <c r="G145" i="5"/>
  <c r="G130" i="5"/>
  <c r="H41" i="5"/>
  <c r="E47" i="5"/>
  <c r="E16" i="5"/>
  <c r="F16" i="5"/>
  <c r="L16" i="5" s="1"/>
  <c r="F24" i="5"/>
  <c r="L24" i="5" s="1"/>
  <c r="D45" i="2" s="1"/>
  <c r="F35" i="5"/>
  <c r="L35" i="5" s="1"/>
  <c r="E24" i="5"/>
  <c r="H24" i="5"/>
  <c r="H174" i="5" s="1"/>
  <c r="G24" i="5"/>
  <c r="G152" i="5" s="1"/>
  <c r="G174" i="5" l="1"/>
  <c r="G144" i="5"/>
  <c r="S98" i="5"/>
  <c r="Q82" i="5"/>
  <c r="L82" i="5"/>
  <c r="X139" i="5"/>
  <c r="F172" i="5"/>
  <c r="L172" i="5" s="1"/>
  <c r="H144" i="5"/>
  <c r="K160" i="5"/>
  <c r="B92" i="5"/>
  <c r="N92" i="5" s="1"/>
  <c r="L42" i="8"/>
  <c r="L98" i="5"/>
  <c r="X140" i="5"/>
  <c r="B41" i="1"/>
  <c r="F167" i="5"/>
  <c r="F171" i="5"/>
  <c r="G172" i="5"/>
  <c r="I144" i="5"/>
  <c r="C41" i="1"/>
  <c r="G167" i="5"/>
  <c r="H169" i="5"/>
  <c r="L169" i="5" s="1"/>
  <c r="D57" i="2" s="1"/>
  <c r="G171" i="5"/>
  <c r="H172" i="5"/>
  <c r="J174" i="5"/>
  <c r="J144" i="5"/>
  <c r="K161" i="5"/>
  <c r="C24" i="1"/>
  <c r="D24" i="1" s="1"/>
  <c r="E24" i="1" s="1"/>
  <c r="F24" i="1" s="1"/>
  <c r="G24" i="1" s="1"/>
  <c r="H24" i="1" s="1"/>
  <c r="I24" i="1" s="1"/>
  <c r="H167" i="5"/>
  <c r="I169" i="5"/>
  <c r="H171" i="5"/>
  <c r="I172" i="5"/>
  <c r="K174" i="5"/>
  <c r="J156" i="5"/>
  <c r="W98" i="5"/>
  <c r="O98" i="5"/>
  <c r="H90" i="5"/>
  <c r="T90" i="5" s="1"/>
  <c r="U82" i="5"/>
  <c r="I167" i="5"/>
  <c r="I171" i="5"/>
  <c r="J172" i="5"/>
  <c r="B36" i="1"/>
  <c r="J167" i="5"/>
  <c r="K169" i="5"/>
  <c r="J171" i="5"/>
  <c r="K172" i="5"/>
  <c r="K144" i="5"/>
  <c r="K156" i="5"/>
  <c r="V82" i="5"/>
  <c r="L77" i="5"/>
  <c r="D12" i="2" s="1"/>
  <c r="H130" i="5"/>
  <c r="U98" i="5"/>
  <c r="H92" i="5"/>
  <c r="T92" i="5" s="1"/>
  <c r="F90" i="5"/>
  <c r="S82" i="5"/>
  <c r="X82" i="5" s="1"/>
  <c r="D18" i="2" s="1"/>
  <c r="K167" i="5"/>
  <c r="K171" i="5"/>
  <c r="F174" i="5"/>
  <c r="F144" i="5"/>
  <c r="H147" i="5"/>
  <c r="V90" i="5"/>
  <c r="J92" i="5"/>
  <c r="V92" i="5" s="1"/>
  <c r="D90" i="1"/>
  <c r="E90" i="1" s="1"/>
  <c r="F90" i="1" s="1"/>
  <c r="G90" i="1" s="1"/>
  <c r="H90" i="1" s="1"/>
  <c r="I90" i="1" s="1"/>
  <c r="D92" i="1"/>
  <c r="E92" i="1" s="1"/>
  <c r="F92" i="1" s="1"/>
  <c r="G92" i="1" s="1"/>
  <c r="H92" i="1" s="1"/>
  <c r="I92" i="1" s="1"/>
  <c r="D91" i="1"/>
  <c r="E91" i="1" s="1"/>
  <c r="F91" i="1" s="1"/>
  <c r="G91" i="1" s="1"/>
  <c r="H91" i="1" s="1"/>
  <c r="I91" i="1" s="1"/>
  <c r="J100" i="5"/>
  <c r="L90" i="5"/>
  <c r="D46" i="8"/>
  <c r="T73" i="5"/>
  <c r="V73" i="5"/>
  <c r="N75" i="5"/>
  <c r="N80" i="5"/>
  <c r="N82" i="5"/>
  <c r="N84" i="5"/>
  <c r="N86" i="5"/>
  <c r="N88" i="5"/>
  <c r="N94" i="5"/>
  <c r="N96" i="5"/>
  <c r="N98" i="5"/>
  <c r="N102" i="5"/>
  <c r="N107" i="5"/>
  <c r="N109" i="5"/>
  <c r="N114" i="5"/>
  <c r="P75" i="5"/>
  <c r="R75" i="5"/>
  <c r="T75" i="5"/>
  <c r="V75" i="5"/>
  <c r="O77" i="5"/>
  <c r="Q77" i="5"/>
  <c r="S77" i="5"/>
  <c r="U77" i="5"/>
  <c r="W77" i="5"/>
  <c r="P80" i="5"/>
  <c r="R80" i="5"/>
  <c r="T80" i="5"/>
  <c r="V80" i="5"/>
  <c r="O81" i="5"/>
  <c r="Q81" i="5"/>
  <c r="S81" i="5"/>
  <c r="U81" i="5"/>
  <c r="W81" i="5"/>
  <c r="P82" i="5"/>
  <c r="O83" i="5"/>
  <c r="Q83" i="5"/>
  <c r="S83" i="5"/>
  <c r="U83" i="5"/>
  <c r="W83" i="5"/>
  <c r="P84" i="5"/>
  <c r="R84" i="5"/>
  <c r="T84" i="5"/>
  <c r="V84" i="5"/>
  <c r="O85" i="5"/>
  <c r="Q85" i="5"/>
  <c r="S85" i="5"/>
  <c r="U85" i="5"/>
  <c r="W85" i="5"/>
  <c r="P86" i="5"/>
  <c r="R86" i="5"/>
  <c r="T86" i="5"/>
  <c r="V86" i="5"/>
  <c r="O87" i="5"/>
  <c r="Q87" i="5"/>
  <c r="S87" i="5"/>
  <c r="U87" i="5"/>
  <c r="W87" i="5"/>
  <c r="P88" i="5"/>
  <c r="R88" i="5"/>
  <c r="T88" i="5"/>
  <c r="V88" i="5"/>
  <c r="O89" i="5"/>
  <c r="Q89" i="5"/>
  <c r="S89" i="5"/>
  <c r="U89" i="5"/>
  <c r="W89" i="5"/>
  <c r="P94" i="5"/>
  <c r="R94" i="5"/>
  <c r="T94" i="5"/>
  <c r="V94" i="5"/>
  <c r="O95" i="5"/>
  <c r="Q95" i="5"/>
  <c r="S95" i="5"/>
  <c r="U95" i="5"/>
  <c r="W95" i="5"/>
  <c r="P96" i="5"/>
  <c r="R96" i="5"/>
  <c r="T96" i="5"/>
  <c r="V96" i="5"/>
  <c r="O97" i="5"/>
  <c r="Q97" i="5"/>
  <c r="S97" i="5"/>
  <c r="U97" i="5"/>
  <c r="W97" i="5"/>
  <c r="P98" i="5"/>
  <c r="R98" i="5"/>
  <c r="T98" i="5"/>
  <c r="V98" i="5"/>
  <c r="P102" i="5"/>
  <c r="R102" i="5"/>
  <c r="T102" i="5"/>
  <c r="V102" i="5"/>
  <c r="O103" i="5"/>
  <c r="Q103" i="5"/>
  <c r="S103" i="5"/>
  <c r="U103" i="5"/>
  <c r="W103" i="5"/>
  <c r="O106" i="5"/>
  <c r="Q106" i="5"/>
  <c r="S106" i="5"/>
  <c r="U106" i="5"/>
  <c r="W106" i="5"/>
  <c r="P107" i="5"/>
  <c r="R107" i="5"/>
  <c r="T107" i="5"/>
  <c r="V107" i="5"/>
  <c r="O108" i="5"/>
  <c r="Q108" i="5"/>
  <c r="S108" i="5"/>
  <c r="X108" i="5" s="1"/>
  <c r="U108" i="5"/>
  <c r="W108" i="5"/>
  <c r="P109" i="5"/>
  <c r="R109" i="5"/>
  <c r="T109" i="5"/>
  <c r="V109" i="5"/>
  <c r="P114" i="5"/>
  <c r="R114" i="5"/>
  <c r="T114" i="5"/>
  <c r="V114" i="5"/>
  <c r="S73" i="5"/>
  <c r="U73" i="5"/>
  <c r="N77" i="5"/>
  <c r="N81" i="5"/>
  <c r="N83" i="5"/>
  <c r="N85" i="5"/>
  <c r="N87" i="5"/>
  <c r="N89" i="5"/>
  <c r="N95" i="5"/>
  <c r="N97" i="5"/>
  <c r="N103" i="5"/>
  <c r="N106" i="5"/>
  <c r="O75" i="5"/>
  <c r="Q75" i="5"/>
  <c r="S75" i="5"/>
  <c r="U75" i="5"/>
  <c r="W75" i="5"/>
  <c r="P77" i="5"/>
  <c r="R77" i="5"/>
  <c r="T77" i="5"/>
  <c r="V77" i="5"/>
  <c r="O80" i="5"/>
  <c r="Q80" i="5"/>
  <c r="S80" i="5"/>
  <c r="U80" i="5"/>
  <c r="W80" i="5"/>
  <c r="P81" i="5"/>
  <c r="R81" i="5"/>
  <c r="T81" i="5"/>
  <c r="V81" i="5"/>
  <c r="O82" i="5"/>
  <c r="W82" i="5"/>
  <c r="P83" i="5"/>
  <c r="R83" i="5"/>
  <c r="T83" i="5"/>
  <c r="V83" i="5"/>
  <c r="O84" i="5"/>
  <c r="Q84" i="5"/>
  <c r="S84" i="5"/>
  <c r="U84" i="5"/>
  <c r="W84" i="5"/>
  <c r="P85" i="5"/>
  <c r="R85" i="5"/>
  <c r="T85" i="5"/>
  <c r="V85" i="5"/>
  <c r="O86" i="5"/>
  <c r="Q86" i="5"/>
  <c r="S86" i="5"/>
  <c r="U86" i="5"/>
  <c r="W86" i="5"/>
  <c r="P87" i="5"/>
  <c r="R87" i="5"/>
  <c r="T87" i="5"/>
  <c r="V87" i="5"/>
  <c r="O88" i="5"/>
  <c r="Q88" i="5"/>
  <c r="S88" i="5"/>
  <c r="U88" i="5"/>
  <c r="W88" i="5"/>
  <c r="P89" i="5"/>
  <c r="R89" i="5"/>
  <c r="T89" i="5"/>
  <c r="V89" i="5"/>
  <c r="O90" i="5"/>
  <c r="Q90" i="5"/>
  <c r="S90" i="5"/>
  <c r="U90" i="5"/>
  <c r="W90" i="5"/>
  <c r="O94" i="5"/>
  <c r="Q94" i="5"/>
  <c r="S94" i="5"/>
  <c r="U94" i="5"/>
  <c r="W94" i="5"/>
  <c r="P95" i="5"/>
  <c r="R95" i="5"/>
  <c r="T95" i="5"/>
  <c r="V95" i="5"/>
  <c r="O96" i="5"/>
  <c r="Q96" i="5"/>
  <c r="S96" i="5"/>
  <c r="U96" i="5"/>
  <c r="W96" i="5"/>
  <c r="P97" i="5"/>
  <c r="R97" i="5"/>
  <c r="T97" i="5"/>
  <c r="V97" i="5"/>
  <c r="Q98" i="5"/>
  <c r="O102" i="5"/>
  <c r="Q102" i="5"/>
  <c r="S102" i="5"/>
  <c r="U102" i="5"/>
  <c r="W102" i="5"/>
  <c r="P103" i="5"/>
  <c r="R103" i="5"/>
  <c r="T103" i="5"/>
  <c r="V103" i="5"/>
  <c r="P106" i="5"/>
  <c r="R106" i="5"/>
  <c r="T106" i="5"/>
  <c r="V106" i="5"/>
  <c r="O107" i="5"/>
  <c r="Q107" i="5"/>
  <c r="S107" i="5"/>
  <c r="U107" i="5"/>
  <c r="W107" i="5"/>
  <c r="O109" i="5"/>
  <c r="Q109" i="5"/>
  <c r="S109" i="5"/>
  <c r="U109" i="5"/>
  <c r="W109" i="5"/>
  <c r="K100" i="5"/>
  <c r="K104" i="5" s="1"/>
  <c r="I100" i="5"/>
  <c r="G100" i="5"/>
  <c r="C100" i="5"/>
  <c r="C136" i="5" s="1"/>
  <c r="D104" i="5"/>
  <c r="P104" i="5" s="1"/>
  <c r="G136" i="5"/>
  <c r="E92" i="5"/>
  <c r="Q92" i="5" s="1"/>
  <c r="H152" i="5"/>
  <c r="L152" i="5" s="1"/>
  <c r="K62" i="5"/>
  <c r="K157" i="5" s="1"/>
  <c r="J62" i="5"/>
  <c r="I62" i="5"/>
  <c r="I157" i="5" s="1"/>
  <c r="H62" i="5"/>
  <c r="H157" i="5" s="1"/>
  <c r="G62" i="5"/>
  <c r="K53" i="5"/>
  <c r="J53" i="5"/>
  <c r="I53" i="5"/>
  <c r="H53" i="5"/>
  <c r="G53" i="5"/>
  <c r="K48" i="5"/>
  <c r="K129" i="5" s="1"/>
  <c r="J48" i="5"/>
  <c r="J129" i="5" s="1"/>
  <c r="I48" i="5"/>
  <c r="H48" i="5"/>
  <c r="G48" i="5"/>
  <c r="K36" i="5"/>
  <c r="J36" i="5"/>
  <c r="I36" i="5"/>
  <c r="H36" i="5"/>
  <c r="G36" i="5"/>
  <c r="K28" i="5"/>
  <c r="J28" i="5"/>
  <c r="K147" i="5" s="1"/>
  <c r="I152" i="5"/>
  <c r="H28" i="5"/>
  <c r="G28" i="5"/>
  <c r="K17" i="5"/>
  <c r="J17" i="5"/>
  <c r="I17" i="5"/>
  <c r="H17" i="5"/>
  <c r="G17" i="5"/>
  <c r="G9" i="5"/>
  <c r="F153" i="5"/>
  <c r="E153" i="5"/>
  <c r="D153" i="5"/>
  <c r="C153" i="5"/>
  <c r="B153" i="5"/>
  <c r="C226" i="1"/>
  <c r="M50" i="2"/>
  <c r="N50" i="2"/>
  <c r="N51" i="2"/>
  <c r="M51" i="2"/>
  <c r="M178" i="1"/>
  <c r="N178" i="1" s="1"/>
  <c r="O178" i="1" s="1"/>
  <c r="P178" i="1" s="1"/>
  <c r="Q178" i="1" s="1"/>
  <c r="R178" i="1" s="1"/>
  <c r="S178" i="1" s="1"/>
  <c r="T178" i="1" s="1"/>
  <c r="D55" i="2"/>
  <c r="A5" i="1"/>
  <c r="A73" i="1" s="1"/>
  <c r="C114" i="1"/>
  <c r="D108" i="1"/>
  <c r="E108" i="1" s="1"/>
  <c r="F108" i="1" s="1"/>
  <c r="G108" i="1" s="1"/>
  <c r="H108" i="1" s="1"/>
  <c r="I108" i="1" s="1"/>
  <c r="C80" i="1"/>
  <c r="C62" i="1"/>
  <c r="C58" i="1"/>
  <c r="L51" i="2"/>
  <c r="J69" i="1"/>
  <c r="J117" i="1" s="1"/>
  <c r="J180" i="1" s="1"/>
  <c r="J220" i="1" s="1"/>
  <c r="C48" i="5"/>
  <c r="C17" i="5"/>
  <c r="D17" i="5"/>
  <c r="D24" i="5"/>
  <c r="E77" i="2" s="1"/>
  <c r="D36" i="5"/>
  <c r="I58" i="2"/>
  <c r="D19" i="2"/>
  <c r="D1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D8" i="2"/>
  <c r="D21" i="2" s="1"/>
  <c r="D89" i="1" s="1"/>
  <c r="E89" i="1" s="1"/>
  <c r="F89" i="1" s="1"/>
  <c r="G89" i="1" s="1"/>
  <c r="H89" i="1" s="1"/>
  <c r="I89" i="1" s="1"/>
  <c r="B18" i="2"/>
  <c r="B19" i="2"/>
  <c r="P19" i="2"/>
  <c r="Q19" i="2"/>
  <c r="B20" i="2"/>
  <c r="B25" i="2"/>
  <c r="D25" i="2"/>
  <c r="B27" i="2"/>
  <c r="B28" i="2"/>
  <c r="B29" i="2"/>
  <c r="B30" i="2"/>
  <c r="B31" i="2"/>
  <c r="B32" i="2"/>
  <c r="B35" i="2"/>
  <c r="B36" i="2"/>
  <c r="B39" i="2"/>
  <c r="B67" i="2"/>
  <c r="A3" i="5"/>
  <c r="B17" i="5"/>
  <c r="E17" i="5"/>
  <c r="C24" i="5"/>
  <c r="D77" i="2" s="1"/>
  <c r="E152" i="5"/>
  <c r="F152" i="5"/>
  <c r="F36" i="5"/>
  <c r="L36" i="5" s="1"/>
  <c r="C36" i="5"/>
  <c r="E36" i="5"/>
  <c r="F48" i="5"/>
  <c r="E48" i="5"/>
  <c r="D53" i="5"/>
  <c r="F53" i="5"/>
  <c r="L53" i="5" s="1"/>
  <c r="E53" i="5"/>
  <c r="E62" i="5"/>
  <c r="C62" i="5"/>
  <c r="C156" i="5" s="1"/>
  <c r="F62" i="5"/>
  <c r="F135" i="5" s="1"/>
  <c r="K58" i="2"/>
  <c r="L58" i="2"/>
  <c r="B16" i="2"/>
  <c r="B17" i="2"/>
  <c r="A190" i="1"/>
  <c r="A192" i="1"/>
  <c r="A121" i="5"/>
  <c r="E129" i="5"/>
  <c r="D130" i="5"/>
  <c r="E130" i="5"/>
  <c r="F130" i="5"/>
  <c r="D144" i="5"/>
  <c r="E144" i="5"/>
  <c r="D145" i="5"/>
  <c r="E145" i="5"/>
  <c r="F145" i="5"/>
  <c r="F160" i="5"/>
  <c r="E161" i="5"/>
  <c r="E162" i="5"/>
  <c r="F162" i="5"/>
  <c r="A3" i="1"/>
  <c r="A71" i="1" s="1"/>
  <c r="A11" i="1"/>
  <c r="A12" i="1"/>
  <c r="B38" i="2" s="1"/>
  <c r="A14" i="1"/>
  <c r="B40" i="2" s="1"/>
  <c r="A15" i="1"/>
  <c r="B41" i="2" s="1"/>
  <c r="A16" i="1"/>
  <c r="B42" i="2" s="1"/>
  <c r="A17" i="1"/>
  <c r="A132" i="1" s="1"/>
  <c r="A19" i="1"/>
  <c r="B44" i="2" s="1"/>
  <c r="A20" i="1"/>
  <c r="B45" i="2" s="1"/>
  <c r="A21" i="1"/>
  <c r="B47" i="2" s="1"/>
  <c r="A22" i="1"/>
  <c r="B49" i="2" s="1"/>
  <c r="E22" i="1"/>
  <c r="F22" i="1" s="1"/>
  <c r="G22" i="1" s="1"/>
  <c r="H22" i="1" s="1"/>
  <c r="I22" i="1" s="1"/>
  <c r="A24" i="1"/>
  <c r="A138" i="1" s="1"/>
  <c r="A26" i="1"/>
  <c r="B51" i="2" s="1"/>
  <c r="A28" i="1"/>
  <c r="A142" i="1" s="1"/>
  <c r="A30" i="1"/>
  <c r="A144" i="1" s="1"/>
  <c r="A31" i="1"/>
  <c r="B53" i="2" s="1"/>
  <c r="D31" i="1"/>
  <c r="E31" i="1" s="1"/>
  <c r="A34" i="1"/>
  <c r="B54" i="2" s="1"/>
  <c r="D34" i="1"/>
  <c r="E34" i="1" s="1"/>
  <c r="F34" i="1" s="1"/>
  <c r="G34" i="1" s="1"/>
  <c r="H34" i="1" s="1"/>
  <c r="I34" i="1" s="1"/>
  <c r="A35" i="1"/>
  <c r="B55" i="2" s="1"/>
  <c r="A36" i="1"/>
  <c r="A150" i="1" s="1"/>
  <c r="A37" i="1"/>
  <c r="A151" i="1" s="1"/>
  <c r="A38" i="1"/>
  <c r="A152" i="1" s="1"/>
  <c r="A40" i="1"/>
  <c r="A154" i="1" s="1"/>
  <c r="A41" i="1"/>
  <c r="B57" i="2" s="1"/>
  <c r="A42" i="1"/>
  <c r="B58" i="2" s="1"/>
  <c r="A43" i="1"/>
  <c r="B59" i="2" s="1"/>
  <c r="A44" i="1"/>
  <c r="B60" i="2" s="1"/>
  <c r="A45" i="1"/>
  <c r="B61" i="2" s="1"/>
  <c r="D45" i="1"/>
  <c r="E45" i="1" s="1"/>
  <c r="F45" i="1" s="1"/>
  <c r="G45" i="1" s="1"/>
  <c r="H45" i="1" s="1"/>
  <c r="I45" i="1" s="1"/>
  <c r="A47" i="1"/>
  <c r="B62" i="2" s="1"/>
  <c r="A48" i="1"/>
  <c r="A161" i="1" s="1"/>
  <c r="A50" i="1"/>
  <c r="B64" i="2" s="1"/>
  <c r="A51" i="1"/>
  <c r="B65" i="2" s="1"/>
  <c r="A52" i="1"/>
  <c r="B66" i="2" s="1"/>
  <c r="A54" i="1"/>
  <c r="A167" i="1" s="1"/>
  <c r="L54" i="1"/>
  <c r="L56" i="1" s="1"/>
  <c r="M54" i="1"/>
  <c r="M56" i="1" s="1"/>
  <c r="N54" i="1"/>
  <c r="N56" i="1" s="1"/>
  <c r="O54" i="1"/>
  <c r="O56" i="1"/>
  <c r="P54" i="1"/>
  <c r="P56" i="1" s="1"/>
  <c r="Q54" i="1"/>
  <c r="Q56" i="1"/>
  <c r="R54" i="1"/>
  <c r="R56" i="1" s="1"/>
  <c r="S54" i="1"/>
  <c r="S56" i="1" s="1"/>
  <c r="T54" i="1"/>
  <c r="T56" i="1" s="1"/>
  <c r="U54" i="1"/>
  <c r="A56" i="1"/>
  <c r="A169" i="1" s="1"/>
  <c r="A58" i="1"/>
  <c r="B69" i="2" s="1"/>
  <c r="B58" i="1"/>
  <c r="A60" i="1"/>
  <c r="A173" i="1" s="1"/>
  <c r="A61" i="1"/>
  <c r="B71" i="2" s="1"/>
  <c r="A62" i="1"/>
  <c r="B72" i="2" s="1"/>
  <c r="B62" i="1"/>
  <c r="A63" i="1"/>
  <c r="A176" i="1" s="1"/>
  <c r="A64" i="1"/>
  <c r="A177" i="1" s="1"/>
  <c r="B80" i="1"/>
  <c r="A84" i="1"/>
  <c r="A195" i="1" s="1"/>
  <c r="A85" i="1"/>
  <c r="A196" i="1" s="1"/>
  <c r="A86" i="1"/>
  <c r="A197" i="1" s="1"/>
  <c r="A87" i="1"/>
  <c r="A198" i="1" s="1"/>
  <c r="A88" i="1"/>
  <c r="A199" i="1" s="1"/>
  <c r="A93" i="1"/>
  <c r="A200" i="1" s="1"/>
  <c r="A94" i="1"/>
  <c r="A96" i="1"/>
  <c r="A100" i="1"/>
  <c r="A206" i="1" s="1"/>
  <c r="B114" i="1"/>
  <c r="A128" i="1"/>
  <c r="A166" i="1"/>
  <c r="A191" i="1"/>
  <c r="A204" i="1"/>
  <c r="A205" i="1"/>
  <c r="A207" i="1"/>
  <c r="A208" i="1"/>
  <c r="A216" i="1"/>
  <c r="A217" i="1"/>
  <c r="A222" i="1"/>
  <c r="C275" i="1"/>
  <c r="B275" i="1"/>
  <c r="D62" i="5"/>
  <c r="D160" i="5" s="1"/>
  <c r="B62" i="5"/>
  <c r="B160" i="5" s="1"/>
  <c r="B36" i="5"/>
  <c r="B24" i="5"/>
  <c r="B28" i="5" s="1"/>
  <c r="B53" i="5"/>
  <c r="K51" i="2"/>
  <c r="F28" i="5"/>
  <c r="L28" i="5" s="1"/>
  <c r="F17" i="5"/>
  <c r="L17" i="5" s="1"/>
  <c r="C53" i="5"/>
  <c r="D30" i="2"/>
  <c r="B48" i="5"/>
  <c r="J51" i="2"/>
  <c r="D48" i="5"/>
  <c r="F146" i="5"/>
  <c r="D65" i="2"/>
  <c r="D58" i="1"/>
  <c r="E58" i="1" s="1"/>
  <c r="A129" i="1"/>
  <c r="C144" i="5"/>
  <c r="J58" i="2"/>
  <c r="C145" i="5"/>
  <c r="C130" i="5"/>
  <c r="E102" i="1"/>
  <c r="E128" i="5"/>
  <c r="F128" i="5"/>
  <c r="A182" i="1"/>
  <c r="F102" i="1"/>
  <c r="C146" i="5"/>
  <c r="C128" i="5"/>
  <c r="G102" i="1"/>
  <c r="D79" i="1"/>
  <c r="E79" i="1" s="1"/>
  <c r="C55" i="5"/>
  <c r="D156" i="5"/>
  <c r="C133" i="5"/>
  <c r="H102" i="1"/>
  <c r="F77" i="2"/>
  <c r="C77" i="2"/>
  <c r="C276" i="1"/>
  <c r="B276" i="1"/>
  <c r="S66" i="1"/>
  <c r="I13" i="1" s="1"/>
  <c r="T66" i="1"/>
  <c r="U66" i="1"/>
  <c r="V66" i="1"/>
  <c r="S67" i="1"/>
  <c r="I53" i="1" s="1"/>
  <c r="T67" i="1"/>
  <c r="U67" i="1"/>
  <c r="V67" i="1"/>
  <c r="I26" i="1" l="1"/>
  <c r="I20" i="1"/>
  <c r="I51" i="1" s="1"/>
  <c r="I254" i="1"/>
  <c r="L130" i="5"/>
  <c r="B232" i="1" s="1"/>
  <c r="E157" i="5"/>
  <c r="S100" i="5"/>
  <c r="G151" i="5"/>
  <c r="S142" i="5"/>
  <c r="L144" i="5"/>
  <c r="D162" i="5"/>
  <c r="F134" i="5"/>
  <c r="C161" i="5"/>
  <c r="G157" i="5"/>
  <c r="G161" i="5"/>
  <c r="G156" i="5"/>
  <c r="G104" i="5"/>
  <c r="G111" i="5" s="1"/>
  <c r="I151" i="5"/>
  <c r="U142" i="5"/>
  <c r="R90" i="5"/>
  <c r="X90" i="5" s="1"/>
  <c r="F92" i="5"/>
  <c r="G147" i="5"/>
  <c r="I156" i="5"/>
  <c r="H156" i="5"/>
  <c r="J128" i="5"/>
  <c r="D157" i="5"/>
  <c r="C157" i="5"/>
  <c r="J162" i="5"/>
  <c r="J133" i="5"/>
  <c r="J157" i="5"/>
  <c r="L171" i="5"/>
  <c r="D58" i="2" s="1"/>
  <c r="H161" i="5"/>
  <c r="I161" i="5"/>
  <c r="A131" i="1"/>
  <c r="E156" i="5"/>
  <c r="L48" i="5"/>
  <c r="L174" i="5"/>
  <c r="L167" i="5"/>
  <c r="D40" i="2" s="1"/>
  <c r="H100" i="5"/>
  <c r="E160" i="5"/>
  <c r="F157" i="5"/>
  <c r="F161" i="5"/>
  <c r="L62" i="5"/>
  <c r="F156" i="5"/>
  <c r="B100" i="5"/>
  <c r="J161" i="5"/>
  <c r="J104" i="5"/>
  <c r="J151" i="5"/>
  <c r="K136" i="5"/>
  <c r="K151" i="5"/>
  <c r="V100" i="5"/>
  <c r="H101" i="1"/>
  <c r="I101" i="1"/>
  <c r="H35" i="1"/>
  <c r="I35" i="1"/>
  <c r="I28" i="1"/>
  <c r="I98" i="1"/>
  <c r="J89" i="1"/>
  <c r="J90" i="1"/>
  <c r="J91" i="1"/>
  <c r="J92" i="1"/>
  <c r="A157" i="1"/>
  <c r="A119" i="1"/>
  <c r="A174" i="1"/>
  <c r="A160" i="1"/>
  <c r="A135" i="1"/>
  <c r="A127" i="1"/>
  <c r="A146" i="1"/>
  <c r="A137" i="1"/>
  <c r="A158" i="1"/>
  <c r="A175" i="1"/>
  <c r="A130" i="1"/>
  <c r="D86" i="1"/>
  <c r="V142" i="5"/>
  <c r="W100" i="5"/>
  <c r="W142" i="5"/>
  <c r="E101" i="1"/>
  <c r="A149" i="1"/>
  <c r="A164" i="1"/>
  <c r="K111" i="5"/>
  <c r="W104" i="5"/>
  <c r="B55" i="5"/>
  <c r="B63" i="5" s="1"/>
  <c r="E55" i="5"/>
  <c r="D55" i="5"/>
  <c r="D133" i="5" s="1"/>
  <c r="F55" i="5"/>
  <c r="B128" i="5"/>
  <c r="D146" i="5"/>
  <c r="B255" i="1"/>
  <c r="X95" i="5"/>
  <c r="X89" i="5"/>
  <c r="X85" i="5"/>
  <c r="X77" i="5"/>
  <c r="X107" i="5"/>
  <c r="X96" i="5"/>
  <c r="X88" i="5"/>
  <c r="X84" i="5"/>
  <c r="X75" i="5"/>
  <c r="S104" i="5"/>
  <c r="C104" i="5"/>
  <c r="O100" i="5"/>
  <c r="I104" i="5"/>
  <c r="U100" i="5"/>
  <c r="B63" i="1"/>
  <c r="B64" i="1" s="1"/>
  <c r="B17" i="1"/>
  <c r="X106" i="5"/>
  <c r="X103" i="5"/>
  <c r="X97" i="5"/>
  <c r="X87" i="5"/>
  <c r="X83" i="5"/>
  <c r="X81" i="5"/>
  <c r="D17" i="2" s="1"/>
  <c r="D85" i="1" s="1"/>
  <c r="X114" i="5"/>
  <c r="D36" i="2" s="1"/>
  <c r="X109" i="5"/>
  <c r="X102" i="5"/>
  <c r="X98" i="5"/>
  <c r="X94" i="5"/>
  <c r="X86" i="5"/>
  <c r="X80" i="5"/>
  <c r="E63" i="5"/>
  <c r="F133" i="5"/>
  <c r="F63" i="5"/>
  <c r="C63" i="5"/>
  <c r="B133" i="5"/>
  <c r="C151" i="5"/>
  <c r="A165" i="1"/>
  <c r="F101" i="1"/>
  <c r="A140" i="1"/>
  <c r="A163" i="1"/>
  <c r="A155" i="1"/>
  <c r="D134" i="5"/>
  <c r="A159" i="1"/>
  <c r="A136" i="1"/>
  <c r="A134" i="1"/>
  <c r="A171" i="1"/>
  <c r="A156" i="1"/>
  <c r="A145" i="1"/>
  <c r="C162" i="5"/>
  <c r="C160" i="5"/>
  <c r="D93" i="1"/>
  <c r="E93" i="1" s="1"/>
  <c r="B134" i="5"/>
  <c r="E100" i="5"/>
  <c r="D111" i="5"/>
  <c r="E146" i="5"/>
  <c r="M3" i="5"/>
  <c r="A67" i="5"/>
  <c r="M67" i="5" s="1"/>
  <c r="G73" i="5"/>
  <c r="G125" i="5" s="1"/>
  <c r="F38" i="5"/>
  <c r="R62" i="5" s="1"/>
  <c r="G146" i="5"/>
  <c r="B152" i="5"/>
  <c r="E133" i="5"/>
  <c r="D161" i="5"/>
  <c r="C129" i="5"/>
  <c r="G128" i="5"/>
  <c r="K128" i="5"/>
  <c r="H129" i="5"/>
  <c r="H135" i="5"/>
  <c r="H134" i="5"/>
  <c r="H162" i="5"/>
  <c r="B162" i="5"/>
  <c r="B157" i="5"/>
  <c r="H160" i="5"/>
  <c r="D129" i="5"/>
  <c r="B129" i="5"/>
  <c r="C134" i="5"/>
  <c r="B156" i="5"/>
  <c r="F129" i="5"/>
  <c r="R48" i="5"/>
  <c r="C152" i="5"/>
  <c r="D152" i="5"/>
  <c r="G37" i="5"/>
  <c r="G55" i="5"/>
  <c r="G133" i="5" s="1"/>
  <c r="G129" i="5"/>
  <c r="L129" i="5" s="1"/>
  <c r="B231" i="1" s="1"/>
  <c r="K55" i="5"/>
  <c r="C56" i="1" s="1"/>
  <c r="C64" i="1" s="1"/>
  <c r="G162" i="5"/>
  <c r="G160" i="5"/>
  <c r="G134" i="5"/>
  <c r="L134" i="5" s="1"/>
  <c r="G135" i="5"/>
  <c r="K162" i="5"/>
  <c r="K134" i="5"/>
  <c r="K133" i="5"/>
  <c r="C54" i="1"/>
  <c r="C63" i="1"/>
  <c r="C255" i="1" s="1"/>
  <c r="J145" i="5"/>
  <c r="K130" i="5"/>
  <c r="J55" i="5"/>
  <c r="B56" i="1" s="1"/>
  <c r="J160" i="5"/>
  <c r="J134" i="5"/>
  <c r="K146" i="5"/>
  <c r="I130" i="5"/>
  <c r="I145" i="5"/>
  <c r="L145" i="5" s="1"/>
  <c r="J130" i="5"/>
  <c r="I55" i="5"/>
  <c r="I63" i="5" s="1"/>
  <c r="I129" i="5"/>
  <c r="I162" i="5"/>
  <c r="I160" i="5"/>
  <c r="I134" i="5"/>
  <c r="I133" i="5"/>
  <c r="J146" i="5"/>
  <c r="I128" i="5"/>
  <c r="I146" i="5"/>
  <c r="H146" i="5"/>
  <c r="H128" i="5"/>
  <c r="J135" i="5"/>
  <c r="K37" i="5"/>
  <c r="K135" i="5"/>
  <c r="I28" i="5"/>
  <c r="B103" i="1"/>
  <c r="C103" i="1"/>
  <c r="A119" i="5"/>
  <c r="C17" i="1"/>
  <c r="C36" i="1"/>
  <c r="H55" i="5"/>
  <c r="H63" i="5" s="1"/>
  <c r="H77" i="2"/>
  <c r="E134" i="5"/>
  <c r="G35" i="1"/>
  <c r="G101" i="1"/>
  <c r="E35" i="1"/>
  <c r="E36" i="1" s="1"/>
  <c r="C81" i="1"/>
  <c r="C213" i="1" s="1"/>
  <c r="J63" i="5"/>
  <c r="D151" i="5"/>
  <c r="D136" i="5"/>
  <c r="K7" i="2"/>
  <c r="H9" i="5"/>
  <c r="I38" i="5"/>
  <c r="U144" i="5" s="1"/>
  <c r="K38" i="5"/>
  <c r="G63" i="5"/>
  <c r="I7" i="2"/>
  <c r="J7" i="2"/>
  <c r="B38" i="5"/>
  <c r="B161" i="5"/>
  <c r="E28" i="5"/>
  <c r="F147" i="5" s="1"/>
  <c r="C28" i="5"/>
  <c r="J38" i="5"/>
  <c r="V144" i="5" s="1"/>
  <c r="G38" i="5"/>
  <c r="H38" i="5"/>
  <c r="H37" i="5"/>
  <c r="J37" i="5"/>
  <c r="V37" i="5" s="1"/>
  <c r="D114" i="1"/>
  <c r="B81" i="1"/>
  <c r="B206" i="1" s="1"/>
  <c r="B48" i="1"/>
  <c r="C264" i="1"/>
  <c r="F31" i="1"/>
  <c r="G31" i="1" s="1"/>
  <c r="C206" i="1"/>
  <c r="C204" i="1"/>
  <c r="C196" i="1"/>
  <c r="C197" i="1"/>
  <c r="C198" i="1"/>
  <c r="B191" i="1"/>
  <c r="O51" i="2"/>
  <c r="N58" i="2"/>
  <c r="C28" i="1"/>
  <c r="C48" i="1"/>
  <c r="B94" i="1"/>
  <c r="D81" i="1"/>
  <c r="E151" i="5"/>
  <c r="E114" i="1"/>
  <c r="F58" i="1"/>
  <c r="E85" i="1"/>
  <c r="E86" i="1"/>
  <c r="J44" i="1"/>
  <c r="F93" i="1"/>
  <c r="D141" i="5"/>
  <c r="B135" i="5"/>
  <c r="D128" i="5"/>
  <c r="B37" i="5"/>
  <c r="F37" i="5"/>
  <c r="L37" i="5" s="1"/>
  <c r="O19" i="2"/>
  <c r="D28" i="5"/>
  <c r="C94" i="1"/>
  <c r="C96" i="1" s="1"/>
  <c r="D87" i="1"/>
  <c r="D20" i="2"/>
  <c r="D88" i="1" s="1"/>
  <c r="F35" i="1"/>
  <c r="D35" i="1"/>
  <c r="G140" i="5" l="1"/>
  <c r="G141" i="5"/>
  <c r="R92" i="5"/>
  <c r="X92" i="5" s="1"/>
  <c r="F100" i="5"/>
  <c r="L92" i="5"/>
  <c r="K63" i="5"/>
  <c r="W63" i="5" s="1"/>
  <c r="L160" i="5"/>
  <c r="B262" i="1" s="1"/>
  <c r="C211" i="1"/>
  <c r="L162" i="5"/>
  <c r="L55" i="5"/>
  <c r="C262" i="1"/>
  <c r="T100" i="5"/>
  <c r="T142" i="5"/>
  <c r="H151" i="5"/>
  <c r="H104" i="5"/>
  <c r="H136" i="5"/>
  <c r="C263" i="1"/>
  <c r="L156" i="5"/>
  <c r="B236" i="1"/>
  <c r="D63" i="5"/>
  <c r="C208" i="1"/>
  <c r="Q100" i="5"/>
  <c r="Q142" i="5"/>
  <c r="L161" i="5"/>
  <c r="J147" i="5"/>
  <c r="I147" i="5"/>
  <c r="B104" i="5"/>
  <c r="B136" i="5"/>
  <c r="N100" i="5"/>
  <c r="B151" i="5"/>
  <c r="L157" i="5"/>
  <c r="I139" i="5"/>
  <c r="T144" i="5"/>
  <c r="W48" i="5"/>
  <c r="W144" i="5"/>
  <c r="S53" i="5"/>
  <c r="S144" i="5"/>
  <c r="L128" i="5"/>
  <c r="B230" i="1" s="1"/>
  <c r="L146" i="5"/>
  <c r="R53" i="5"/>
  <c r="R144" i="5"/>
  <c r="L38" i="5"/>
  <c r="G139" i="5"/>
  <c r="J111" i="5"/>
  <c r="V104" i="5"/>
  <c r="K141" i="5"/>
  <c r="K140" i="5"/>
  <c r="K139" i="5"/>
  <c r="C236" i="1"/>
  <c r="D43" i="1"/>
  <c r="D109" i="1"/>
  <c r="D12" i="1"/>
  <c r="D14" i="1"/>
  <c r="C195" i="1"/>
  <c r="C192" i="1"/>
  <c r="C199" i="1"/>
  <c r="C190" i="1"/>
  <c r="C205" i="1"/>
  <c r="I103" i="1"/>
  <c r="D196" i="1"/>
  <c r="B263" i="1"/>
  <c r="X142" i="5"/>
  <c r="W111" i="5"/>
  <c r="K11" i="8"/>
  <c r="K25" i="8" s="1"/>
  <c r="B264" i="1"/>
  <c r="I111" i="5"/>
  <c r="U104" i="5"/>
  <c r="O104" i="5"/>
  <c r="C111" i="5"/>
  <c r="G11" i="8"/>
  <c r="S111" i="5"/>
  <c r="D11" i="8"/>
  <c r="D25" i="8" s="1"/>
  <c r="D44" i="8" s="1"/>
  <c r="P111" i="5"/>
  <c r="H73" i="5"/>
  <c r="H125" i="5" s="1"/>
  <c r="W28" i="5"/>
  <c r="S28" i="5"/>
  <c r="W53" i="5"/>
  <c r="N37" i="5"/>
  <c r="E104" i="5"/>
  <c r="Q104" i="5" s="1"/>
  <c r="S63" i="5"/>
  <c r="S62" i="5"/>
  <c r="W55" i="5"/>
  <c r="T60" i="5"/>
  <c r="T52" i="5"/>
  <c r="T46" i="5"/>
  <c r="T44" i="5"/>
  <c r="T42" i="5"/>
  <c r="T38" i="5"/>
  <c r="T34" i="5"/>
  <c r="T32" i="5"/>
  <c r="T22" i="5"/>
  <c r="T20" i="5"/>
  <c r="T15" i="5"/>
  <c r="T13" i="5"/>
  <c r="T61" i="5"/>
  <c r="T59" i="5"/>
  <c r="T50" i="5"/>
  <c r="T47" i="5"/>
  <c r="T45" i="5"/>
  <c r="T43" i="5"/>
  <c r="T35" i="5"/>
  <c r="T33" i="5"/>
  <c r="T31" i="5"/>
  <c r="T26" i="5"/>
  <c r="T23" i="5"/>
  <c r="T21" i="5"/>
  <c r="T19" i="5"/>
  <c r="T16" i="5"/>
  <c r="T14" i="5"/>
  <c r="T12" i="5"/>
  <c r="T24" i="5"/>
  <c r="T41" i="5"/>
  <c r="V60" i="5"/>
  <c r="V52" i="5"/>
  <c r="V46" i="5"/>
  <c r="V44" i="5"/>
  <c r="V42" i="5"/>
  <c r="V38" i="5"/>
  <c r="V34" i="5"/>
  <c r="V32" i="5"/>
  <c r="V22" i="5"/>
  <c r="V20" i="5"/>
  <c r="V15" i="5"/>
  <c r="V13" i="5"/>
  <c r="V61" i="5"/>
  <c r="V59" i="5"/>
  <c r="V50" i="5"/>
  <c r="V47" i="5"/>
  <c r="V45" i="5"/>
  <c r="V43" i="5"/>
  <c r="V35" i="5"/>
  <c r="V33" i="5"/>
  <c r="V31" i="5"/>
  <c r="V26" i="5"/>
  <c r="V23" i="5"/>
  <c r="V21" i="5"/>
  <c r="V19" i="5"/>
  <c r="V16" i="5"/>
  <c r="V14" i="5"/>
  <c r="V12" i="5"/>
  <c r="V41" i="5"/>
  <c r="V24" i="5"/>
  <c r="N60" i="5"/>
  <c r="N52" i="5"/>
  <c r="N46" i="5"/>
  <c r="N44" i="5"/>
  <c r="N42" i="5"/>
  <c r="N38" i="5"/>
  <c r="N34" i="5"/>
  <c r="N32" i="5"/>
  <c r="N22" i="5"/>
  <c r="N20" i="5"/>
  <c r="N15" i="5"/>
  <c r="N13" i="5"/>
  <c r="N61" i="5"/>
  <c r="N59" i="5"/>
  <c r="N50" i="5"/>
  <c r="N47" i="5"/>
  <c r="N45" i="5"/>
  <c r="N43" i="5"/>
  <c r="N41" i="5"/>
  <c r="N35" i="5"/>
  <c r="N33" i="5"/>
  <c r="N31" i="5"/>
  <c r="N26" i="5"/>
  <c r="N23" i="5"/>
  <c r="N21" i="5"/>
  <c r="N19" i="5"/>
  <c r="N16" i="5"/>
  <c r="N14" i="5"/>
  <c r="N12" i="5"/>
  <c r="U61" i="5"/>
  <c r="U59" i="5"/>
  <c r="U50" i="5"/>
  <c r="U47" i="5"/>
  <c r="U45" i="5"/>
  <c r="U43" i="5"/>
  <c r="U35" i="5"/>
  <c r="U33" i="5"/>
  <c r="U31" i="5"/>
  <c r="U26" i="5"/>
  <c r="U23" i="5"/>
  <c r="U21" i="5"/>
  <c r="U19" i="5"/>
  <c r="U16" i="5"/>
  <c r="U14" i="5"/>
  <c r="U12" i="5"/>
  <c r="U60" i="5"/>
  <c r="U52" i="5"/>
  <c r="U46" i="5"/>
  <c r="U44" i="5"/>
  <c r="U42" i="5"/>
  <c r="U38" i="5"/>
  <c r="U34" i="5"/>
  <c r="U32" i="5"/>
  <c r="U22" i="5"/>
  <c r="U20" i="5"/>
  <c r="U15" i="5"/>
  <c r="U13" i="5"/>
  <c r="U41" i="5"/>
  <c r="U24" i="5"/>
  <c r="V55" i="5"/>
  <c r="F39" i="5"/>
  <c r="R60" i="5"/>
  <c r="R52" i="5"/>
  <c r="R46" i="5"/>
  <c r="R44" i="5"/>
  <c r="R42" i="5"/>
  <c r="R38" i="5"/>
  <c r="R34" i="5"/>
  <c r="R32" i="5"/>
  <c r="R22" i="5"/>
  <c r="R20" i="5"/>
  <c r="R15" i="5"/>
  <c r="R13" i="5"/>
  <c r="G148" i="5"/>
  <c r="R61" i="5"/>
  <c r="R59" i="5"/>
  <c r="R50" i="5"/>
  <c r="R47" i="5"/>
  <c r="R45" i="5"/>
  <c r="R43" i="5"/>
  <c r="R41" i="5"/>
  <c r="R33" i="5"/>
  <c r="R31" i="5"/>
  <c r="R26" i="5"/>
  <c r="R23" i="5"/>
  <c r="R21" i="5"/>
  <c r="R19" i="5"/>
  <c r="R14" i="5"/>
  <c r="R12" i="5"/>
  <c r="R16" i="5"/>
  <c r="R24" i="5"/>
  <c r="R35" i="5"/>
  <c r="S61" i="5"/>
  <c r="S59" i="5"/>
  <c r="S50" i="5"/>
  <c r="S47" i="5"/>
  <c r="S45" i="5"/>
  <c r="S43" i="5"/>
  <c r="S41" i="5"/>
  <c r="S35" i="5"/>
  <c r="S33" i="5"/>
  <c r="S31" i="5"/>
  <c r="S26" i="5"/>
  <c r="S23" i="5"/>
  <c r="S21" i="5"/>
  <c r="S19" i="5"/>
  <c r="S16" i="5"/>
  <c r="S14" i="5"/>
  <c r="S12" i="5"/>
  <c r="S60" i="5"/>
  <c r="S52" i="5"/>
  <c r="S46" i="5"/>
  <c r="S44" i="5"/>
  <c r="S42" i="5"/>
  <c r="S38" i="5"/>
  <c r="S34" i="5"/>
  <c r="S32" i="5"/>
  <c r="S22" i="5"/>
  <c r="S20" i="5"/>
  <c r="S15" i="5"/>
  <c r="S13" i="5"/>
  <c r="S24" i="5"/>
  <c r="W61" i="5"/>
  <c r="W59" i="5"/>
  <c r="W50" i="5"/>
  <c r="W47" i="5"/>
  <c r="W45" i="5"/>
  <c r="W43" i="5"/>
  <c r="W41" i="5"/>
  <c r="W35" i="5"/>
  <c r="W33" i="5"/>
  <c r="W31" i="5"/>
  <c r="W26" i="5"/>
  <c r="W23" i="5"/>
  <c r="W21" i="5"/>
  <c r="W19" i="5"/>
  <c r="W16" i="5"/>
  <c r="D42" i="2" s="1"/>
  <c r="W14" i="5"/>
  <c r="W12" i="5"/>
  <c r="W60" i="5"/>
  <c r="W52" i="5"/>
  <c r="W46" i="5"/>
  <c r="W44" i="5"/>
  <c r="W42" i="5"/>
  <c r="W38" i="5"/>
  <c r="W34" i="5"/>
  <c r="W32" i="5"/>
  <c r="W22" i="5"/>
  <c r="W20" i="5"/>
  <c r="W15" i="5"/>
  <c r="W13" i="5"/>
  <c r="W24" i="5"/>
  <c r="H133" i="5"/>
  <c r="L133" i="5" s="1"/>
  <c r="B235" i="1" s="1"/>
  <c r="T55" i="5"/>
  <c r="V63" i="5"/>
  <c r="U62" i="5"/>
  <c r="T53" i="5"/>
  <c r="V36" i="5"/>
  <c r="T17" i="5"/>
  <c r="N17" i="5"/>
  <c r="N36" i="5"/>
  <c r="N28" i="5"/>
  <c r="N62" i="5"/>
  <c r="N48" i="5"/>
  <c r="U36" i="5"/>
  <c r="V28" i="5"/>
  <c r="U17" i="5"/>
  <c r="N63" i="5"/>
  <c r="T62" i="5"/>
  <c r="N24" i="5"/>
  <c r="R37" i="5"/>
  <c r="T37" i="5"/>
  <c r="U63" i="5"/>
  <c r="C235" i="1"/>
  <c r="T63" i="5"/>
  <c r="U28" i="5"/>
  <c r="W37" i="5"/>
  <c r="U55" i="5"/>
  <c r="V53" i="5"/>
  <c r="U48" i="5"/>
  <c r="T36" i="5"/>
  <c r="V17" i="5"/>
  <c r="N53" i="5"/>
  <c r="R63" i="5"/>
  <c r="W62" i="5"/>
  <c r="S48" i="5"/>
  <c r="S55" i="5"/>
  <c r="S37" i="5"/>
  <c r="R28" i="5"/>
  <c r="V62" i="5"/>
  <c r="U53" i="5"/>
  <c r="W36" i="5"/>
  <c r="S36" i="5"/>
  <c r="T28" i="5"/>
  <c r="R36" i="5"/>
  <c r="N55" i="5"/>
  <c r="V48" i="5"/>
  <c r="T48" i="5"/>
  <c r="W17" i="5"/>
  <c r="S17" i="5"/>
  <c r="R55" i="5"/>
  <c r="B254" i="1"/>
  <c r="R17" i="5"/>
  <c r="L151" i="5"/>
  <c r="J136" i="5"/>
  <c r="L136" i="5" s="1"/>
  <c r="I136" i="5"/>
  <c r="H64" i="5"/>
  <c r="H148" i="5"/>
  <c r="K64" i="5"/>
  <c r="K148" i="5"/>
  <c r="I148" i="5"/>
  <c r="J148" i="5"/>
  <c r="L148" i="5" s="1"/>
  <c r="I37" i="5"/>
  <c r="U37" i="5" s="1"/>
  <c r="I135" i="5"/>
  <c r="L135" i="5" s="1"/>
  <c r="B208" i="1"/>
  <c r="C200" i="1"/>
  <c r="C207" i="1"/>
  <c r="C191" i="1"/>
  <c r="B207" i="1"/>
  <c r="B211" i="1"/>
  <c r="C37" i="5"/>
  <c r="C147" i="5"/>
  <c r="C135" i="5"/>
  <c r="E147" i="5"/>
  <c r="C38" i="5"/>
  <c r="C140" i="5"/>
  <c r="I9" i="5"/>
  <c r="B205" i="1"/>
  <c r="B200" i="1"/>
  <c r="B196" i="1"/>
  <c r="B204" i="1"/>
  <c r="C232" i="1"/>
  <c r="I64" i="5"/>
  <c r="J64" i="5"/>
  <c r="E38" i="5"/>
  <c r="Q144" i="5" s="1"/>
  <c r="E37" i="5"/>
  <c r="E135" i="5"/>
  <c r="D64" i="2"/>
  <c r="D50" i="1" s="1"/>
  <c r="E50" i="1" s="1"/>
  <c r="D41" i="1"/>
  <c r="D140" i="5"/>
  <c r="L7" i="2"/>
  <c r="E136" i="5"/>
  <c r="B197" i="1"/>
  <c r="B190" i="1"/>
  <c r="B213" i="1"/>
  <c r="B192" i="1"/>
  <c r="B195" i="1"/>
  <c r="B199" i="1"/>
  <c r="B198" i="1"/>
  <c r="B96" i="1"/>
  <c r="B201" i="1"/>
  <c r="C231" i="1"/>
  <c r="C230" i="1"/>
  <c r="C254" i="1"/>
  <c r="D197" i="1"/>
  <c r="B28" i="1"/>
  <c r="H31" i="1"/>
  <c r="G36" i="1"/>
  <c r="D199" i="1"/>
  <c r="E88" i="1"/>
  <c r="D94" i="1"/>
  <c r="D201" i="1" s="1"/>
  <c r="C105" i="1"/>
  <c r="C202" i="1"/>
  <c r="F36" i="1"/>
  <c r="C201" i="1"/>
  <c r="E61" i="1"/>
  <c r="D38" i="5"/>
  <c r="D37" i="5"/>
  <c r="D135" i="5"/>
  <c r="F86" i="1"/>
  <c r="F85" i="1"/>
  <c r="E140" i="5"/>
  <c r="E141" i="5"/>
  <c r="F79" i="1"/>
  <c r="E81" i="1"/>
  <c r="E43" i="1" s="1"/>
  <c r="D36" i="1"/>
  <c r="E87" i="1"/>
  <c r="D198" i="1"/>
  <c r="G93" i="1"/>
  <c r="D254" i="1"/>
  <c r="C78" i="2"/>
  <c r="C37" i="1"/>
  <c r="C237" i="1"/>
  <c r="F114" i="1"/>
  <c r="G58" i="1"/>
  <c r="D207" i="1"/>
  <c r="D211" i="1"/>
  <c r="D192" i="1"/>
  <c r="D191" i="1"/>
  <c r="D200" i="1"/>
  <c r="D195" i="1"/>
  <c r="D213" i="1"/>
  <c r="D190" i="1"/>
  <c r="D208" i="1"/>
  <c r="D147" i="5"/>
  <c r="X17" i="5" l="1"/>
  <c r="B111" i="5"/>
  <c r="N104" i="5"/>
  <c r="X36" i="5"/>
  <c r="L147" i="5"/>
  <c r="L63" i="5"/>
  <c r="F104" i="5"/>
  <c r="R142" i="5"/>
  <c r="F151" i="5"/>
  <c r="R100" i="5"/>
  <c r="X100" i="5" s="1"/>
  <c r="L100" i="5"/>
  <c r="X53" i="5"/>
  <c r="I141" i="5"/>
  <c r="I140" i="5"/>
  <c r="H111" i="5"/>
  <c r="T104" i="5"/>
  <c r="X144" i="5"/>
  <c r="Y16" i="5"/>
  <c r="J11" i="8"/>
  <c r="J25" i="8" s="1"/>
  <c r="J44" i="8" s="1"/>
  <c r="J140" i="5"/>
  <c r="J141" i="5"/>
  <c r="J139" i="5"/>
  <c r="V111" i="5"/>
  <c r="C112" i="1"/>
  <c r="H36" i="1"/>
  <c r="J36" i="1" s="1"/>
  <c r="I31" i="1"/>
  <c r="E197" i="1"/>
  <c r="E195" i="1"/>
  <c r="X55" i="5"/>
  <c r="G25" i="8"/>
  <c r="D20" i="1"/>
  <c r="D26" i="1"/>
  <c r="L26" i="1" s="1"/>
  <c r="I11" i="8"/>
  <c r="I25" i="8" s="1"/>
  <c r="I44" i="8" s="1"/>
  <c r="U111" i="5"/>
  <c r="C11" i="8"/>
  <c r="C25" i="8" s="1"/>
  <c r="C44" i="8" s="1"/>
  <c r="O111" i="5"/>
  <c r="X16" i="5"/>
  <c r="X21" i="5"/>
  <c r="O28" i="5"/>
  <c r="E111" i="5"/>
  <c r="Q111" i="5" s="1"/>
  <c r="X28" i="5"/>
  <c r="X62" i="5"/>
  <c r="X26" i="5"/>
  <c r="X33" i="5"/>
  <c r="X13" i="5"/>
  <c r="X20" i="5"/>
  <c r="X32" i="5"/>
  <c r="X38" i="5"/>
  <c r="X44" i="5"/>
  <c r="X52" i="5"/>
  <c r="P37" i="5"/>
  <c r="D42" i="1"/>
  <c r="I73" i="5"/>
  <c r="I125" i="5" s="1"/>
  <c r="X48" i="5"/>
  <c r="P28" i="5"/>
  <c r="Q61" i="5"/>
  <c r="Q59" i="5"/>
  <c r="Q50" i="5"/>
  <c r="Q45" i="5"/>
  <c r="Q43" i="5"/>
  <c r="Q41" i="5"/>
  <c r="Q35" i="5"/>
  <c r="Q33" i="5"/>
  <c r="Q31" i="5"/>
  <c r="Q26" i="5"/>
  <c r="Q23" i="5"/>
  <c r="Q21" i="5"/>
  <c r="Q19" i="5"/>
  <c r="Q14" i="5"/>
  <c r="Q12" i="5"/>
  <c r="Q60" i="5"/>
  <c r="Q52" i="5"/>
  <c r="Q46" i="5"/>
  <c r="Q44" i="5"/>
  <c r="Q42" i="5"/>
  <c r="Q38" i="5"/>
  <c r="Q34" i="5"/>
  <c r="Q32" i="5"/>
  <c r="Q22" i="5"/>
  <c r="Q20" i="5"/>
  <c r="Q15" i="5"/>
  <c r="Q13" i="5"/>
  <c r="Q16" i="5"/>
  <c r="Q47" i="5"/>
  <c r="Q24" i="5"/>
  <c r="Q55" i="5"/>
  <c r="Q62" i="5"/>
  <c r="Q48" i="5"/>
  <c r="Q17" i="5"/>
  <c r="Q63" i="5"/>
  <c r="Q53" i="5"/>
  <c r="Q36" i="5"/>
  <c r="O37" i="5"/>
  <c r="X35" i="5"/>
  <c r="X14" i="5"/>
  <c r="X43" i="5"/>
  <c r="X47" i="5"/>
  <c r="X59" i="5"/>
  <c r="O61" i="5"/>
  <c r="O59" i="5"/>
  <c r="O50" i="5"/>
  <c r="O47" i="5"/>
  <c r="O45" i="5"/>
  <c r="O43" i="5"/>
  <c r="O41" i="5"/>
  <c r="O35" i="5"/>
  <c r="O33" i="5"/>
  <c r="O31" i="5"/>
  <c r="O26" i="5"/>
  <c r="O23" i="5"/>
  <c r="O21" i="5"/>
  <c r="O19" i="5"/>
  <c r="O16" i="5"/>
  <c r="O14" i="5"/>
  <c r="O12" i="5"/>
  <c r="O60" i="5"/>
  <c r="O52" i="5"/>
  <c r="D66" i="2" s="1"/>
  <c r="D52" i="1" s="1"/>
  <c r="E52" i="1" s="1"/>
  <c r="F52" i="1" s="1"/>
  <c r="G52" i="1" s="1"/>
  <c r="H52" i="1" s="1"/>
  <c r="O46" i="5"/>
  <c r="O44" i="5"/>
  <c r="O42" i="5"/>
  <c r="O38" i="5"/>
  <c r="O34" i="5"/>
  <c r="O32" i="5"/>
  <c r="O22" i="5"/>
  <c r="O20" i="5"/>
  <c r="O15" i="5"/>
  <c r="O13" i="5"/>
  <c r="O48" i="5"/>
  <c r="O63" i="5"/>
  <c r="O62" i="5"/>
  <c r="O36" i="5"/>
  <c r="O17" i="5"/>
  <c r="O53" i="5"/>
  <c r="O24" i="5"/>
  <c r="O55" i="5"/>
  <c r="P60" i="5"/>
  <c r="P52" i="5"/>
  <c r="P46" i="5"/>
  <c r="P44" i="5"/>
  <c r="P42" i="5"/>
  <c r="P38" i="5"/>
  <c r="P34" i="5"/>
  <c r="P32" i="5"/>
  <c r="P22" i="5"/>
  <c r="P20" i="5"/>
  <c r="P15" i="5"/>
  <c r="P13" i="5"/>
  <c r="P61" i="5"/>
  <c r="P59" i="5"/>
  <c r="P50" i="5"/>
  <c r="P47" i="5"/>
  <c r="P45" i="5"/>
  <c r="P43" i="5"/>
  <c r="P41" i="5"/>
  <c r="P35" i="5"/>
  <c r="P33" i="5"/>
  <c r="P31" i="5"/>
  <c r="P26" i="5"/>
  <c r="P23" i="5"/>
  <c r="P21" i="5"/>
  <c r="P19" i="5"/>
  <c r="P16" i="5"/>
  <c r="P14" i="5"/>
  <c r="P12" i="5"/>
  <c r="P63" i="5"/>
  <c r="P62" i="5"/>
  <c r="P17" i="5"/>
  <c r="P36" i="5"/>
  <c r="P55" i="5"/>
  <c r="P48" i="5"/>
  <c r="P24" i="5"/>
  <c r="P53" i="5"/>
  <c r="Q37" i="5"/>
  <c r="B237" i="1"/>
  <c r="C148" i="5"/>
  <c r="X63" i="5"/>
  <c r="X37" i="5"/>
  <c r="X24" i="5"/>
  <c r="X12" i="5"/>
  <c r="X19" i="5"/>
  <c r="X23" i="5"/>
  <c r="X31" i="5"/>
  <c r="X41" i="5"/>
  <c r="X45" i="5"/>
  <c r="X50" i="5"/>
  <c r="X61" i="5"/>
  <c r="X15" i="5"/>
  <c r="X22" i="5"/>
  <c r="X34" i="5"/>
  <c r="X42" i="5"/>
  <c r="X46" i="5"/>
  <c r="X60" i="5"/>
  <c r="Q28" i="5"/>
  <c r="F136" i="5"/>
  <c r="B238" i="1" s="1"/>
  <c r="E39" i="5"/>
  <c r="D99" i="1"/>
  <c r="D205" i="1" s="1"/>
  <c r="E139" i="5"/>
  <c r="O179" i="1"/>
  <c r="F148" i="5"/>
  <c r="J9" i="5"/>
  <c r="B9" i="1" s="1"/>
  <c r="L179" i="1"/>
  <c r="C139" i="5"/>
  <c r="D96" i="1"/>
  <c r="D202" i="1" s="1"/>
  <c r="B37" i="1"/>
  <c r="B202" i="1"/>
  <c r="B105" i="1"/>
  <c r="B112" i="1" s="1"/>
  <c r="D206" i="1"/>
  <c r="C38" i="1"/>
  <c r="D16" i="1" s="1"/>
  <c r="E254" i="1"/>
  <c r="D78" i="2"/>
  <c r="E20" i="1"/>
  <c r="E26" i="1"/>
  <c r="E28" i="1" s="1"/>
  <c r="H58" i="1"/>
  <c r="I58" i="1" s="1"/>
  <c r="G114" i="1"/>
  <c r="D51" i="1"/>
  <c r="H93" i="1"/>
  <c r="I93" i="1" s="1"/>
  <c r="F87" i="1"/>
  <c r="E198" i="1"/>
  <c r="C209" i="1"/>
  <c r="E190" i="1"/>
  <c r="E196" i="1"/>
  <c r="E94" i="1"/>
  <c r="E96" i="1" s="1"/>
  <c r="F50" i="1"/>
  <c r="E211" i="1"/>
  <c r="E208" i="1"/>
  <c r="E12" i="1"/>
  <c r="E213" i="1"/>
  <c r="E192" i="1"/>
  <c r="E191" i="1"/>
  <c r="E109" i="1"/>
  <c r="E206" i="1" s="1"/>
  <c r="E207" i="1"/>
  <c r="E200" i="1"/>
  <c r="F81" i="1"/>
  <c r="F43" i="1" s="1"/>
  <c r="G79" i="1"/>
  <c r="G85" i="1"/>
  <c r="G86" i="1"/>
  <c r="E148" i="5"/>
  <c r="D148" i="5"/>
  <c r="D139" i="5"/>
  <c r="F61" i="1"/>
  <c r="F88" i="1"/>
  <c r="E199" i="1"/>
  <c r="R104" i="5" l="1"/>
  <c r="X104" i="5" s="1"/>
  <c r="F111" i="5"/>
  <c r="L104" i="5"/>
  <c r="B77" i="1"/>
  <c r="A275" i="1"/>
  <c r="A286" i="1" s="1"/>
  <c r="C9" i="1"/>
  <c r="H141" i="5"/>
  <c r="L141" i="5" s="1"/>
  <c r="H140" i="5"/>
  <c r="L140" i="5" s="1"/>
  <c r="H139" i="5"/>
  <c r="H11" i="8"/>
  <c r="H25" i="8" s="1"/>
  <c r="H44" i="8" s="1"/>
  <c r="T111" i="5"/>
  <c r="L139" i="5"/>
  <c r="B11" i="8"/>
  <c r="B25" i="8" s="1"/>
  <c r="B44" i="8" s="1"/>
  <c r="C46" i="8" s="1"/>
  <c r="N111" i="5"/>
  <c r="J52" i="1"/>
  <c r="I52" i="1"/>
  <c r="I114" i="1"/>
  <c r="I36" i="1"/>
  <c r="I37" i="1" s="1"/>
  <c r="C151" i="1"/>
  <c r="C65" i="1"/>
  <c r="D28" i="1"/>
  <c r="D249" i="1" s="1"/>
  <c r="L11" i="8"/>
  <c r="G44" i="8"/>
  <c r="L25" i="8"/>
  <c r="L44" i="8"/>
  <c r="J73" i="5"/>
  <c r="J125" i="5" s="1"/>
  <c r="E11" i="8"/>
  <c r="E25" i="8" s="1"/>
  <c r="E44" i="8" s="1"/>
  <c r="E48" i="8" s="1"/>
  <c r="F46" i="8" s="1"/>
  <c r="E42" i="1"/>
  <c r="K9" i="5"/>
  <c r="E249" i="1"/>
  <c r="B209" i="1"/>
  <c r="B38" i="1"/>
  <c r="E202" i="1"/>
  <c r="G88" i="1"/>
  <c r="F199" i="1"/>
  <c r="G61" i="1"/>
  <c r="M179" i="1"/>
  <c r="N179" i="1"/>
  <c r="G87" i="1"/>
  <c r="F198" i="1"/>
  <c r="H114" i="1"/>
  <c r="M26" i="1"/>
  <c r="M66" i="1"/>
  <c r="C127" i="1"/>
  <c r="C129" i="1"/>
  <c r="C131" i="1"/>
  <c r="C135" i="1"/>
  <c r="C137" i="1"/>
  <c r="C140" i="1"/>
  <c r="C145" i="1"/>
  <c r="C149" i="1"/>
  <c r="C155" i="1"/>
  <c r="C157" i="1"/>
  <c r="C159" i="1"/>
  <c r="C161" i="1"/>
  <c r="C165" i="1"/>
  <c r="C167" i="1"/>
  <c r="C171" i="1"/>
  <c r="C175" i="1"/>
  <c r="C177" i="1"/>
  <c r="C287" i="1"/>
  <c r="B287" i="1" s="1"/>
  <c r="D15" i="1"/>
  <c r="M67" i="1"/>
  <c r="C128" i="1"/>
  <c r="C130" i="1"/>
  <c r="C132" i="1"/>
  <c r="C136" i="1"/>
  <c r="C138" i="1"/>
  <c r="C146" i="1"/>
  <c r="C150" i="1"/>
  <c r="C152" i="1"/>
  <c r="C156" i="1"/>
  <c r="C158" i="1"/>
  <c r="C160" i="1"/>
  <c r="C164" i="1"/>
  <c r="C166" i="1"/>
  <c r="C169" i="1"/>
  <c r="C174" i="1"/>
  <c r="C176" i="1"/>
  <c r="C163" i="1"/>
  <c r="C142" i="1"/>
  <c r="F197" i="1"/>
  <c r="F196" i="1"/>
  <c r="F94" i="1"/>
  <c r="F201" i="1" s="1"/>
  <c r="F190" i="1"/>
  <c r="H86" i="1"/>
  <c r="I86" i="1" s="1"/>
  <c r="H85" i="1"/>
  <c r="I85" i="1" s="1"/>
  <c r="H79" i="1"/>
  <c r="I79" i="1" s="1"/>
  <c r="G81" i="1"/>
  <c r="G43" i="1" s="1"/>
  <c r="F12" i="1"/>
  <c r="F208" i="1"/>
  <c r="F192" i="1"/>
  <c r="F211" i="1"/>
  <c r="F195" i="1"/>
  <c r="F42" i="1"/>
  <c r="F191" i="1"/>
  <c r="F207" i="1"/>
  <c r="F213" i="1"/>
  <c r="F109" i="1"/>
  <c r="F206" i="1" s="1"/>
  <c r="F200" i="1"/>
  <c r="G50" i="1"/>
  <c r="E201" i="1"/>
  <c r="C216" i="1"/>
  <c r="C214" i="1"/>
  <c r="C217" i="1"/>
  <c r="J93" i="1"/>
  <c r="E37" i="1"/>
  <c r="E51" i="1"/>
  <c r="F254" i="1"/>
  <c r="F20" i="1"/>
  <c r="E78" i="2"/>
  <c r="F26" i="1"/>
  <c r="F140" i="5" l="1"/>
  <c r="F141" i="5"/>
  <c r="F11" i="8"/>
  <c r="F25" i="8" s="1"/>
  <c r="F44" i="8" s="1"/>
  <c r="F48" i="8" s="1"/>
  <c r="G46" i="8" s="1"/>
  <c r="G48" i="8" s="1"/>
  <c r="H46" i="8" s="1"/>
  <c r="H48" i="8" s="1"/>
  <c r="I46" i="8" s="1"/>
  <c r="I48" i="8" s="1"/>
  <c r="R111" i="5"/>
  <c r="X111" i="5" s="1"/>
  <c r="F139" i="5"/>
  <c r="L111" i="5"/>
  <c r="C124" i="1"/>
  <c r="C188" i="1"/>
  <c r="C227" i="1"/>
  <c r="C77" i="1"/>
  <c r="D9" i="1"/>
  <c r="A276" i="1"/>
  <c r="A287" i="1" s="1"/>
  <c r="I81" i="1"/>
  <c r="I190" i="1" s="1"/>
  <c r="D37" i="1"/>
  <c r="G196" i="1"/>
  <c r="G94" i="1"/>
  <c r="F96" i="1"/>
  <c r="F202" i="1" s="1"/>
  <c r="B151" i="1"/>
  <c r="B65" i="1"/>
  <c r="K73" i="5"/>
  <c r="K125" i="5" s="1"/>
  <c r="G190" i="1"/>
  <c r="B164" i="1"/>
  <c r="B131" i="1"/>
  <c r="B150" i="1"/>
  <c r="B135" i="1"/>
  <c r="C286" i="1"/>
  <c r="B286" i="1" s="1"/>
  <c r="B128" i="1"/>
  <c r="B156" i="1"/>
  <c r="B163" i="1"/>
  <c r="B137" i="1"/>
  <c r="B152" i="1"/>
  <c r="B157" i="1"/>
  <c r="B132" i="1"/>
  <c r="B177" i="1"/>
  <c r="B130" i="1"/>
  <c r="B160" i="1"/>
  <c r="B167" i="1"/>
  <c r="B159" i="1"/>
  <c r="B174" i="1"/>
  <c r="B140" i="1"/>
  <c r="B127" i="1"/>
  <c r="B129" i="1"/>
  <c r="B158" i="1"/>
  <c r="B166" i="1"/>
  <c r="B165" i="1"/>
  <c r="B175" i="1"/>
  <c r="B171" i="1"/>
  <c r="B176" i="1"/>
  <c r="B145" i="1"/>
  <c r="B161" i="1"/>
  <c r="B155" i="1"/>
  <c r="B146" i="1"/>
  <c r="B149" i="1"/>
  <c r="B169" i="1"/>
  <c r="B136" i="1"/>
  <c r="B138" i="1"/>
  <c r="B142" i="1"/>
  <c r="B217" i="1"/>
  <c r="B216" i="1"/>
  <c r="B214" i="1"/>
  <c r="G254" i="1"/>
  <c r="G26" i="1"/>
  <c r="G28" i="1" s="1"/>
  <c r="F78" i="2"/>
  <c r="G20" i="1"/>
  <c r="N26" i="1"/>
  <c r="F51" i="1"/>
  <c r="H50" i="1"/>
  <c r="G12" i="1"/>
  <c r="G207" i="1"/>
  <c r="G208" i="1"/>
  <c r="G211" i="1"/>
  <c r="G192" i="1"/>
  <c r="G191" i="1"/>
  <c r="G213" i="1"/>
  <c r="G109" i="1"/>
  <c r="G42" i="1"/>
  <c r="G200" i="1"/>
  <c r="H81" i="1"/>
  <c r="H43" i="1" s="1"/>
  <c r="J43" i="1" s="1"/>
  <c r="J79" i="1"/>
  <c r="J85" i="1"/>
  <c r="H87" i="1"/>
  <c r="I87" i="1" s="1"/>
  <c r="G198" i="1"/>
  <c r="F28" i="1"/>
  <c r="G197" i="1"/>
  <c r="N181" i="1"/>
  <c r="J86" i="1"/>
  <c r="H61" i="1"/>
  <c r="I61" i="1" s="1"/>
  <c r="H88" i="1"/>
  <c r="G199" i="1"/>
  <c r="D227" i="1" l="1"/>
  <c r="D77" i="1"/>
  <c r="D124" i="1"/>
  <c r="A277" i="1"/>
  <c r="A288" i="1" s="1"/>
  <c r="D188" i="1"/>
  <c r="E9" i="1"/>
  <c r="I198" i="1"/>
  <c r="J88" i="1"/>
  <c r="I88" i="1"/>
  <c r="I199" i="1" s="1"/>
  <c r="I196" i="1"/>
  <c r="I197" i="1"/>
  <c r="I41" i="1"/>
  <c r="I50" i="1"/>
  <c r="I192" i="1"/>
  <c r="I43" i="1"/>
  <c r="I211" i="1"/>
  <c r="I191" i="1"/>
  <c r="I109" i="1"/>
  <c r="I206" i="1" s="1"/>
  <c r="I42" i="1"/>
  <c r="I14" i="1"/>
  <c r="I12" i="1"/>
  <c r="I246" i="1" s="1"/>
  <c r="I208" i="1"/>
  <c r="I207" i="1"/>
  <c r="I195" i="1"/>
  <c r="I213" i="1"/>
  <c r="I204" i="1"/>
  <c r="I200" i="1"/>
  <c r="G195" i="1"/>
  <c r="G201" i="1"/>
  <c r="G96" i="1"/>
  <c r="H190" i="1"/>
  <c r="J84" i="1"/>
  <c r="J46" i="8"/>
  <c r="J190" i="1"/>
  <c r="H196" i="1"/>
  <c r="J192" i="1"/>
  <c r="H197" i="1"/>
  <c r="H94" i="1"/>
  <c r="H201" i="1" s="1"/>
  <c r="G37" i="1"/>
  <c r="H199" i="1"/>
  <c r="J199" i="1"/>
  <c r="J61" i="1"/>
  <c r="F37" i="1"/>
  <c r="F249" i="1"/>
  <c r="G206" i="1"/>
  <c r="G202" i="1"/>
  <c r="J50" i="1"/>
  <c r="G51" i="1"/>
  <c r="H254" i="1"/>
  <c r="J254" i="1" s="1"/>
  <c r="H20" i="1"/>
  <c r="J20" i="1" s="1"/>
  <c r="H26" i="1"/>
  <c r="H28" i="1" s="1"/>
  <c r="J24" i="1"/>
  <c r="G249" i="1"/>
  <c r="H198" i="1"/>
  <c r="J87" i="1"/>
  <c r="J198" i="1"/>
  <c r="H109" i="1"/>
  <c r="J109" i="1" s="1"/>
  <c r="H12" i="1"/>
  <c r="H192" i="1"/>
  <c r="H208" i="1"/>
  <c r="H213" i="1"/>
  <c r="H42" i="1"/>
  <c r="H191" i="1"/>
  <c r="H207" i="1"/>
  <c r="H211" i="1"/>
  <c r="J81" i="1"/>
  <c r="J197" i="1"/>
  <c r="J196" i="1"/>
  <c r="J207" i="1"/>
  <c r="J208" i="1"/>
  <c r="J213" i="1"/>
  <c r="J195" i="1"/>
  <c r="H200" i="1"/>
  <c r="J200" i="1"/>
  <c r="J191" i="1"/>
  <c r="O26" i="1"/>
  <c r="E227" i="1" l="1"/>
  <c r="E124" i="1"/>
  <c r="E188" i="1"/>
  <c r="E77" i="1"/>
  <c r="F9" i="1"/>
  <c r="A278" i="1"/>
  <c r="A289" i="1" s="1"/>
  <c r="I94" i="1"/>
  <c r="I201" i="1" s="1"/>
  <c r="H249" i="1"/>
  <c r="J249" i="1" s="1"/>
  <c r="J28" i="1"/>
  <c r="I249" i="1"/>
  <c r="I17" i="1"/>
  <c r="I54" i="1"/>
  <c r="H195" i="1"/>
  <c r="J48" i="8"/>
  <c r="H96" i="1"/>
  <c r="J96" i="1" s="1"/>
  <c r="J94" i="1"/>
  <c r="J201" i="1"/>
  <c r="H206" i="1"/>
  <c r="H51" i="1"/>
  <c r="J42" i="1"/>
  <c r="J12" i="1"/>
  <c r="H37" i="1"/>
  <c r="J26" i="1"/>
  <c r="P26" i="1"/>
  <c r="J206" i="1"/>
  <c r="A279" i="1" l="1"/>
  <c r="A290" i="1" s="1"/>
  <c r="F227" i="1"/>
  <c r="F77" i="1"/>
  <c r="F188" i="1"/>
  <c r="F124" i="1"/>
  <c r="G9" i="1"/>
  <c r="H202" i="1"/>
  <c r="I96" i="1"/>
  <c r="I202" i="1" s="1"/>
  <c r="I38" i="1"/>
  <c r="I167" i="1" s="1"/>
  <c r="J202" i="1"/>
  <c r="K46" i="8"/>
  <c r="J37" i="1"/>
  <c r="I105" i="1" l="1"/>
  <c r="G77" i="1"/>
  <c r="G227" i="1"/>
  <c r="H9" i="1"/>
  <c r="G188" i="1"/>
  <c r="G124" i="1"/>
  <c r="A280" i="1"/>
  <c r="A291" i="1" s="1"/>
  <c r="I209" i="1"/>
  <c r="I112" i="1"/>
  <c r="I152" i="1"/>
  <c r="I136" i="1"/>
  <c r="I47" i="1"/>
  <c r="I16" i="1"/>
  <c r="I131" i="1" s="1"/>
  <c r="I158" i="1"/>
  <c r="I149" i="1"/>
  <c r="I138" i="1"/>
  <c r="I150" i="1"/>
  <c r="I135" i="1"/>
  <c r="I146" i="1"/>
  <c r="I140" i="1"/>
  <c r="I128" i="1"/>
  <c r="I166" i="1"/>
  <c r="I137" i="1"/>
  <c r="I142" i="1"/>
  <c r="I159" i="1"/>
  <c r="I164" i="1"/>
  <c r="I171" i="1"/>
  <c r="I145" i="1"/>
  <c r="I151" i="1"/>
  <c r="I165" i="1"/>
  <c r="I174" i="1"/>
  <c r="I155" i="1"/>
  <c r="I127" i="1"/>
  <c r="I163" i="1"/>
  <c r="I157" i="1"/>
  <c r="I129" i="1"/>
  <c r="I156" i="1"/>
  <c r="I132" i="1"/>
  <c r="K48" i="8"/>
  <c r="L48" i="8" s="1"/>
  <c r="L46" i="8"/>
  <c r="F14" i="1"/>
  <c r="I9" i="1" l="1"/>
  <c r="H124" i="1"/>
  <c r="H188" i="1"/>
  <c r="A281" i="1"/>
  <c r="A292" i="1" s="1"/>
  <c r="H227" i="1"/>
  <c r="H77" i="1"/>
  <c r="I214" i="1"/>
  <c r="I216" i="1"/>
  <c r="I160" i="1"/>
  <c r="I48" i="1"/>
  <c r="E14" i="1"/>
  <c r="H14" i="1"/>
  <c r="G14" i="1"/>
  <c r="G247" i="1" s="1"/>
  <c r="I77" i="1" l="1"/>
  <c r="I227" i="1"/>
  <c r="I124" i="1"/>
  <c r="I188" i="1"/>
  <c r="I232" i="1"/>
  <c r="I247" i="1"/>
  <c r="I56" i="1"/>
  <c r="I161" i="1"/>
  <c r="I231" i="1"/>
  <c r="I230" i="1"/>
  <c r="J14" i="1"/>
  <c r="E232" i="1"/>
  <c r="D247" i="1"/>
  <c r="D232" i="1"/>
  <c r="E247" i="1"/>
  <c r="H232" i="1"/>
  <c r="H247" i="1"/>
  <c r="F232" i="1"/>
  <c r="F247" i="1"/>
  <c r="G232" i="1"/>
  <c r="I169" i="1" l="1"/>
  <c r="J232" i="1"/>
  <c r="J247" i="1"/>
  <c r="D13" i="1"/>
  <c r="E13" i="1"/>
  <c r="F13" i="1"/>
  <c r="G13" i="1"/>
  <c r="H13" i="1"/>
  <c r="E15" i="1"/>
  <c r="F15" i="1"/>
  <c r="G15" i="1"/>
  <c r="H15" i="1"/>
  <c r="I15" i="1"/>
  <c r="J15" i="1"/>
  <c r="E16" i="1"/>
  <c r="F16" i="1"/>
  <c r="G16" i="1"/>
  <c r="H16" i="1"/>
  <c r="J16" i="1"/>
  <c r="D17" i="1"/>
  <c r="E17" i="1"/>
  <c r="F17" i="1"/>
  <c r="G17" i="1"/>
  <c r="H17" i="1"/>
  <c r="J17" i="1"/>
  <c r="D38" i="1"/>
  <c r="E38" i="1"/>
  <c r="F38" i="1"/>
  <c r="G38" i="1"/>
  <c r="H38" i="1"/>
  <c r="J38" i="1"/>
  <c r="E41" i="1"/>
  <c r="F41" i="1"/>
  <c r="G41" i="1"/>
  <c r="H41" i="1"/>
  <c r="J41" i="1"/>
  <c r="D47" i="1"/>
  <c r="E47" i="1"/>
  <c r="F47" i="1"/>
  <c r="G47" i="1"/>
  <c r="H47" i="1"/>
  <c r="J47" i="1"/>
  <c r="D48" i="1"/>
  <c r="E48" i="1"/>
  <c r="F48" i="1"/>
  <c r="G48" i="1"/>
  <c r="H48" i="1"/>
  <c r="J48" i="1"/>
  <c r="D53" i="1"/>
  <c r="E53" i="1"/>
  <c r="F53" i="1"/>
  <c r="G53" i="1"/>
  <c r="H53" i="1"/>
  <c r="D54" i="1"/>
  <c r="E54" i="1"/>
  <c r="F54" i="1"/>
  <c r="G54" i="1"/>
  <c r="H54" i="1"/>
  <c r="J54" i="1"/>
  <c r="D56" i="1"/>
  <c r="E56" i="1"/>
  <c r="F56" i="1"/>
  <c r="G56" i="1"/>
  <c r="H56" i="1"/>
  <c r="J56" i="1"/>
  <c r="D62" i="1"/>
  <c r="E62" i="1"/>
  <c r="F62" i="1"/>
  <c r="G62" i="1"/>
  <c r="H62" i="1"/>
  <c r="I62" i="1"/>
  <c r="D63" i="1"/>
  <c r="E63" i="1"/>
  <c r="F63" i="1"/>
  <c r="G63" i="1"/>
  <c r="H63" i="1"/>
  <c r="I63" i="1"/>
  <c r="J63" i="1"/>
  <c r="D64" i="1"/>
  <c r="E64" i="1"/>
  <c r="F64" i="1"/>
  <c r="G64" i="1"/>
  <c r="H64" i="1"/>
  <c r="I64" i="1"/>
  <c r="J64" i="1"/>
  <c r="D65" i="1"/>
  <c r="E65" i="1"/>
  <c r="F65" i="1"/>
  <c r="G65" i="1"/>
  <c r="H65" i="1"/>
  <c r="I65" i="1"/>
  <c r="J65" i="1"/>
  <c r="N66" i="1"/>
  <c r="O66" i="1"/>
  <c r="P66" i="1"/>
  <c r="Q66" i="1"/>
  <c r="R66" i="1"/>
  <c r="N67" i="1"/>
  <c r="O67" i="1"/>
  <c r="P67" i="1"/>
  <c r="Q67" i="1"/>
  <c r="R67" i="1"/>
  <c r="D98" i="1"/>
  <c r="E98" i="1"/>
  <c r="F98" i="1"/>
  <c r="G98" i="1"/>
  <c r="H98" i="1"/>
  <c r="E99" i="1"/>
  <c r="F99" i="1"/>
  <c r="G99" i="1"/>
  <c r="H99" i="1"/>
  <c r="I99" i="1"/>
  <c r="J99" i="1"/>
  <c r="D103" i="1"/>
  <c r="E103" i="1"/>
  <c r="F103" i="1"/>
  <c r="G103" i="1"/>
  <c r="H103" i="1"/>
  <c r="J103" i="1"/>
  <c r="D105" i="1"/>
  <c r="E105" i="1"/>
  <c r="F105" i="1"/>
  <c r="G105" i="1"/>
  <c r="H105" i="1"/>
  <c r="J105" i="1"/>
  <c r="D112" i="1"/>
  <c r="E112" i="1"/>
  <c r="F112" i="1"/>
  <c r="G112" i="1"/>
  <c r="H112" i="1"/>
  <c r="J112" i="1"/>
  <c r="D115" i="1"/>
  <c r="E115" i="1"/>
  <c r="F115" i="1"/>
  <c r="G115" i="1"/>
  <c r="H115" i="1"/>
  <c r="I115" i="1"/>
  <c r="D127" i="1"/>
  <c r="E127" i="1"/>
  <c r="F127" i="1"/>
  <c r="G127" i="1"/>
  <c r="H127" i="1"/>
  <c r="J127" i="1"/>
  <c r="D128" i="1"/>
  <c r="E128" i="1"/>
  <c r="F128" i="1"/>
  <c r="G128" i="1"/>
  <c r="H128" i="1"/>
  <c r="J128" i="1"/>
  <c r="D129" i="1"/>
  <c r="E129" i="1"/>
  <c r="F129" i="1"/>
  <c r="G129" i="1"/>
  <c r="H129" i="1"/>
  <c r="J129" i="1"/>
  <c r="D130" i="1"/>
  <c r="E130" i="1"/>
  <c r="F130" i="1"/>
  <c r="G130" i="1"/>
  <c r="H130" i="1"/>
  <c r="I130" i="1"/>
  <c r="J130" i="1"/>
  <c r="D131" i="1"/>
  <c r="E131" i="1"/>
  <c r="F131" i="1"/>
  <c r="G131" i="1"/>
  <c r="H131" i="1"/>
  <c r="J131" i="1"/>
  <c r="D132" i="1"/>
  <c r="E132" i="1"/>
  <c r="F132" i="1"/>
  <c r="G132" i="1"/>
  <c r="H132" i="1"/>
  <c r="J132" i="1"/>
  <c r="D135" i="1"/>
  <c r="E135" i="1"/>
  <c r="F135" i="1"/>
  <c r="G135" i="1"/>
  <c r="H135" i="1"/>
  <c r="J135" i="1"/>
  <c r="D136" i="1"/>
  <c r="E136" i="1"/>
  <c r="F136" i="1"/>
  <c r="G136" i="1"/>
  <c r="H136" i="1"/>
  <c r="J136" i="1"/>
  <c r="D137" i="1"/>
  <c r="E137" i="1"/>
  <c r="F137" i="1"/>
  <c r="G137" i="1"/>
  <c r="H137" i="1"/>
  <c r="J137" i="1"/>
  <c r="D138" i="1"/>
  <c r="E138" i="1"/>
  <c r="F138" i="1"/>
  <c r="G138" i="1"/>
  <c r="H138" i="1"/>
  <c r="J138" i="1"/>
  <c r="D140" i="1"/>
  <c r="E140" i="1"/>
  <c r="F140" i="1"/>
  <c r="G140" i="1"/>
  <c r="H140" i="1"/>
  <c r="J140" i="1"/>
  <c r="D142" i="1"/>
  <c r="E142" i="1"/>
  <c r="F142" i="1"/>
  <c r="G142" i="1"/>
  <c r="H142" i="1"/>
  <c r="J142" i="1"/>
  <c r="D145" i="1"/>
  <c r="E145" i="1"/>
  <c r="F145" i="1"/>
  <c r="G145" i="1"/>
  <c r="H145" i="1"/>
  <c r="J145" i="1"/>
  <c r="D146" i="1"/>
  <c r="E146" i="1"/>
  <c r="F146" i="1"/>
  <c r="G146" i="1"/>
  <c r="H146" i="1"/>
  <c r="J146" i="1"/>
  <c r="D149" i="1"/>
  <c r="E149" i="1"/>
  <c r="F149" i="1"/>
  <c r="G149" i="1"/>
  <c r="H149" i="1"/>
  <c r="J149" i="1"/>
  <c r="D150" i="1"/>
  <c r="E150" i="1"/>
  <c r="F150" i="1"/>
  <c r="G150" i="1"/>
  <c r="H150" i="1"/>
  <c r="J150" i="1"/>
  <c r="D151" i="1"/>
  <c r="E151" i="1"/>
  <c r="F151" i="1"/>
  <c r="G151" i="1"/>
  <c r="H151" i="1"/>
  <c r="J151" i="1"/>
  <c r="D152" i="1"/>
  <c r="E152" i="1"/>
  <c r="F152" i="1"/>
  <c r="G152" i="1"/>
  <c r="H152" i="1"/>
  <c r="J152" i="1"/>
  <c r="D155" i="1"/>
  <c r="E155" i="1"/>
  <c r="F155" i="1"/>
  <c r="G155" i="1"/>
  <c r="H155" i="1"/>
  <c r="J155" i="1"/>
  <c r="D156" i="1"/>
  <c r="E156" i="1"/>
  <c r="F156" i="1"/>
  <c r="G156" i="1"/>
  <c r="H156" i="1"/>
  <c r="J156" i="1"/>
  <c r="D157" i="1"/>
  <c r="E157" i="1"/>
  <c r="F157" i="1"/>
  <c r="G157" i="1"/>
  <c r="H157" i="1"/>
  <c r="J157" i="1"/>
  <c r="D158" i="1"/>
  <c r="E158" i="1"/>
  <c r="F158" i="1"/>
  <c r="G158" i="1"/>
  <c r="H158" i="1"/>
  <c r="J158" i="1"/>
  <c r="D159" i="1"/>
  <c r="E159" i="1"/>
  <c r="F159" i="1"/>
  <c r="G159" i="1"/>
  <c r="H159" i="1"/>
  <c r="J159" i="1"/>
  <c r="D160" i="1"/>
  <c r="E160" i="1"/>
  <c r="F160" i="1"/>
  <c r="G160" i="1"/>
  <c r="H160" i="1"/>
  <c r="J160" i="1"/>
  <c r="D161" i="1"/>
  <c r="E161" i="1"/>
  <c r="F161" i="1"/>
  <c r="G161" i="1"/>
  <c r="H161" i="1"/>
  <c r="J161" i="1"/>
  <c r="D163" i="1"/>
  <c r="E163" i="1"/>
  <c r="F163" i="1"/>
  <c r="G163" i="1"/>
  <c r="H163" i="1"/>
  <c r="J163" i="1"/>
  <c r="D164" i="1"/>
  <c r="E164" i="1"/>
  <c r="F164" i="1"/>
  <c r="G164" i="1"/>
  <c r="H164" i="1"/>
  <c r="J164" i="1"/>
  <c r="D165" i="1"/>
  <c r="E165" i="1"/>
  <c r="F165" i="1"/>
  <c r="G165" i="1"/>
  <c r="H165" i="1"/>
  <c r="J165" i="1"/>
  <c r="D166" i="1"/>
  <c r="E166" i="1"/>
  <c r="F166" i="1"/>
  <c r="G166" i="1"/>
  <c r="H166" i="1"/>
  <c r="J166" i="1"/>
  <c r="D167" i="1"/>
  <c r="E167" i="1"/>
  <c r="F167" i="1"/>
  <c r="G167" i="1"/>
  <c r="H167" i="1"/>
  <c r="J167" i="1"/>
  <c r="D169" i="1"/>
  <c r="E169" i="1"/>
  <c r="F169" i="1"/>
  <c r="G169" i="1"/>
  <c r="H169" i="1"/>
  <c r="J169" i="1"/>
  <c r="D171" i="1"/>
  <c r="E171" i="1"/>
  <c r="F171" i="1"/>
  <c r="G171" i="1"/>
  <c r="H171" i="1"/>
  <c r="J171" i="1"/>
  <c r="D174" i="1"/>
  <c r="E174" i="1"/>
  <c r="F174" i="1"/>
  <c r="G174" i="1"/>
  <c r="H174" i="1"/>
  <c r="J174" i="1"/>
  <c r="D175" i="1"/>
  <c r="E175" i="1"/>
  <c r="F175" i="1"/>
  <c r="G175" i="1"/>
  <c r="H175" i="1"/>
  <c r="I175" i="1"/>
  <c r="J175" i="1"/>
  <c r="D176" i="1"/>
  <c r="E176" i="1"/>
  <c r="F176" i="1"/>
  <c r="G176" i="1"/>
  <c r="H176" i="1"/>
  <c r="I176" i="1"/>
  <c r="J176" i="1"/>
  <c r="D177" i="1"/>
  <c r="E177" i="1"/>
  <c r="F177" i="1"/>
  <c r="G177" i="1"/>
  <c r="H177" i="1"/>
  <c r="I177" i="1"/>
  <c r="J177" i="1"/>
  <c r="P179" i="1"/>
  <c r="Q179" i="1"/>
  <c r="R179" i="1"/>
  <c r="S179" i="1"/>
  <c r="T179" i="1"/>
  <c r="R181" i="1"/>
  <c r="D204" i="1"/>
  <c r="E204" i="1"/>
  <c r="F204" i="1"/>
  <c r="G204" i="1"/>
  <c r="H204" i="1"/>
  <c r="J204" i="1"/>
  <c r="E205" i="1"/>
  <c r="F205" i="1"/>
  <c r="G205" i="1"/>
  <c r="H205" i="1"/>
  <c r="I205" i="1"/>
  <c r="J205" i="1"/>
  <c r="D209" i="1"/>
  <c r="E209" i="1"/>
  <c r="F209" i="1"/>
  <c r="G209" i="1"/>
  <c r="H209" i="1"/>
  <c r="J209" i="1"/>
  <c r="J211" i="1"/>
  <c r="D214" i="1"/>
  <c r="E214" i="1"/>
  <c r="F214" i="1"/>
  <c r="G214" i="1"/>
  <c r="H214" i="1"/>
  <c r="J214" i="1"/>
  <c r="D216" i="1"/>
  <c r="E216" i="1"/>
  <c r="F216" i="1"/>
  <c r="G216" i="1"/>
  <c r="H216" i="1"/>
  <c r="J216" i="1"/>
  <c r="D217" i="1"/>
  <c r="E217" i="1"/>
  <c r="F217" i="1"/>
  <c r="G217" i="1"/>
  <c r="H217" i="1"/>
  <c r="I217" i="1"/>
  <c r="J217" i="1"/>
  <c r="D230" i="1"/>
  <c r="E230" i="1"/>
  <c r="F230" i="1"/>
  <c r="G230" i="1"/>
  <c r="H230" i="1"/>
  <c r="J230" i="1"/>
  <c r="D231" i="1"/>
  <c r="E231" i="1"/>
  <c r="F231" i="1"/>
  <c r="G231" i="1"/>
  <c r="H231" i="1"/>
  <c r="J231" i="1"/>
  <c r="D235" i="1"/>
  <c r="E235" i="1"/>
  <c r="F235" i="1"/>
  <c r="G235" i="1"/>
  <c r="H235" i="1"/>
  <c r="I235" i="1"/>
  <c r="J235" i="1"/>
  <c r="D236" i="1"/>
  <c r="E236" i="1"/>
  <c r="F236" i="1"/>
  <c r="G236" i="1"/>
  <c r="H236" i="1"/>
  <c r="I236" i="1"/>
  <c r="J236" i="1"/>
  <c r="D237" i="1"/>
  <c r="E237" i="1"/>
  <c r="F237" i="1"/>
  <c r="G237" i="1"/>
  <c r="H237" i="1"/>
  <c r="I237" i="1"/>
  <c r="J237" i="1"/>
  <c r="D238" i="1"/>
  <c r="E238" i="1"/>
  <c r="F238" i="1"/>
  <c r="G238" i="1"/>
  <c r="H238" i="1"/>
  <c r="I238" i="1"/>
  <c r="J238" i="1"/>
  <c r="D241" i="1"/>
  <c r="E241" i="1"/>
  <c r="F241" i="1"/>
  <c r="G241" i="1"/>
  <c r="H241" i="1"/>
  <c r="I241" i="1"/>
  <c r="J241" i="1"/>
  <c r="D242" i="1"/>
  <c r="E242" i="1"/>
  <c r="F242" i="1"/>
  <c r="G242" i="1"/>
  <c r="H242" i="1"/>
  <c r="I242" i="1"/>
  <c r="J242" i="1"/>
  <c r="D243" i="1"/>
  <c r="E243" i="1"/>
  <c r="F243" i="1"/>
  <c r="G243" i="1"/>
  <c r="H243" i="1"/>
  <c r="I243" i="1"/>
  <c r="J243" i="1"/>
  <c r="D246" i="1"/>
  <c r="E246" i="1"/>
  <c r="F246" i="1"/>
  <c r="G246" i="1"/>
  <c r="H246" i="1"/>
  <c r="J246" i="1"/>
  <c r="D248" i="1"/>
  <c r="E248" i="1"/>
  <c r="F248" i="1"/>
  <c r="G248" i="1"/>
  <c r="H248" i="1"/>
  <c r="I248" i="1"/>
  <c r="J248" i="1"/>
  <c r="D250" i="1"/>
  <c r="E250" i="1"/>
  <c r="F250" i="1"/>
  <c r="G250" i="1"/>
  <c r="H250" i="1"/>
  <c r="I250" i="1"/>
  <c r="J250" i="1"/>
  <c r="D253" i="1"/>
  <c r="E253" i="1"/>
  <c r="F253" i="1"/>
  <c r="G253" i="1"/>
  <c r="H253" i="1"/>
  <c r="I253" i="1"/>
  <c r="J253" i="1"/>
  <c r="D255" i="1"/>
  <c r="E255" i="1"/>
  <c r="F255" i="1"/>
  <c r="G255" i="1"/>
  <c r="H255" i="1"/>
  <c r="I255" i="1"/>
  <c r="J255" i="1"/>
  <c r="D258" i="1"/>
  <c r="E258" i="1"/>
  <c r="F258" i="1"/>
  <c r="G258" i="1"/>
  <c r="H258" i="1"/>
  <c r="I258" i="1"/>
  <c r="J258" i="1"/>
  <c r="D259" i="1"/>
  <c r="E259" i="1"/>
  <c r="F259" i="1"/>
  <c r="G259" i="1"/>
  <c r="H259" i="1"/>
  <c r="I259" i="1"/>
  <c r="J259" i="1"/>
  <c r="D262" i="1"/>
  <c r="E262" i="1"/>
  <c r="F262" i="1"/>
  <c r="G262" i="1"/>
  <c r="H262" i="1"/>
  <c r="I262" i="1"/>
  <c r="J262" i="1"/>
  <c r="D263" i="1"/>
  <c r="E263" i="1"/>
  <c r="F263" i="1"/>
  <c r="G263" i="1"/>
  <c r="H263" i="1"/>
  <c r="I263" i="1"/>
  <c r="J263" i="1"/>
  <c r="D264" i="1"/>
  <c r="E264" i="1"/>
  <c r="F264" i="1"/>
  <c r="G264" i="1"/>
  <c r="H264" i="1"/>
  <c r="I264" i="1"/>
  <c r="J264" i="1"/>
  <c r="B277" i="1"/>
  <c r="C277" i="1"/>
  <c r="B278" i="1"/>
  <c r="C278" i="1"/>
  <c r="B279" i="1"/>
  <c r="C279" i="1"/>
  <c r="B280" i="1"/>
  <c r="C280" i="1"/>
  <c r="B281" i="1"/>
  <c r="C281" i="1"/>
  <c r="B288" i="1"/>
  <c r="C288" i="1"/>
  <c r="B289" i="1"/>
  <c r="C289" i="1"/>
  <c r="B290" i="1"/>
  <c r="C290" i="1"/>
  <c r="B291" i="1"/>
  <c r="C291" i="1"/>
  <c r="B292" i="1"/>
  <c r="C292" i="1"/>
</calcChain>
</file>

<file path=xl/sharedStrings.xml><?xml version="1.0" encoding="utf-8"?>
<sst xmlns="http://schemas.openxmlformats.org/spreadsheetml/2006/main" count="404" uniqueCount="267">
  <si>
    <t>::</t>
  </si>
  <si>
    <t>Account Name</t>
  </si>
  <si>
    <t>Additional Loans</t>
  </si>
  <si>
    <t>Asset Value</t>
  </si>
  <si>
    <t>Asset-utilization Ratios:</t>
  </si>
  <si>
    <t>Average</t>
  </si>
  <si>
    <t>Avg. Annual</t>
  </si>
  <si>
    <t>Cash &amp; Equivalents</t>
  </si>
  <si>
    <t>computed by forecast model</t>
  </si>
  <si>
    <t>Current</t>
  </si>
  <si>
    <t>Current Assets:</t>
  </si>
  <si>
    <t>Current Liabilities:</t>
  </si>
  <si>
    <t>Days Revenues Receivable</t>
  </si>
  <si>
    <t>Deferred Income Taxes</t>
  </si>
  <si>
    <t>Depreciation Rate</t>
  </si>
  <si>
    <t>Difference</t>
  </si>
  <si>
    <t>Difference in Total Assets &amp; Total Liabilities</t>
  </si>
  <si>
    <t xml:space="preserve">Dividend Payout </t>
  </si>
  <si>
    <t>Earnings Before Taxes</t>
  </si>
  <si>
    <t>Earnings From Operations</t>
  </si>
  <si>
    <t>FORECAST ASSUMPTIONS</t>
  </si>
  <si>
    <t>Forecast Year</t>
  </si>
  <si>
    <t>Historical</t>
  </si>
  <si>
    <t>Historical Income Statements</t>
  </si>
  <si>
    <t>Income Tax Rate</t>
  </si>
  <si>
    <t>Income Taxes</t>
  </si>
  <si>
    <t>Inflation (GDP)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</si>
  <si>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</si>
  <si>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</si>
  <si>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</si>
  <si>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</si>
  <si>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</si>
  <si>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</si>
  <si>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</si>
  <si>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</si>
  <si>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</si>
  <si>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</si>
  <si>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</si>
  <si>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Previous Value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</si>
  <si>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</si>
  <si>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</si>
  <si>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</si>
  <si>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</si>
  <si>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</si>
  <si>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</si>
  <si>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</si>
  <si>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</si>
  <si>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</si>
  <si>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</si>
  <si>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Surplus Cash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</si>
  <si>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</si>
  <si>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</si>
  <si>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</si>
  <si>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</si>
  <si>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</si>
  <si>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</si>
  <si>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</si>
  <si>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</si>
  <si>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Forecast Balance Sheets</t>
  </si>
  <si>
    <t>Company Name</t>
  </si>
  <si>
    <t>Forecast Income Statements</t>
  </si>
  <si>
    <t>Common Size</t>
  </si>
  <si>
    <t>Historical Balance Sheets</t>
  </si>
  <si>
    <t>Forecast</t>
  </si>
  <si>
    <t>Historical Financial Ratios</t>
  </si>
  <si>
    <t>of revenue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</si>
  <si>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</si>
  <si>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</si>
  <si>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</si>
  <si>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</si>
  <si>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</si>
  <si>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</si>
  <si>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</si>
  <si>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</si>
  <si>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</si>
  <si>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 xml:space="preserve">  Construction Work in Progress</t>
  </si>
  <si>
    <t>Accumulated Depreciation &amp; Amort.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</si>
  <si>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</si>
  <si>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</si>
  <si>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</si>
  <si>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</si>
  <si>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</si>
  <si>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</si>
  <si>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</si>
  <si>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</si>
  <si>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</si>
  <si>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Return On Total Capital</t>
  </si>
  <si>
    <t>Profitability Ratios:</t>
  </si>
  <si>
    <t>Other Assets:</t>
  </si>
  <si>
    <t>Total Other Assets</t>
  </si>
  <si>
    <t>Calculated on forecast sheet</t>
  </si>
  <si>
    <t>avg. of hist. amounts</t>
  </si>
  <si>
    <t>calculation</t>
  </si>
  <si>
    <t>by assumption</t>
  </si>
  <si>
    <t>of pfd. Stock balance</t>
  </si>
  <si>
    <t>approx. hist. avg.</t>
  </si>
  <si>
    <t>of total assets</t>
  </si>
  <si>
    <t>approx. hist. average</t>
  </si>
  <si>
    <t>latest year</t>
  </si>
  <si>
    <t>or revenues</t>
  </si>
  <si>
    <t>calculated</t>
  </si>
  <si>
    <t>fixed at latest year</t>
  </si>
  <si>
    <t>Material and Supplies</t>
  </si>
  <si>
    <t>Other Non-Current Assets</t>
  </si>
  <si>
    <t>Acounts Payable</t>
  </si>
  <si>
    <t>Acounts Payable, Affiliates</t>
  </si>
  <si>
    <t>Rate-Refund Obligation</t>
  </si>
  <si>
    <t xml:space="preserve">   Operating and Maintenance</t>
  </si>
  <si>
    <t>Accounts Receivable, net</t>
  </si>
  <si>
    <t>Years Ended December 31</t>
  </si>
  <si>
    <t>no preferred stock</t>
  </si>
  <si>
    <t>Exhibit 1</t>
  </si>
  <si>
    <t>Annual Rate 2.50%</t>
  </si>
  <si>
    <t xml:space="preserve">   Interest and Other Income</t>
  </si>
  <si>
    <t>Plant in Service</t>
  </si>
  <si>
    <t>Averages</t>
  </si>
  <si>
    <t>Capital Structure (Regulatory):</t>
  </si>
  <si>
    <t>Common Equity</t>
  </si>
  <si>
    <t>Capital Structure:</t>
  </si>
  <si>
    <t>Short-Term Debt</t>
  </si>
  <si>
    <t>Interest on (Surplus Cash)/Add. Loans</t>
  </si>
  <si>
    <t>2006e</t>
  </si>
  <si>
    <t>2007e</t>
  </si>
  <si>
    <t xml:space="preserve"> </t>
  </si>
  <si>
    <t>assumes about two weeks of cash</t>
  </si>
  <si>
    <t>1/24th of revenues</t>
  </si>
  <si>
    <t>approx. hist. average, 2004-2007</t>
  </si>
  <si>
    <t>Patrons Capital</t>
  </si>
  <si>
    <t>annual growth</t>
  </si>
  <si>
    <t>Revenues</t>
  </si>
  <si>
    <t>Other Revenues</t>
  </si>
  <si>
    <t>inflation growth rate</t>
  </si>
  <si>
    <t>Operating Revenues</t>
  </si>
  <si>
    <t>of plant in service</t>
  </si>
  <si>
    <t xml:space="preserve">      Additional Revenue Requirements</t>
  </si>
  <si>
    <t>Page 5 of 5</t>
  </si>
  <si>
    <t>Page 4 of 5</t>
  </si>
  <si>
    <t>Return of Patronage Capital</t>
  </si>
  <si>
    <t>approximate current yield on money market funds</t>
  </si>
  <si>
    <t>of LTD (including Current)</t>
  </si>
  <si>
    <t>2006 estimated weighted average yield on existing debt</t>
  </si>
  <si>
    <t>Current Portion of LTD</t>
  </si>
  <si>
    <t>Customer Deposits</t>
  </si>
  <si>
    <t>Cost of Purchased Power</t>
  </si>
  <si>
    <t xml:space="preserve">   Other (Income) Expense</t>
  </si>
  <si>
    <t>page 4 of 5</t>
  </si>
  <si>
    <t>page 2 of 5</t>
  </si>
  <si>
    <t>2007</t>
  </si>
  <si>
    <t>approx. 2004-2007 hist. avg.</t>
  </si>
  <si>
    <t>approx. 2004-2007 hist. median</t>
  </si>
  <si>
    <t>of reveneues</t>
  </si>
  <si>
    <t>approx. hist. avg. (2004-2007)</t>
  </si>
  <si>
    <t>Approximate 2007 amount</t>
  </si>
  <si>
    <t>annualized 2008 plus inflation going forward</t>
  </si>
  <si>
    <t>Annual Rate 3.5%</t>
  </si>
  <si>
    <t>of patronage capital</t>
  </si>
  <si>
    <t>approximate 2004-2007 median</t>
  </si>
  <si>
    <t>Total Patronage Equity</t>
  </si>
  <si>
    <t>set at zero, plant in service is total amount</t>
  </si>
  <si>
    <t>of LTD</t>
  </si>
  <si>
    <t>Interest on LTD</t>
  </si>
  <si>
    <t>2004-2007 avg. growth to reflect addition of new patrons and remove some of retained earnings</t>
  </si>
  <si>
    <t>avg. % of PP&amp;E</t>
  </si>
  <si>
    <t>Administrative and General Expenses</t>
  </si>
  <si>
    <t>only pays income taxes on unregulated propane sub.</t>
  </si>
  <si>
    <t>Return of Patrons Capital</t>
  </si>
  <si>
    <t>2008 est. from Nov. balance sheet, after 2008 growth rate average of last year's Co. growth rate and inflation</t>
  </si>
  <si>
    <t>Mt. Wheeler Power, Inc.</t>
  </si>
  <si>
    <t>Historical change for the past 3 years</t>
  </si>
  <si>
    <t>Historical Average</t>
  </si>
  <si>
    <t>inflation rate X 2</t>
  </si>
  <si>
    <t>Forecast Financial Ratios</t>
  </si>
  <si>
    <t>Constant</t>
  </si>
  <si>
    <t>Added per year</t>
  </si>
  <si>
    <t>Net Margin</t>
  </si>
  <si>
    <t>Exhibit 2</t>
  </si>
  <si>
    <t>Loan Covenants:</t>
  </si>
  <si>
    <t>Debt Coverage Ratio &gt; 1.35</t>
  </si>
  <si>
    <t>Non CFC Loan / Total Plant &lt; 15% or</t>
  </si>
  <si>
    <t>Non CFC Loan &lt; 50% of Equity</t>
  </si>
  <si>
    <t>Return On Patrons Capital</t>
  </si>
  <si>
    <t>Temporary Cash Investment</t>
  </si>
  <si>
    <t>Electric Plant Acquisition Adjustment</t>
  </si>
  <si>
    <t>Electric Plan Held for Future Use</t>
  </si>
  <si>
    <t>Notes Receivable</t>
  </si>
  <si>
    <t>Investment in Associated Organizations</t>
  </si>
  <si>
    <t>Accrued Compensated Absences</t>
  </si>
  <si>
    <t xml:space="preserve">   Transmission</t>
  </si>
  <si>
    <t xml:space="preserve">    Customer Service &amp; Information</t>
  </si>
  <si>
    <t xml:space="preserve">   Consumer Accounts </t>
  </si>
  <si>
    <t xml:space="preserve">    Other Interest</t>
  </si>
  <si>
    <t>Net Operating Margin</t>
  </si>
  <si>
    <t>Non Operating Margin</t>
  </si>
  <si>
    <t>Interest Income</t>
  </si>
  <si>
    <t>Other Nonoperating Income</t>
  </si>
  <si>
    <t>Capital Credits</t>
  </si>
  <si>
    <t xml:space="preserve">   Sales Expense</t>
  </si>
  <si>
    <t xml:space="preserve">   Interest on Lont-Term Debt</t>
  </si>
  <si>
    <t>Extraordinary Charges</t>
  </si>
  <si>
    <t>Cash Flow From Operations</t>
  </si>
  <si>
    <t>Net Margins</t>
  </si>
  <si>
    <t>Common Size Balance Sheets</t>
  </si>
  <si>
    <t xml:space="preserve">5 Year </t>
  </si>
  <si>
    <t xml:space="preserve">Adjustments to Reconcile Net Margin to Net Cash </t>
  </si>
  <si>
    <t xml:space="preserve">   Depreciation</t>
  </si>
  <si>
    <t xml:space="preserve">   Capital Credits</t>
  </si>
  <si>
    <t xml:space="preserve">   Gain on Disposition of Property</t>
  </si>
  <si>
    <t xml:space="preserve">   Deferred Credits</t>
  </si>
  <si>
    <t xml:space="preserve">   Deferred Debits</t>
  </si>
  <si>
    <t xml:space="preserve">   Accounts and Notes Receivable</t>
  </si>
  <si>
    <t xml:space="preserve">   Inventories and Other Current Assets</t>
  </si>
  <si>
    <t xml:space="preserve">   Payables and Accrued Expenses</t>
  </si>
  <si>
    <t xml:space="preserve">      Net Cash Provided by Operations</t>
  </si>
  <si>
    <t>Cash Flow From Investing Activities</t>
  </si>
  <si>
    <t xml:space="preserve">   Additions to Utility Plant</t>
  </si>
  <si>
    <t xml:space="preserve">   Other Credits in Excess of Plant Removal</t>
  </si>
  <si>
    <t xml:space="preserve">   Other Property and Investments</t>
  </si>
  <si>
    <t xml:space="preserve">      Net Cash Used in Investing Activities</t>
  </si>
  <si>
    <t>Cash Flow From Financing Activities</t>
  </si>
  <si>
    <t xml:space="preserve">   Advances on Long-Term Debt (CFC)</t>
  </si>
  <si>
    <t xml:space="preserve">   Payments on Long-Term Debt (CFC)</t>
  </si>
  <si>
    <t xml:space="preserve">   Payment on Capital Lease Obligations</t>
  </si>
  <si>
    <t xml:space="preserve">   Retirement of Patronage Capital</t>
  </si>
  <si>
    <t xml:space="preserve">   Memberships and Other Equities</t>
  </si>
  <si>
    <t xml:space="preserve">      Net Cash Used in Financing</t>
  </si>
  <si>
    <t>Increase in Cash</t>
  </si>
  <si>
    <t>Cash - Beginning of Year</t>
  </si>
  <si>
    <t>Cash - End of Year</t>
  </si>
  <si>
    <t>Supplemental Cash Flow Information</t>
  </si>
  <si>
    <t xml:space="preserve">   Interest on Long Term Debt</t>
  </si>
  <si>
    <t xml:space="preserve">   Income Taxes</t>
  </si>
  <si>
    <t xml:space="preserve">   Revaluation of G&amp;T Patronage Capital</t>
  </si>
  <si>
    <t xml:space="preserve">   Imparement/Revaluation of Notes Receivable</t>
  </si>
  <si>
    <t xml:space="preserve">   Imparement of Interest Receivable</t>
  </si>
  <si>
    <t xml:space="preserve">   Adjustment for Loss on Meter Retirement</t>
  </si>
  <si>
    <t xml:space="preserve">   Advances on Capital Lease Obligations</t>
  </si>
  <si>
    <t xml:space="preserve">   Unallocated Equity</t>
  </si>
  <si>
    <t>Equipment Acquired Under Capital Lease</t>
  </si>
  <si>
    <t xml:space="preserve">5 Yr   </t>
  </si>
  <si>
    <t>Energy Conservation &amp; Develop Loans</t>
  </si>
  <si>
    <t>2008 to 2013</t>
  </si>
  <si>
    <t xml:space="preserve">5 year </t>
  </si>
  <si>
    <t>Miscellaneous Statistics</t>
  </si>
  <si>
    <t>Consumers at Year End</t>
  </si>
  <si>
    <t>KWh Sales (Thousands)</t>
  </si>
  <si>
    <t>KWh Purchases (Thousands)</t>
  </si>
  <si>
    <t>Equity to Total Assets</t>
  </si>
  <si>
    <t>Times Interest Earned Ratio</t>
  </si>
  <si>
    <t>Line Loss and Unbilled HWh</t>
  </si>
  <si>
    <t>Line Loss and Unbilled % of Purchases</t>
  </si>
  <si>
    <t xml:space="preserve">Avg Annual </t>
  </si>
  <si>
    <t>Growth Rate</t>
  </si>
  <si>
    <t xml:space="preserve">5 Yr Average </t>
  </si>
  <si>
    <t xml:space="preserve">  Income Taxes</t>
  </si>
  <si>
    <t xml:space="preserve">  Interest Income</t>
  </si>
  <si>
    <t xml:space="preserve">  Other Nonoperating Income</t>
  </si>
  <si>
    <t xml:space="preserve">  Extraordinary Charges</t>
  </si>
  <si>
    <t>Page 3 of 4</t>
  </si>
  <si>
    <t>page 2 of 4</t>
  </si>
  <si>
    <t>page 1 of 4</t>
  </si>
  <si>
    <t>page 4 of 4</t>
  </si>
  <si>
    <t>Annual %</t>
  </si>
  <si>
    <t>Change</t>
  </si>
  <si>
    <t>Page 2 of 3</t>
  </si>
  <si>
    <t>Page 1 of 3</t>
  </si>
  <si>
    <t>Page 3 of 3</t>
  </si>
  <si>
    <t>Historical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</si>
</sst>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%"/>
    <numFmt numFmtId="165" formatCode="&quot;$&quot;#,##0"/>
    <numFmt numFmtId="166" formatCode="0.0000%"/>
    <numFmt numFmtId="167" formatCode="[$-409]mmmm\ d\,\ yyyy;@"/>
    <numFmt numFmtId="168" formatCode="[$-409]d\-mmm\-yy;@"/>
    <numFmt numFmtId="169" formatCode="_(* #,##0_);_(* \(#,##0\);_(* &quot;-&quot;??_);_(@_)"/>
    <numFmt numFmtId="170" formatCode="0.0%"/>
  </numFmts>
  <fonts count="2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rgb="FFFFFF00"/>
        <bgColor indexed="9"/>
      </patternFill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double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3" fontId="8" fillId="2" borderId="0"/>
    <xf numFmtId="7" fontId="8" fillId="2" borderId="0"/>
    <xf numFmtId="5" fontId="8" fillId="2" borderId="0"/>
    <xf numFmtId="0" fontId="8" fillId="2" borderId="0"/>
    <xf numFmtId="2" fontId="8" fillId="2" borderId="0"/>
    <xf numFmtId="0" fontId="1" fillId="2" borderId="0"/>
    <xf numFmtId="0" fontId="2" fillId="2" borderId="0"/>
    <xf numFmtId="10" fontId="7" fillId="2" borderId="0"/>
    <xf numFmtId="0" fontId="8" fillId="2" borderId="1"/>
  </cellStyleXfs>
  <cellXfs count="217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10" fontId="5" fillId="2" borderId="0" xfId="0" applyNumberFormat="1" applyFont="1" applyFill="1"/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5" fontId="7" fillId="2" borderId="0" xfId="0" applyNumberFormat="1" applyFont="1" applyFill="1"/>
    <xf numFmtId="5" fontId="7" fillId="2" borderId="0" xfId="0" applyNumberFormat="1" applyFont="1" applyFill="1" applyAlignment="1">
      <alignment horizontal="right"/>
    </xf>
    <xf numFmtId="0" fontId="7" fillId="2" borderId="2" xfId="0" applyFont="1" applyFill="1" applyBorder="1"/>
    <xf numFmtId="10" fontId="7" fillId="2" borderId="0" xfId="0" applyNumberFormat="1" applyFont="1" applyFill="1"/>
    <xf numFmtId="167" fontId="4" fillId="2" borderId="0" xfId="0" quotePrefix="1" applyNumberFormat="1" applyFont="1" applyFill="1" applyAlignment="1">
      <alignment horizontal="centerContinuous"/>
    </xf>
    <xf numFmtId="0" fontId="7" fillId="2" borderId="0" xfId="0" applyFont="1" applyFill="1"/>
    <xf numFmtId="5" fontId="9" fillId="2" borderId="0" xfId="0" applyNumberFormat="1" applyFont="1" applyFill="1"/>
    <xf numFmtId="0" fontId="7" fillId="2" borderId="0" xfId="0" applyNumberFormat="1" applyFont="1" applyFill="1"/>
    <xf numFmtId="5" fontId="12" fillId="2" borderId="0" xfId="0" applyNumberFormat="1" applyFont="1" applyFill="1"/>
    <xf numFmtId="5" fontId="7" fillId="2" borderId="0" xfId="0" quotePrefix="1" applyNumberFormat="1" applyFont="1" applyFill="1" applyAlignment="1">
      <alignment horizontal="left"/>
    </xf>
    <xf numFmtId="166" fontId="7" fillId="2" borderId="0" xfId="0" applyNumberFormat="1" applyFont="1" applyFill="1"/>
    <xf numFmtId="2" fontId="7" fillId="2" borderId="0" xfId="0" applyNumberFormat="1" applyFont="1" applyFill="1"/>
    <xf numFmtId="10" fontId="0" fillId="2" borderId="0" xfId="0" quotePrefix="1" applyNumberFormat="1" applyFill="1" applyAlignment="1">
      <alignment horizontal="left"/>
    </xf>
    <xf numFmtId="5" fontId="7" fillId="2" borderId="0" xfId="0" quotePrefix="1" applyNumberFormat="1" applyFont="1" applyFill="1" applyAlignment="1">
      <alignment horizontal="right"/>
    </xf>
    <xf numFmtId="164" fontId="7" fillId="2" borderId="0" xfId="0" applyNumberFormat="1" applyFont="1" applyFill="1"/>
    <xf numFmtId="0" fontId="7" fillId="2" borderId="0" xfId="0" quotePrefix="1" applyFont="1" applyFill="1" applyAlignment="1">
      <alignment horizontal="left"/>
    </xf>
    <xf numFmtId="5" fontId="7" fillId="2" borderId="0" xfId="0" applyNumberFormat="1" applyFont="1" applyFill="1" applyAlignment="1">
      <alignment horizontal="left"/>
    </xf>
    <xf numFmtId="39" fontId="7" fillId="2" borderId="0" xfId="0" applyNumberFormat="1" applyFont="1" applyFill="1"/>
    <xf numFmtId="0" fontId="0" fillId="2" borderId="0" xfId="0" applyNumberFormat="1" applyFill="1"/>
    <xf numFmtId="7" fontId="7" fillId="2" borderId="0" xfId="0" quotePrefix="1" applyNumberFormat="1" applyFont="1" applyFill="1" applyAlignment="1">
      <alignment horizontal="left"/>
    </xf>
    <xf numFmtId="22" fontId="9" fillId="2" borderId="0" xfId="0" applyNumberFormat="1" applyFont="1" applyFill="1"/>
    <xf numFmtId="5" fontId="10" fillId="2" borderId="0" xfId="0" applyNumberFormat="1" applyFont="1" applyFill="1"/>
    <xf numFmtId="0" fontId="7" fillId="2" borderId="0" xfId="0" applyFont="1" applyFill="1" applyAlignment="1">
      <alignment horizontal="left"/>
    </xf>
    <xf numFmtId="0" fontId="0" fillId="0" borderId="0" xfId="0" applyNumberFormat="1" applyFill="1" applyBorder="1"/>
    <xf numFmtId="4" fontId="7" fillId="2" borderId="0" xfId="0" applyNumberFormat="1" applyFont="1" applyFill="1"/>
    <xf numFmtId="5" fontId="8" fillId="2" borderId="0" xfId="0" applyNumberFormat="1" applyFont="1" applyFill="1"/>
    <xf numFmtId="5" fontId="7" fillId="2" borderId="2" xfId="0" applyNumberFormat="1" applyFont="1" applyFill="1" applyBorder="1"/>
    <xf numFmtId="5" fontId="7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5" fontId="7" fillId="2" borderId="0" xfId="0" applyNumberFormat="1" applyFont="1" applyFill="1" applyBorder="1"/>
    <xf numFmtId="9" fontId="7" fillId="2" borderId="0" xfId="0" applyNumberFormat="1" applyFont="1" applyFill="1"/>
    <xf numFmtId="10" fontId="7" fillId="0" borderId="0" xfId="0" applyNumberFormat="1" applyFont="1" applyFill="1"/>
    <xf numFmtId="7" fontId="7" fillId="2" borderId="0" xfId="0" applyNumberFormat="1" applyFont="1" applyFill="1"/>
    <xf numFmtId="168" fontId="7" fillId="2" borderId="0" xfId="0" applyNumberFormat="1" applyFont="1" applyFill="1"/>
    <xf numFmtId="5" fontId="11" fillId="2" borderId="0" xfId="0" applyNumberFormat="1" applyFont="1" applyFill="1" applyAlignment="1">
      <alignment horizontal="centerContinuous"/>
    </xf>
    <xf numFmtId="10" fontId="7" fillId="4" borderId="0" xfId="0" applyNumberFormat="1" applyFont="1" applyFill="1"/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left" wrapText="1"/>
    </xf>
    <xf numFmtId="5" fontId="7" fillId="0" borderId="0" xfId="0" applyNumberFormat="1" applyFont="1" applyFill="1"/>
    <xf numFmtId="165" fontId="7" fillId="0" borderId="0" xfId="0" applyNumberFormat="1" applyFont="1" applyFill="1"/>
    <xf numFmtId="5" fontId="7" fillId="2" borderId="0" xfId="0" applyNumberFormat="1" applyFont="1" applyFill="1" applyBorder="1" applyAlignment="1">
      <alignment horizontal="centerContinuous"/>
    </xf>
    <xf numFmtId="43" fontId="7" fillId="0" borderId="0" xfId="1" applyFont="1" applyFill="1"/>
    <xf numFmtId="1" fontId="7" fillId="2" borderId="0" xfId="0" applyNumberFormat="1" applyFont="1" applyFill="1"/>
    <xf numFmtId="1" fontId="7" fillId="2" borderId="0" xfId="0" applyNumberFormat="1" applyFont="1" applyFill="1" applyAlignment="1">
      <alignment horizontal="right"/>
    </xf>
    <xf numFmtId="1" fontId="7" fillId="2" borderId="0" xfId="0" quotePrefix="1" applyNumberFormat="1" applyFont="1" applyFill="1" applyAlignment="1">
      <alignment horizontal="right"/>
    </xf>
    <xf numFmtId="37" fontId="8" fillId="0" borderId="0" xfId="0" applyNumberFormat="1" applyFont="1"/>
    <xf numFmtId="37" fontId="8" fillId="0" borderId="0" xfId="0" applyNumberFormat="1" applyFont="1" applyFill="1"/>
    <xf numFmtId="37" fontId="8" fillId="2" borderId="0" xfId="0" applyNumberFormat="1" applyFont="1" applyFill="1"/>
    <xf numFmtId="37" fontId="8" fillId="2" borderId="8" xfId="0" applyNumberFormat="1" applyFont="1" applyFill="1" applyBorder="1"/>
    <xf numFmtId="37" fontId="8" fillId="2" borderId="0" xfId="0" applyNumberFormat="1" applyFont="1" applyFill="1" applyBorder="1"/>
    <xf numFmtId="37" fontId="8" fillId="2" borderId="4" xfId="0" applyNumberFormat="1" applyFont="1" applyFill="1" applyBorder="1"/>
    <xf numFmtId="0" fontId="8" fillId="2" borderId="2" xfId="0" applyFont="1" applyFill="1" applyBorder="1"/>
    <xf numFmtId="0" fontId="13" fillId="2" borderId="2" xfId="0" applyFont="1" applyFill="1" applyBorder="1"/>
    <xf numFmtId="0" fontId="13" fillId="2" borderId="8" xfId="0" applyNumberFormat="1" applyFont="1" applyFill="1" applyBorder="1" applyAlignment="1">
      <alignment horizontal="right"/>
    </xf>
    <xf numFmtId="5" fontId="8" fillId="2" borderId="0" xfId="0" applyNumberFormat="1" applyFont="1" applyFill="1" applyAlignment="1">
      <alignment horizontal="centerContinuous"/>
    </xf>
    <xf numFmtId="10" fontId="8" fillId="2" borderId="0" xfId="0" applyNumberFormat="1" applyFont="1" applyFill="1" applyAlignment="1">
      <alignment horizontal="centerContinuous"/>
    </xf>
    <xf numFmtId="5" fontId="14" fillId="2" borderId="0" xfId="0" applyNumberFormat="1" applyFont="1" applyFill="1"/>
    <xf numFmtId="10" fontId="8" fillId="2" borderId="0" xfId="0" applyNumberFormat="1" applyFont="1" applyFill="1"/>
    <xf numFmtId="5" fontId="8" fillId="2" borderId="0" xfId="0" quotePrefix="1" applyNumberFormat="1" applyFont="1" applyFill="1" applyAlignment="1">
      <alignment horizontal="left"/>
    </xf>
    <xf numFmtId="10" fontId="8" fillId="2" borderId="8" xfId="0" applyNumberFormat="1" applyFont="1" applyFill="1" applyBorder="1"/>
    <xf numFmtId="169" fontId="8" fillId="2" borderId="0" xfId="1" applyNumberFormat="1" applyFont="1" applyFill="1"/>
    <xf numFmtId="169" fontId="8" fillId="2" borderId="0" xfId="1" applyNumberFormat="1" applyFont="1" applyFill="1" applyAlignment="1">
      <alignment horizontal="right"/>
    </xf>
    <xf numFmtId="169" fontId="8" fillId="2" borderId="0" xfId="1" applyNumberFormat="1" applyFont="1" applyFill="1" applyBorder="1" applyAlignment="1">
      <alignment horizontal="right"/>
    </xf>
    <xf numFmtId="10" fontId="8" fillId="2" borderId="0" xfId="0" applyNumberFormat="1" applyFont="1" applyFill="1" applyBorder="1"/>
    <xf numFmtId="169" fontId="8" fillId="2" borderId="8" xfId="1" applyNumberFormat="1" applyFont="1" applyFill="1" applyBorder="1" applyAlignment="1">
      <alignment horizontal="right"/>
    </xf>
    <xf numFmtId="169" fontId="8" fillId="2" borderId="4" xfId="1" applyNumberFormat="1" applyFont="1" applyFill="1" applyBorder="1"/>
    <xf numFmtId="169" fontId="8" fillId="2" borderId="0" xfId="1" applyNumberFormat="1" applyFont="1" applyFill="1" applyBorder="1"/>
    <xf numFmtId="169" fontId="8" fillId="2" borderId="8" xfId="1" applyNumberFormat="1" applyFont="1" applyFill="1" applyBorder="1"/>
    <xf numFmtId="169" fontId="8" fillId="2" borderId="14" xfId="1" applyNumberFormat="1" applyFont="1" applyFill="1" applyBorder="1"/>
    <xf numFmtId="169" fontId="8" fillId="2" borderId="5" xfId="1" applyNumberFormat="1" applyFont="1" applyFill="1" applyBorder="1"/>
    <xf numFmtId="169" fontId="8" fillId="2" borderId="6" xfId="1" applyNumberFormat="1" applyFont="1" applyFill="1" applyBorder="1"/>
    <xf numFmtId="5" fontId="8" fillId="0" borderId="0" xfId="0" applyNumberFormat="1" applyFont="1" applyFill="1" applyAlignment="1">
      <alignment horizontal="left"/>
    </xf>
    <xf numFmtId="5" fontId="8" fillId="2" borderId="0" xfId="0" applyNumberFormat="1" applyFont="1" applyFill="1" applyBorder="1"/>
    <xf numFmtId="5" fontId="8" fillId="2" borderId="0" xfId="0" applyNumberFormat="1" applyFont="1" applyFill="1" applyAlignment="1">
      <alignment horizontal="left"/>
    </xf>
    <xf numFmtId="10" fontId="8" fillId="2" borderId="0" xfId="0" quotePrefix="1" applyNumberFormat="1" applyFont="1" applyFill="1" applyAlignment="1">
      <alignment horizontal="left"/>
    </xf>
    <xf numFmtId="5" fontId="15" fillId="2" borderId="0" xfId="0" applyNumberFormat="1" applyFont="1" applyFill="1" applyAlignment="1">
      <alignment horizontal="centerContinuous"/>
    </xf>
    <xf numFmtId="5" fontId="2" fillId="2" borderId="0" xfId="0" applyNumberFormat="1" applyFont="1" applyFill="1" applyAlignment="1">
      <alignment horizontal="centerContinuous"/>
    </xf>
    <xf numFmtId="5" fontId="8" fillId="2" borderId="0" xfId="0" applyNumberFormat="1" applyFont="1" applyFill="1" applyAlignment="1">
      <alignment horizontal="right"/>
    </xf>
    <xf numFmtId="10" fontId="8" fillId="2" borderId="0" xfId="0" applyNumberFormat="1" applyFont="1" applyFill="1" applyAlignment="1">
      <alignment horizontal="right"/>
    </xf>
    <xf numFmtId="5" fontId="8" fillId="2" borderId="2" xfId="0" applyNumberFormat="1" applyFont="1" applyFill="1" applyBorder="1"/>
    <xf numFmtId="1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/>
    <xf numFmtId="10" fontId="8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centerContinuous"/>
    </xf>
    <xf numFmtId="0" fontId="8" fillId="2" borderId="0" xfId="0" applyNumberFormat="1" applyFont="1" applyFill="1"/>
    <xf numFmtId="0" fontId="8" fillId="2" borderId="8" xfId="0" applyNumberFormat="1" applyFont="1" applyFill="1" applyBorder="1"/>
    <xf numFmtId="10" fontId="8" fillId="2" borderId="2" xfId="0" applyNumberFormat="1" applyFont="1" applyFill="1" applyBorder="1" applyAlignment="1">
      <alignment horizontal="right"/>
    </xf>
    <xf numFmtId="5" fontId="8" fillId="2" borderId="4" xfId="0" applyNumberFormat="1" applyFont="1" applyFill="1" applyBorder="1"/>
    <xf numFmtId="169" fontId="16" fillId="0" borderId="0" xfId="1" applyNumberFormat="1" applyFont="1" applyFill="1" applyBorder="1"/>
    <xf numFmtId="169" fontId="16" fillId="3" borderId="0" xfId="1" applyNumberFormat="1" applyFont="1" applyFill="1" applyBorder="1"/>
    <xf numFmtId="169" fontId="16" fillId="3" borderId="4" xfId="1" applyNumberFormat="1" applyFont="1" applyFill="1" applyBorder="1"/>
    <xf numFmtId="169" fontId="16" fillId="0" borderId="4" xfId="1" applyNumberFormat="1" applyFont="1" applyFill="1" applyBorder="1"/>
    <xf numFmtId="0" fontId="16" fillId="0" borderId="0" xfId="0" applyFont="1" applyFill="1" applyBorder="1" applyAlignment="1">
      <alignment horizontal="left"/>
    </xf>
    <xf numFmtId="169" fontId="16" fillId="3" borderId="0" xfId="1" applyNumberFormat="1" applyFont="1" applyFill="1" applyBorder="1" applyAlignment="1">
      <alignment horizontal="right"/>
    </xf>
    <xf numFmtId="169" fontId="16" fillId="0" borderId="0" xfId="1" applyNumberFormat="1" applyFont="1" applyFill="1" applyBorder="1" applyAlignment="1">
      <alignment horizontal="right"/>
    </xf>
    <xf numFmtId="0" fontId="16" fillId="3" borderId="0" xfId="0" quotePrefix="1" applyFont="1" applyFill="1" applyBorder="1" applyAlignment="1">
      <alignment horizontal="left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5" fontId="16" fillId="2" borderId="0" xfId="0" quotePrefix="1" applyNumberFormat="1" applyFont="1" applyFill="1" applyAlignment="1">
      <alignment horizontal="left"/>
    </xf>
    <xf numFmtId="169" fontId="16" fillId="0" borderId="8" xfId="1" applyNumberFormat="1" applyFont="1" applyFill="1" applyBorder="1"/>
    <xf numFmtId="169" fontId="16" fillId="3" borderId="8" xfId="1" applyNumberFormat="1" applyFont="1" applyFill="1" applyBorder="1"/>
    <xf numFmtId="169" fontId="16" fillId="0" borderId="5" xfId="1" applyNumberFormat="1" applyFont="1" applyFill="1" applyBorder="1"/>
    <xf numFmtId="169" fontId="8" fillId="0" borderId="0" xfId="1" applyNumberFormat="1" applyFont="1"/>
    <xf numFmtId="5" fontId="16" fillId="3" borderId="0" xfId="3" applyNumberFormat="1" applyFont="1" applyFill="1" applyBorder="1"/>
    <xf numFmtId="15" fontId="8" fillId="2" borderId="0" xfId="0" applyNumberFormat="1" applyFont="1" applyFill="1" applyAlignment="1">
      <alignment horizontal="right"/>
    </xf>
    <xf numFmtId="0" fontId="8" fillId="2" borderId="4" xfId="0" applyFont="1" applyFill="1" applyBorder="1"/>
    <xf numFmtId="2" fontId="8" fillId="2" borderId="0" xfId="0" applyNumberFormat="1" applyFont="1" applyFill="1" applyBorder="1"/>
    <xf numFmtId="2" fontId="8" fillId="2" borderId="0" xfId="0" applyNumberFormat="1" applyFont="1" applyFill="1"/>
    <xf numFmtId="10" fontId="8" fillId="2" borderId="0" xfId="9" applyFont="1"/>
    <xf numFmtId="2" fontId="8" fillId="2" borderId="0" xfId="0" applyNumberFormat="1" applyFont="1" applyFill="1" applyAlignment="1">
      <alignment horizontal="right"/>
    </xf>
    <xf numFmtId="169" fontId="0" fillId="2" borderId="0" xfId="1" applyNumberFormat="1" applyFont="1" applyFill="1"/>
    <xf numFmtId="10" fontId="9" fillId="0" borderId="0" xfId="0" quotePrefix="1" applyNumberFormat="1" applyFont="1" applyFill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10" fontId="13" fillId="0" borderId="8" xfId="0" applyNumberFormat="1" applyFont="1" applyFill="1" applyBorder="1" applyAlignment="1">
      <alignment horizontal="right"/>
    </xf>
    <xf numFmtId="170" fontId="8" fillId="2" borderId="0" xfId="9" applyNumberFormat="1" applyFont="1"/>
    <xf numFmtId="10" fontId="5" fillId="0" borderId="0" xfId="0" applyNumberFormat="1" applyFont="1" applyFill="1" applyAlignment="1">
      <alignment horizontal="centerContinuous"/>
    </xf>
    <xf numFmtId="0" fontId="8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right"/>
    </xf>
    <xf numFmtId="5" fontId="8" fillId="2" borderId="8" xfId="0" applyNumberFormat="1" applyFont="1" applyFill="1" applyBorder="1"/>
    <xf numFmtId="169" fontId="0" fillId="2" borderId="8" xfId="1" applyNumberFormat="1" applyFont="1" applyFill="1" applyBorder="1"/>
    <xf numFmtId="169" fontId="16" fillId="0" borderId="14" xfId="1" applyNumberFormat="1" applyFont="1" applyFill="1" applyBorder="1"/>
    <xf numFmtId="5" fontId="13" fillId="2" borderId="0" xfId="0" applyNumberFormat="1" applyFont="1" applyFill="1" applyBorder="1" applyAlignment="1">
      <alignment horizontal="right"/>
    </xf>
    <xf numFmtId="5" fontId="13" fillId="2" borderId="8" xfId="0" applyNumberFormat="1" applyFont="1" applyFill="1" applyBorder="1" applyAlignment="1">
      <alignment horizontal="right"/>
    </xf>
    <xf numFmtId="169" fontId="8" fillId="2" borderId="0" xfId="0" applyNumberFormat="1" applyFont="1" applyFill="1"/>
    <xf numFmtId="169" fontId="8" fillId="2" borderId="8" xfId="0" applyNumberFormat="1" applyFont="1" applyFill="1" applyBorder="1"/>
    <xf numFmtId="10" fontId="17" fillId="0" borderId="0" xfId="0" quotePrefix="1" applyNumberFormat="1" applyFont="1" applyFill="1" applyAlignment="1">
      <alignment horizontal="right"/>
    </xf>
    <xf numFmtId="10" fontId="17" fillId="0" borderId="0" xfId="0" applyNumberFormat="1" applyFont="1" applyFill="1" applyBorder="1" applyAlignment="1">
      <alignment horizontal="right"/>
    </xf>
    <xf numFmtId="10" fontId="17" fillId="0" borderId="8" xfId="0" applyNumberFormat="1" applyFont="1" applyFill="1" applyBorder="1" applyAlignment="1">
      <alignment horizontal="right"/>
    </xf>
    <xf numFmtId="169" fontId="8" fillId="0" borderId="0" xfId="1" applyNumberFormat="1" applyFont="1" applyFill="1" applyBorder="1" applyAlignment="1">
      <alignment horizontal="right"/>
    </xf>
    <xf numFmtId="170" fontId="8" fillId="5" borderId="0" xfId="9" applyNumberFormat="1" applyFont="1" applyFill="1"/>
    <xf numFmtId="43" fontId="16" fillId="3" borderId="0" xfId="1" applyFont="1" applyFill="1" applyBorder="1"/>
    <xf numFmtId="170" fontId="8" fillId="2" borderId="0" xfId="0" applyNumberFormat="1" applyFont="1" applyFill="1"/>
    <xf numFmtId="10" fontId="8" fillId="2" borderId="14" xfId="0" applyNumberFormat="1" applyFont="1" applyFill="1" applyBorder="1"/>
    <xf numFmtId="10" fontId="8" fillId="2" borderId="5" xfId="0" applyNumberFormat="1" applyFont="1" applyFill="1" applyBorder="1"/>
    <xf numFmtId="10" fontId="8" fillId="2" borderId="15" xfId="0" applyNumberFormat="1" applyFont="1" applyFill="1" applyBorder="1"/>
    <xf numFmtId="169" fontId="0" fillId="2" borderId="0" xfId="0" applyNumberFormat="1" applyFill="1"/>
    <xf numFmtId="170" fontId="0" fillId="2" borderId="0" xfId="0" applyNumberFormat="1" applyFill="1"/>
    <xf numFmtId="43" fontId="0" fillId="2" borderId="0" xfId="1" applyFont="1" applyFill="1"/>
    <xf numFmtId="10" fontId="5" fillId="2" borderId="0" xfId="9" applyFont="1"/>
    <xf numFmtId="10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right"/>
    </xf>
    <xf numFmtId="169" fontId="8" fillId="0" borderId="0" xfId="1" applyNumberFormat="1" applyFont="1" applyFill="1" applyBorder="1"/>
    <xf numFmtId="169" fontId="8" fillId="0" borderId="4" xfId="1" applyNumberFormat="1" applyFont="1" applyFill="1" applyBorder="1"/>
    <xf numFmtId="169" fontId="8" fillId="0" borderId="14" xfId="1" applyNumberFormat="1" applyFont="1" applyFill="1" applyBorder="1"/>
    <xf numFmtId="169" fontId="8" fillId="0" borderId="8" xfId="1" applyNumberFormat="1" applyFont="1" applyFill="1" applyBorder="1"/>
    <xf numFmtId="169" fontId="8" fillId="0" borderId="5" xfId="1" applyNumberFormat="1" applyFont="1" applyFill="1" applyBorder="1"/>
    <xf numFmtId="169" fontId="8" fillId="3" borderId="0" xfId="1" applyNumberFormat="1" applyFont="1" applyFill="1" applyBorder="1"/>
    <xf numFmtId="5" fontId="8" fillId="2" borderId="0" xfId="0" applyNumberFormat="1" applyFont="1" applyFill="1" applyBorder="1" applyAlignment="1">
      <alignment horizontal="right"/>
    </xf>
    <xf numFmtId="5" fontId="8" fillId="2" borderId="7" xfId="0" applyNumberFormat="1" applyFont="1" applyFill="1" applyBorder="1" applyAlignment="1">
      <alignment horizontal="right"/>
    </xf>
    <xf numFmtId="0" fontId="8" fillId="2" borderId="12" xfId="0" applyNumberFormat="1" applyFont="1" applyFill="1" applyBorder="1"/>
    <xf numFmtId="0" fontId="8" fillId="2" borderId="9" xfId="0" applyFont="1" applyFill="1" applyBorder="1"/>
    <xf numFmtId="5" fontId="8" fillId="2" borderId="7" xfId="0" applyNumberFormat="1" applyFont="1" applyFill="1" applyBorder="1"/>
    <xf numFmtId="169" fontId="8" fillId="2" borderId="7" xfId="1" applyNumberFormat="1" applyFont="1" applyFill="1" applyBorder="1"/>
    <xf numFmtId="169" fontId="8" fillId="0" borderId="0" xfId="1" applyNumberFormat="1" applyFont="1" applyFill="1"/>
    <xf numFmtId="169" fontId="8" fillId="5" borderId="0" xfId="1" applyNumberFormat="1" applyFont="1" applyFill="1"/>
    <xf numFmtId="169" fontId="8" fillId="2" borderId="12" xfId="1" applyNumberFormat="1" applyFont="1" applyFill="1" applyBorder="1"/>
    <xf numFmtId="169" fontId="8" fillId="2" borderId="2" xfId="1" applyNumberFormat="1" applyFont="1" applyFill="1" applyBorder="1"/>
    <xf numFmtId="169" fontId="8" fillId="0" borderId="2" xfId="1" applyNumberFormat="1" applyFont="1" applyFill="1" applyBorder="1"/>
    <xf numFmtId="169" fontId="8" fillId="5" borderId="2" xfId="1" applyNumberFormat="1" applyFont="1" applyFill="1" applyBorder="1"/>
    <xf numFmtId="169" fontId="8" fillId="2" borderId="7" xfId="1" applyNumberFormat="1" applyFont="1" applyFill="1" applyBorder="1" applyAlignment="1">
      <alignment horizontal="right"/>
    </xf>
    <xf numFmtId="169" fontId="8" fillId="2" borderId="16" xfId="1" applyNumberFormat="1" applyFont="1" applyFill="1" applyBorder="1"/>
    <xf numFmtId="169" fontId="8" fillId="2" borderId="12" xfId="1" applyNumberFormat="1" applyFont="1" applyFill="1" applyBorder="1" applyAlignment="1">
      <alignment horizontal="right"/>
    </xf>
    <xf numFmtId="169" fontId="8" fillId="2" borderId="17" xfId="1" applyNumberFormat="1" applyFont="1" applyFill="1" applyBorder="1"/>
    <xf numFmtId="169" fontId="8" fillId="0" borderId="20" xfId="1" applyNumberFormat="1" applyFont="1" applyFill="1" applyBorder="1"/>
    <xf numFmtId="169" fontId="8" fillId="2" borderId="10" xfId="1" applyNumberFormat="1" applyFont="1" applyFill="1" applyBorder="1"/>
    <xf numFmtId="169" fontId="8" fillId="2" borderId="11" xfId="1" applyNumberFormat="1" applyFont="1" applyFill="1" applyBorder="1"/>
    <xf numFmtId="169" fontId="8" fillId="2" borderId="3" xfId="1" applyNumberFormat="1" applyFont="1" applyFill="1" applyBorder="1"/>
    <xf numFmtId="10" fontId="8" fillId="2" borderId="6" xfId="0" applyNumberFormat="1" applyFont="1" applyFill="1" applyBorder="1"/>
    <xf numFmtId="169" fontId="8" fillId="2" borderId="9" xfId="1" applyNumberFormat="1" applyFont="1" applyFill="1" applyBorder="1"/>
    <xf numFmtId="169" fontId="8" fillId="2" borderId="15" xfId="1" applyNumberFormat="1" applyFont="1" applyFill="1" applyBorder="1"/>
    <xf numFmtId="5" fontId="18" fillId="2" borderId="0" xfId="0" applyNumberFormat="1" applyFont="1" applyFill="1" applyAlignment="1">
      <alignment horizontal="centerContinuous"/>
    </xf>
    <xf numFmtId="169" fontId="8" fillId="5" borderId="0" xfId="1" applyNumberFormat="1" applyFont="1" applyFill="1" applyBorder="1"/>
    <xf numFmtId="169" fontId="8" fillId="5" borderId="7" xfId="1" applyNumberFormat="1" applyFont="1" applyFill="1" applyBorder="1"/>
    <xf numFmtId="10" fontId="8" fillId="2" borderId="4" xfId="0" applyNumberFormat="1" applyFont="1" applyFill="1" applyBorder="1"/>
    <xf numFmtId="5" fontId="16" fillId="2" borderId="0" xfId="0" applyNumberFormat="1" applyFont="1" applyFill="1"/>
    <xf numFmtId="169" fontId="8" fillId="2" borderId="21" xfId="1" applyNumberFormat="1" applyFont="1" applyFill="1" applyBorder="1"/>
    <xf numFmtId="169" fontId="8" fillId="2" borderId="13" xfId="1" applyNumberFormat="1" applyFont="1" applyFill="1" applyBorder="1"/>
    <xf numFmtId="5" fontId="8" fillId="2" borderId="0" xfId="0" applyNumberFormat="1" applyFont="1" applyFill="1" applyBorder="1" applyAlignment="1">
      <alignment horizontal="centerContinuous"/>
    </xf>
    <xf numFmtId="5" fontId="8" fillId="2" borderId="16" xfId="0" applyNumberFormat="1" applyFont="1" applyFill="1" applyBorder="1" applyAlignment="1">
      <alignment horizontal="right"/>
    </xf>
    <xf numFmtId="168" fontId="8" fillId="2" borderId="8" xfId="0" quotePrefix="1" applyNumberFormat="1" applyFont="1" applyFill="1" applyBorder="1" applyAlignment="1">
      <alignment horizontal="right"/>
    </xf>
    <xf numFmtId="0" fontId="8" fillId="2" borderId="17" xfId="0" applyNumberFormat="1" applyFont="1" applyFill="1" applyBorder="1"/>
    <xf numFmtId="5" fontId="8" fillId="2" borderId="16" xfId="0" applyNumberFormat="1" applyFont="1" applyFill="1" applyBorder="1"/>
    <xf numFmtId="10" fontId="8" fillId="2" borderId="16" xfId="0" applyNumberFormat="1" applyFont="1" applyFill="1" applyBorder="1"/>
    <xf numFmtId="10" fontId="8" fillId="2" borderId="2" xfId="0" applyNumberFormat="1" applyFont="1" applyFill="1" applyBorder="1"/>
    <xf numFmtId="10" fontId="8" fillId="2" borderId="18" xfId="0" applyNumberFormat="1" applyFont="1" applyFill="1" applyBorder="1"/>
    <xf numFmtId="10" fontId="8" fillId="2" borderId="3" xfId="0" applyNumberFormat="1" applyFont="1" applyFill="1" applyBorder="1"/>
    <xf numFmtId="10" fontId="8" fillId="2" borderId="19" xfId="0" applyNumberFormat="1" applyFont="1" applyFill="1" applyBorder="1"/>
    <xf numFmtId="168" fontId="8" fillId="2" borderId="8" xfId="0" applyNumberFormat="1" applyFont="1" applyFill="1" applyBorder="1" applyAlignment="1">
      <alignment horizontal="right"/>
    </xf>
    <xf numFmtId="5" fontId="8" fillId="2" borderId="2" xfId="0" applyNumberFormat="1" applyFont="1" applyFill="1" applyBorder="1" applyAlignment="1">
      <alignment horizontal="right"/>
    </xf>
    <xf numFmtId="0" fontId="8" fillId="2" borderId="16" xfId="0" applyFont="1" applyFill="1" applyBorder="1"/>
    <xf numFmtId="2" fontId="8" fillId="2" borderId="16" xfId="0" applyNumberFormat="1" applyFont="1" applyFill="1" applyBorder="1"/>
    <xf numFmtId="2" fontId="8" fillId="2" borderId="16" xfId="0" applyNumberFormat="1" applyFont="1" applyFill="1" applyBorder="1" applyAlignment="1">
      <alignment horizontal="right"/>
    </xf>
    <xf numFmtId="10" fontId="8" fillId="2" borderId="16" xfId="9" applyFont="1" applyBorder="1"/>
    <xf numFmtId="5" fontId="13" fillId="2" borderId="0" xfId="0" applyNumberFormat="1" applyFont="1" applyFill="1" applyAlignment="1">
      <alignment horizontal="centerContinuous"/>
    </xf>
    <xf numFmtId="5" fontId="19" fillId="2" borderId="0" xfId="0" applyNumberFormat="1" applyFont="1" applyFill="1" applyAlignment="1">
      <alignment horizontal="centerContinuous"/>
    </xf>
    <xf numFmtId="22" fontId="13" fillId="2" borderId="0" xfId="0" applyNumberFormat="1" applyFont="1" applyFill="1" applyAlignment="1">
      <alignment horizontal="centerContinuous"/>
    </xf>
    <xf numFmtId="10" fontId="8" fillId="2" borderId="0" xfId="0" applyNumberFormat="1" applyFont="1" applyFill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right"/>
    </xf>
    <xf numFmtId="10" fontId="8" fillId="2" borderId="0" xfId="0" quotePrefix="1" applyNumberFormat="1" applyFont="1" applyFill="1" applyAlignment="1">
      <alignment horizontal="right"/>
    </xf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0" applyNumberFormat="1" applyFont="1" applyFill="1"/>
    <xf numFmtId="2" fontId="8" fillId="0" borderId="0" xfId="0" applyNumberFormat="1" applyFont="1" applyFill="1" applyAlignment="1">
      <alignment horizontal="right"/>
    </xf>
    <xf numFmtId="10" fontId="8" fillId="0" borderId="0" xfId="9" applyFont="1" applyFill="1"/>
    <xf numFmtId="5" fontId="4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5" fontId="3" fillId="2" borderId="0" xfId="0" applyNumberFormat="1" applyFont="1" applyFill="1" applyAlignment="1">
      <alignment horizontal="center"/>
    </xf>
  </cellXfs>
  <cellStyles count="11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Mt. Wheeler Power, Inc</a:t>
            </a: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'Forecast '!$A$50</c:f>
              <c:strCache>
                <c:ptCount val="1"/>
                <c:pt idx="0">
                  <c:v>Long-Term Debt</c:v>
                </c:pt>
              </c:strCache>
            </c:strRef>
          </c:tx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'!$B$50:$H$50</c:f>
              <c:numCache>
                <c:formatCode>_(* #,##0_);_(* \(#,##0\);_(* "-"??_);_(@_)</c:formatCode>
                <c:ptCount val="7"/>
                <c:pt idx="0">
                  <c:v>11873983</c:v>
                </c:pt>
                <c:pt idx="1">
                  <c:v>14631788</c:v>
                </c:pt>
                <c:pt idx="2">
                  <c:v>13352200.73517382</c:v>
                </c:pt>
                <c:pt idx="3">
                  <c:v>12184516.647751888</c:v>
                </c:pt>
                <c:pt idx="4">
                  <c:v>11118949.518804565</c:v>
                </c:pt>
                <c:pt idx="5">
                  <c:v>10146568.959264781</c:v>
                </c:pt>
                <c:pt idx="6">
                  <c:v>9259225.5654187351</c:v>
                </c:pt>
              </c:numCache>
            </c:numRef>
          </c:val>
        </c:ser>
        <c:ser>
          <c:idx val="3"/>
          <c:order val="1"/>
          <c:tx>
            <c:strRef>
              <c:f>'Forecast '!$A$63</c:f>
              <c:strCache>
                <c:ptCount val="1"/>
                <c:pt idx="0">
                  <c:v>Total Patronage Equity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'!$B$63:$H$63</c:f>
              <c:numCache>
                <c:formatCode>_(* #,##0_);_(* \(#,##0\);_(* "-"??_);_(@_)</c:formatCode>
                <c:ptCount val="7"/>
                <c:pt idx="0">
                  <c:v>27620912</c:v>
                </c:pt>
                <c:pt idx="1">
                  <c:v>27918606</c:v>
                </c:pt>
                <c:pt idx="2">
                  <c:v>28629179.554395206</c:v>
                </c:pt>
                <c:pt idx="3">
                  <c:v>29221353.070501819</c:v>
                </c:pt>
                <c:pt idx="4">
                  <c:v>29707916.84968685</c:v>
                </c:pt>
                <c:pt idx="5">
                  <c:v>30081196.338743493</c:v>
                </c:pt>
                <c:pt idx="6">
                  <c:v>30331366.658059418</c:v>
                </c:pt>
              </c:numCache>
            </c:numRef>
          </c:val>
        </c:ser>
        <c:ser>
          <c:idx val="4"/>
          <c:order val="2"/>
          <c:tx>
            <c:strRef>
              <c:f>'Forecast '!$A$64</c:f>
              <c:strCache>
                <c:ptCount val="1"/>
                <c:pt idx="0">
                  <c:v>Total Liabilities &amp; Equity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'!$B$64:$H$64</c:f>
              <c:numCache>
                <c:formatCode>_(* #,##0_);_(* \(#,##0\);_(* "-"??_);_(@_)</c:formatCode>
                <c:ptCount val="7"/>
                <c:pt idx="0">
                  <c:v>46018543</c:v>
                </c:pt>
                <c:pt idx="1">
                  <c:v>48654216</c:v>
                </c:pt>
                <c:pt idx="2">
                  <c:v>50336310.747968182</c:v>
                </c:pt>
                <c:pt idx="3">
                  <c:v>51331934.303433821</c:v>
                </c:pt>
                <c:pt idx="4">
                  <c:v>52287196.205893517</c:v>
                </c:pt>
                <c:pt idx="5">
                  <c:v>53257894.912907258</c:v>
                </c:pt>
                <c:pt idx="6">
                  <c:v>54248713.44523862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1293744"/>
        <c:axId val="201294128"/>
      </c:barChart>
      <c:catAx>
        <c:axId val="20129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29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29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showGridLines="0" tabSelected="1" view="pageBreakPreview" zoomScale="130" zoomScaleNormal="130" zoomScaleSheetLayoutView="130" workbookViewId="0">
      <selection activeCell="K80" sqref="K80"/>
    </sheetView>
  </sheetViews>
  <sheetFormatPr defaultColWidth="13.7109375" defaultRowHeight="12.75" x14ac:dyDescent="0.2"/>
  <cols>
    <col min="1" max="1" width="31.7109375" customWidth="1"/>
    <col min="2" max="5" width="11.85546875" hidden="1" customWidth="1"/>
    <col min="6" max="11" width="11.28515625" customWidth="1"/>
    <col min="12" max="12" width="11.140625" style="1" customWidth="1"/>
    <col min="13" max="13" width="30.140625" customWidth="1"/>
    <col min="14" max="17" width="10.5703125" hidden="1" customWidth="1"/>
    <col min="18" max="24" width="10.5703125" customWidth="1"/>
    <col min="25" max="27" width="12.7109375" customWidth="1"/>
  </cols>
  <sheetData>
    <row r="1" spans="1:25" x14ac:dyDescent="0.2">
      <c r="L1" s="148" t="s">
        <v>111</v>
      </c>
      <c r="X1" s="1" t="s">
        <v>111</v>
      </c>
    </row>
    <row r="2" spans="1:25" x14ac:dyDescent="0.2">
      <c r="L2" s="207" t="s">
        <v>258</v>
      </c>
      <c r="X2" s="19" t="s">
        <v>146</v>
      </c>
    </row>
    <row r="3" spans="1:25" ht="18.75" x14ac:dyDescent="0.3">
      <c r="A3" s="84" t="str">
        <f>Assumptions!D3</f>
        <v>Mt. Wheeler Power, Inc.</v>
      </c>
      <c r="B3" s="63"/>
      <c r="C3" s="63"/>
      <c r="D3" s="63"/>
      <c r="E3" s="63"/>
      <c r="F3" s="63"/>
      <c r="G3" s="63"/>
      <c r="H3" s="63"/>
      <c r="I3" s="63"/>
      <c r="J3" s="63"/>
      <c r="K3" s="4"/>
      <c r="L3" s="5"/>
      <c r="M3" s="216" t="str">
        <f>+A3</f>
        <v>Mt. Wheeler Power, Inc.</v>
      </c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5" ht="15.75" x14ac:dyDescent="0.25">
      <c r="A4" s="85" t="s">
        <v>62</v>
      </c>
      <c r="B4" s="202"/>
      <c r="C4" s="202"/>
      <c r="D4" s="202"/>
      <c r="E4" s="202"/>
      <c r="F4" s="202"/>
      <c r="G4" s="202"/>
      <c r="H4" s="202"/>
      <c r="I4" s="202"/>
      <c r="J4" s="63"/>
      <c r="K4" s="4"/>
      <c r="L4" s="5"/>
      <c r="M4" s="214" t="s">
        <v>201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5" ht="15.75" x14ac:dyDescent="0.25">
      <c r="A5" s="92" t="s">
        <v>109</v>
      </c>
      <c r="B5" s="202"/>
      <c r="C5" s="202"/>
      <c r="D5" s="202"/>
      <c r="E5" s="202"/>
      <c r="F5" s="202"/>
      <c r="G5" s="202"/>
      <c r="H5" s="202"/>
      <c r="I5" s="202"/>
      <c r="J5" s="63"/>
      <c r="K5" s="4"/>
      <c r="L5" s="5"/>
      <c r="M5" s="215" t="s">
        <v>109</v>
      </c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1:25" ht="15.75" x14ac:dyDescent="0.25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124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34" t="s">
        <v>240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20"/>
    </row>
    <row r="8" spans="1:25" x14ac:dyDescent="0.2">
      <c r="A8" s="2"/>
      <c r="B8" s="2"/>
      <c r="C8" s="6"/>
      <c r="D8" s="44"/>
      <c r="E8" s="44"/>
      <c r="F8" s="43"/>
      <c r="G8" s="43"/>
      <c r="H8" s="43"/>
      <c r="I8" s="43"/>
      <c r="J8" s="43"/>
      <c r="K8" s="43"/>
      <c r="L8" s="135" t="s">
        <v>6</v>
      </c>
      <c r="M8" s="2"/>
      <c r="N8" s="2"/>
      <c r="O8" s="6"/>
      <c r="P8" s="44"/>
      <c r="Q8" s="44"/>
      <c r="R8" s="43"/>
      <c r="S8" s="43"/>
      <c r="T8" s="43"/>
      <c r="U8" s="43"/>
      <c r="V8" s="43"/>
      <c r="W8" s="43"/>
      <c r="X8" s="121" t="s">
        <v>202</v>
      </c>
    </row>
    <row r="9" spans="1:25" x14ac:dyDescent="0.2">
      <c r="A9" s="60" t="s">
        <v>1</v>
      </c>
      <c r="B9" s="61">
        <v>2004</v>
      </c>
      <c r="C9" s="61">
        <v>2005</v>
      </c>
      <c r="D9" s="62">
        <v>2006</v>
      </c>
      <c r="E9" s="62">
        <v>2007</v>
      </c>
      <c r="F9" s="62">
        <v>2008</v>
      </c>
      <c r="G9" s="62">
        <f>+F9+1</f>
        <v>2009</v>
      </c>
      <c r="H9" s="62">
        <f t="shared" ref="H9:K9" si="0">+G9+1</f>
        <v>2010</v>
      </c>
      <c r="I9" s="62">
        <f t="shared" si="0"/>
        <v>2011</v>
      </c>
      <c r="J9" s="62">
        <f t="shared" si="0"/>
        <v>2012</v>
      </c>
      <c r="K9" s="62">
        <f t="shared" si="0"/>
        <v>2013</v>
      </c>
      <c r="L9" s="136" t="s">
        <v>36</v>
      </c>
      <c r="M9" s="60" t="s">
        <v>1</v>
      </c>
      <c r="N9" s="61">
        <v>2004</v>
      </c>
      <c r="O9" s="61">
        <v>2005</v>
      </c>
      <c r="P9" s="62">
        <v>2006</v>
      </c>
      <c r="Q9" s="62">
        <v>2007</v>
      </c>
      <c r="R9" s="62">
        <v>2008</v>
      </c>
      <c r="S9" s="62">
        <f>+R9+1</f>
        <v>2009</v>
      </c>
      <c r="T9" s="62">
        <f t="shared" ref="T9" si="1">+S9+1</f>
        <v>2010</v>
      </c>
      <c r="U9" s="62">
        <f t="shared" ref="U9" si="2">+T9+1</f>
        <v>2011</v>
      </c>
      <c r="V9" s="62">
        <f t="shared" ref="V9" si="3">+U9+1</f>
        <v>2012</v>
      </c>
      <c r="W9" s="62">
        <f t="shared" ref="W9" si="4">+V9+1</f>
        <v>2013</v>
      </c>
      <c r="X9" s="122" t="s">
        <v>5</v>
      </c>
    </row>
    <row r="10" spans="1:25" ht="7.5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2"/>
    </row>
    <row r="11" spans="1:25" x14ac:dyDescent="0.2">
      <c r="A11" s="65" t="s">
        <v>10</v>
      </c>
      <c r="B11" s="32"/>
      <c r="C11" s="32"/>
      <c r="D11" s="32"/>
      <c r="E11" s="32"/>
      <c r="F11" s="69"/>
      <c r="G11" s="69"/>
      <c r="H11" s="69"/>
      <c r="I11" s="69"/>
      <c r="J11" s="69"/>
      <c r="K11" s="69"/>
      <c r="L11" s="66"/>
      <c r="M11" s="32" t="str">
        <f>+A11</f>
        <v>Current Assets:</v>
      </c>
      <c r="N11" s="32"/>
      <c r="O11" s="66"/>
      <c r="P11" s="66"/>
      <c r="Q11" s="66"/>
      <c r="R11" s="66"/>
      <c r="S11" s="32"/>
      <c r="T11" s="32"/>
      <c r="U11" s="32"/>
      <c r="V11" s="32"/>
      <c r="W11" s="32"/>
      <c r="X11" s="32"/>
    </row>
    <row r="12" spans="1:25" x14ac:dyDescent="0.2">
      <c r="A12" s="32" t="s">
        <v>7</v>
      </c>
      <c r="B12" s="56">
        <v>639219</v>
      </c>
      <c r="C12" s="54">
        <v>578361</v>
      </c>
      <c r="D12" s="54">
        <v>828641</v>
      </c>
      <c r="E12" s="54">
        <v>1438327</v>
      </c>
      <c r="F12" s="54">
        <v>2182764</v>
      </c>
      <c r="G12" s="54">
        <v>1430228</v>
      </c>
      <c r="H12" s="54">
        <v>1998576</v>
      </c>
      <c r="I12" s="54">
        <v>3019197</v>
      </c>
      <c r="J12" s="54">
        <v>5123662</v>
  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 Equivalents</v>
      </c>
      <c r="N12" s="66">
        <f>+B12/B$38</f>
        <v>1.654248054938243E-2</v>
      </c>
      <c r="O12" s="66">
        <f t="shared" ref="O12:W17" si="6">+C12/C$38</f>
        <v>1.4977968160659175E-2</v>
      </c>
      <c r="P12" s="66">
        <f t="shared" si="6"/>
        <v>2.0870054349118233E-2</v>
      </c>
      <c r="Q12" s="66">
        <f t="shared" si="6"/>
        <v>3.5444034469200122E-2</v>
      </c>
      <c r="R12" s="66">
        <f t="shared" si="6"/>
        <v>4.9995950416978782E-2</v>
      </c>
      <c r="S12" s="66">
        <f t="shared" si="6"/>
        <v>3.4916958858339849E-2</v>
      </c>
      <c r="T12" s="66">
        <f t="shared" si="6"/>
        <v>4.8726252523654492E-2</v>
      </c>
      <c r="U12" s="66">
        <f t="shared" si="6"/>
        <v>7.3436649370735921E-2</v>
      </c>
      <c r="V12" s="66">
        <f t="shared" si="6"/>
        <v>0.11133907477253245</v>
      </c>
      <c r="W12" s="66">
        <f t="shared" si="6"/>
        <v>5.4513487587591586E-2</v>
      </c>
      <c r="X12" s="66">
        <f>AVERAGE(R12:V12)</f>
        <v>6.36829771884483E-2</v>
      </c>
    </row>
    <row r="13" spans="1:25" x14ac:dyDescent="0.2">
      <c r="A13" s="32" t="s">
        <v>181</v>
      </c>
      <c r="B13" s="56"/>
      <c r="C13" s="55"/>
      <c r="D13" s="55"/>
      <c r="E13" s="55">
        <v>694409</v>
      </c>
      <c r="F13" s="55">
        <v>1032373</v>
      </c>
      <c r="G13" s="54">
        <v>300000</v>
      </c>
      <c r="H13" s="54">
        <v>300000</v>
      </c>
      <c r="I13" s="54"/>
      <c r="J13" s="54"/>
      <c r="K13" s="54">
        <v>600000</v>
      </c>
      <c r="L13" s="66">
        <f t="shared" ref="L13:L17" si="7">RATE(5,,-F13,K13)</f>
        <v>-0.10285441854527673</v>
      </c>
      <c r="M13" s="32" t="str">
        <f t="shared" si="5"/>
        <v>Temporary Cash Investment</v>
      </c>
      <c r="N13" s="66">
        <f t="shared" ref="N13:N17" si="8">+B13/B$38</f>
        <v>0</v>
      </c>
      <c r="O13" s="66">
        <f t="shared" si="6"/>
        <v>0</v>
      </c>
      <c r="P13" s="66">
        <f t="shared" si="6"/>
        <v>0</v>
      </c>
      <c r="Q13" s="66">
        <f t="shared" si="6"/>
        <v>1.7112003412105028E-2</v>
      </c>
      <c r="R13" s="66">
        <f t="shared" si="6"/>
        <v>2.3646381065395818E-2</v>
      </c>
      <c r="S13" s="66">
        <f t="shared" si="6"/>
        <v>7.3240683705688564E-3</v>
      </c>
      <c r="T13" s="66">
        <f t="shared" si="6"/>
        <v>7.3141455501799027E-3</v>
      </c>
      <c r="U13" s="66">
        <f t="shared" si="6"/>
        <v>0</v>
      </c>
      <c r="V13" s="66">
        <f t="shared" si="6"/>
        <v>0</v>
      </c>
      <c r="W13" s="66">
        <f t="shared" si="6"/>
        <v>1.2331922068171852E-2</v>
      </c>
      <c r="X13" s="66">
        <f t="shared" ref="X13:X17" si="9">AVERAGE(R13:V13)</f>
        <v>7.6569189972289144E-3</v>
      </c>
    </row>
    <row r="14" spans="1:25" x14ac:dyDescent="0.2">
      <c r="A14" s="67" t="s">
        <v>108</v>
      </c>
      <c r="B14" s="56">
        <v>665984</v>
      </c>
      <c r="C14" s="56">
        <v>735534</v>
      </c>
      <c r="D14" s="56">
        <v>708691</v>
      </c>
      <c r="E14" s="56">
        <v>685991</v>
      </c>
      <c r="F14" s="56">
        <v>719084</v>
      </c>
      <c r="G14" s="56">
        <v>926096</v>
      </c>
      <c r="H14" s="56">
        <v>477420</v>
      </c>
      <c r="I14" s="56">
        <v>544457</v>
      </c>
      <c r="J14" s="56">
        <v>844068</v>
      </c>
      <c r="K14" s="56">
        <v>729015</v>
      </c>
      <c r="L14" s="66">
        <f t="shared" si="7"/>
        <v>2.7469917068592728E-3</v>
      </c>
      <c r="M14" s="32" t="str">
        <f t="shared" si="5"/>
        <v>Accounts Receivable, net</v>
      </c>
      <c r="N14" s="66">
        <f t="shared" si="8"/>
        <v>1.723513751343422E-2</v>
      </c>
      <c r="O14" s="66">
        <f t="shared" si="6"/>
        <v>1.9048319013699549E-2</v>
      </c>
      <c r="P14" s="66">
        <f t="shared" si="6"/>
        <v>1.7849007817294763E-2</v>
      </c>
      <c r="Q14" s="66">
        <f t="shared" si="6"/>
        <v>1.6904562487918995E-2</v>
      </c>
      <c r="R14" s="66">
        <f t="shared" si="6"/>
        <v>1.6470533694729606E-2</v>
      </c>
      <c r="S14" s="66">
        <f t="shared" si="6"/>
        <v>2.2609301405701117E-2</v>
      </c>
      <c r="T14" s="66">
        <f t="shared" si="6"/>
        <v>1.1639731228556296E-2</v>
      </c>
      <c r="U14" s="66">
        <f t="shared" si="6"/>
        <v>1.3242957583239109E-2</v>
      </c>
      <c r="V14" s="66">
        <f t="shared" si="6"/>
        <v>1.834191056418279E-2</v>
      </c>
      <c r="W14" s="66">
        <f t="shared" si="6"/>
        <v>1.4983593610880504E-2</v>
      </c>
      <c r="X14" s="66">
        <f t="shared" si="9"/>
        <v>1.6460886895281784E-2</v>
      </c>
    </row>
    <row r="15" spans="1:25" x14ac:dyDescent="0.2">
      <c r="A15" s="67" t="s">
        <v>102</v>
      </c>
      <c r="B15" s="56">
        <v>564918</v>
      </c>
      <c r="C15" s="56">
        <v>772606</v>
      </c>
      <c r="D15" s="56">
        <v>762405</v>
      </c>
      <c r="E15" s="56">
        <v>829248</v>
      </c>
      <c r="F15" s="56">
        <v>937006</v>
      </c>
      <c r="G15" s="56">
        <v>2192344</v>
      </c>
      <c r="H15" s="56">
        <v>3020472</v>
      </c>
      <c r="I15" s="56">
        <v>3161265</v>
      </c>
      <c r="J15" s="56">
        <v>3395055</v>
      </c>
      <c r="K15" s="56">
        <v>4005054</v>
      </c>
      <c r="L15" s="66">
        <f t="shared" si="7"/>
        <v>0.3371286700665162</v>
      </c>
      <c r="M15" s="32" t="str">
        <f t="shared" si="5"/>
        <v>Material and Supplies</v>
      </c>
      <c r="N15" s="66">
        <f t="shared" si="8"/>
        <v>1.4619629621453717E-2</v>
      </c>
      <c r="O15" s="66">
        <f t="shared" si="6"/>
        <v>2.000838242677885E-2</v>
      </c>
      <c r="P15" s="66">
        <f t="shared" si="6"/>
        <v>1.9201842276739246E-2</v>
      </c>
      <c r="Q15" s="66">
        <f t="shared" si="6"/>
        <v>2.0434779223024571E-2</v>
      </c>
      <c r="R15" s="66">
        <f t="shared" si="6"/>
        <v>2.1462011246479978E-2</v>
      </c>
      <c r="S15" s="66">
        <f t="shared" si="6"/>
        <v>5.3522924492688029E-2</v>
      </c>
      <c r="T15" s="66">
        <f t="shared" si="6"/>
        <v>7.3640572794143294E-2</v>
      </c>
      <c r="U15" s="66">
        <f t="shared" si="6"/>
        <v>7.6892203249069035E-2</v>
      </c>
      <c r="V15" s="66">
        <f t="shared" si="6"/>
        <v>7.3775803810216242E-2</v>
      </c>
      <c r="W15" s="66">
        <f t="shared" si="6"/>
        <v>8.2316689678033239E-2</v>
      </c>
      <c r="X15" s="66">
        <f t="shared" si="9"/>
        <v>5.9858703118519319E-2</v>
      </c>
    </row>
    <row r="16" spans="1:25" x14ac:dyDescent="0.2">
      <c r="A16" s="32" t="s">
        <v>35</v>
      </c>
      <c r="B16" s="56">
        <v>1035493</v>
      </c>
      <c r="C16" s="56">
        <v>837388</v>
      </c>
      <c r="D16" s="57">
        <v>1862250</v>
      </c>
      <c r="E16" s="57">
        <f>147276+104336</f>
        <v>251612</v>
      </c>
      <c r="F16" s="58">
        <f>193994+805</f>
        <v>194799</v>
      </c>
      <c r="G16" s="58">
        <v>165294</v>
      </c>
      <c r="H16" s="58">
        <v>163198</v>
      </c>
      <c r="I16" s="58">
        <v>151960</v>
      </c>
      <c r="J16" s="58">
        <v>163977</v>
      </c>
      <c r="K16" s="58">
        <v>164954</v>
      </c>
      <c r="L16" s="68">
        <f t="shared" si="7"/>
        <v>-3.2713279313440223E-2</v>
      </c>
      <c r="M16" s="32" t="str">
        <f t="shared" si="5"/>
        <v>Other Current Assets</v>
      </c>
      <c r="N16" s="66">
        <f t="shared" si="8"/>
        <v>2.6797737256748722E-2</v>
      </c>
      <c r="O16" s="66">
        <f t="shared" si="6"/>
        <v>2.168605905674495E-2</v>
      </c>
      <c r="P16" s="66">
        <f t="shared" si="6"/>
        <v>4.6902408535958791E-2</v>
      </c>
      <c r="Q16" s="66">
        <f t="shared" si="6"/>
        <v>6.2003594459843847E-3</v>
      </c>
      <c r="R16" s="66">
        <f t="shared" si="6"/>
        <v>4.4618479804857739E-3</v>
      </c>
      <c r="S16" s="66">
        <f t="shared" si="6"/>
        <v>4.0354151908160284E-3</v>
      </c>
      <c r="T16" s="66">
        <f t="shared" si="6"/>
        <v>3.9788464183275326E-3</v>
      </c>
      <c r="U16" s="66">
        <f t="shared" si="6"/>
        <v>3.6961593557416198E-3</v>
      </c>
      <c r="V16" s="66">
        <f t="shared" si="6"/>
        <v>3.5632810017474912E-3</v>
      </c>
      <c r="W16" s="66">
        <f t="shared" si="6"/>
        <v>3.3903331213886996E-3</v>
      </c>
      <c r="X16" s="66">
        <f t="shared" si="9"/>
        <v>3.9471099894236895E-3</v>
      </c>
      <c r="Y16" s="1">
        <f>AVERAGE(T16:W16)</f>
        <v>3.6571549743013359E-3</v>
      </c>
    </row>
    <row r="17" spans="1:24" x14ac:dyDescent="0.2">
      <c r="A17" s="32" t="s">
        <v>52</v>
      </c>
      <c r="B17" s="59">
        <f>SUM(B11:B16)</f>
        <v>2905614</v>
      </c>
      <c r="C17" s="59">
        <f>SUM(C11:C16)</f>
        <v>2923889</v>
      </c>
      <c r="D17" s="59">
        <f>SUM(D11:D16)</f>
        <v>4161987</v>
      </c>
      <c r="E17" s="59">
        <f>SUM(E11:E16)</f>
        <v>3899587</v>
      </c>
      <c r="F17" s="59">
        <f>SUM(F11:F16)</f>
        <v>5066026</v>
      </c>
      <c r="G17" s="59">
        <f t="shared" ref="G17:K17" si="10">SUM(G11:G16)</f>
        <v>5013962</v>
      </c>
      <c r="H17" s="59">
        <f t="shared" si="10"/>
        <v>5959666</v>
      </c>
      <c r="I17" s="59">
        <f t="shared" si="10"/>
        <v>6876879</v>
      </c>
      <c r="J17" s="59">
        <f t="shared" si="10"/>
        <v>9526762</v>
      </c>
      <c r="K17" s="59">
        <f t="shared" si="10"/>
        <v>8151334</v>
      </c>
      <c r="L17" s="66">
        <f t="shared" si="7"/>
        <v>9.9796301502360726E-2</v>
      </c>
      <c r="M17" s="32" t="str">
        <f t="shared" si="5"/>
        <v>Total Current Assets</v>
      </c>
      <c r="N17" s="66">
        <f t="shared" si="8"/>
        <v>7.5194984941019088E-2</v>
      </c>
      <c r="O17" s="66">
        <f t="shared" si="6"/>
        <v>7.5720728657882527E-2</v>
      </c>
      <c r="P17" s="66">
        <f t="shared" si="6"/>
        <v>0.10482331297911103</v>
      </c>
      <c r="Q17" s="66">
        <f t="shared" si="6"/>
        <v>9.6095739038233097E-2</v>
      </c>
      <c r="R17" s="66">
        <f t="shared" si="6"/>
        <v>0.11603672440406997</v>
      </c>
      <c r="S17" s="66">
        <f t="shared" si="6"/>
        <v>0.12240866831811388</v>
      </c>
      <c r="T17" s="66">
        <f t="shared" si="6"/>
        <v>0.14529954851486152</v>
      </c>
      <c r="U17" s="66">
        <f t="shared" si="6"/>
        <v>0.1672679695587857</v>
      </c>
      <c r="V17" s="66">
        <f t="shared" si="6"/>
        <v>0.20702007014867899</v>
      </c>
      <c r="W17" s="66">
        <f t="shared" si="6"/>
        <v>0.16753602606606588</v>
      </c>
      <c r="X17" s="66">
        <f t="shared" si="9"/>
        <v>0.15160659618890199</v>
      </c>
    </row>
    <row r="18" spans="1:24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6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x14ac:dyDescent="0.2">
      <c r="A19" s="65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6"/>
      <c r="M19" s="32" t="str">
        <f t="shared" si="5"/>
        <v>Plant &amp; Equipment:</v>
      </c>
      <c r="N19" s="66">
        <f t="shared" ref="N19:N24" si="11">+B19/B$38</f>
        <v>0</v>
      </c>
      <c r="O19" s="66">
        <f t="shared" ref="O19:O24" si="12">+C19/C$38</f>
        <v>0</v>
      </c>
      <c r="P19" s="66">
        <f t="shared" ref="P19:P24" si="13">+D19/D$38</f>
        <v>0</v>
      </c>
      <c r="Q19" s="66">
        <f t="shared" ref="Q19:Q24" si="14">+E19/E$38</f>
        <v>0</v>
      </c>
      <c r="R19" s="66">
        <f t="shared" ref="R19:R24" si="15">+F19/F$38</f>
        <v>0</v>
      </c>
      <c r="S19" s="66">
        <f t="shared" ref="S19:S24" si="16">+G19/G$38</f>
        <v>0</v>
      </c>
      <c r="T19" s="66">
        <f t="shared" ref="T19:T24" si="17">+H19/H$38</f>
        <v>0</v>
      </c>
      <c r="U19" s="66">
        <f t="shared" ref="U19:U24" si="18">+I19/I$38</f>
        <v>0</v>
      </c>
      <c r="V19" s="66">
        <f t="shared" ref="V19:V24" si="19">+J19/J$38</f>
        <v>0</v>
      </c>
      <c r="W19" s="66">
        <f t="shared" ref="W19:W24" si="20">+K19/K$38</f>
        <v>0</v>
      </c>
      <c r="X19" s="66">
        <f t="shared" ref="X19:X24" si="21">AVERAGE(R19:V19)</f>
        <v>0</v>
      </c>
    </row>
    <row r="20" spans="1:24" x14ac:dyDescent="0.2">
      <c r="A20" s="32" t="s">
        <v>114</v>
      </c>
      <c r="B20" s="69">
        <v>51216854</v>
      </c>
      <c r="C20" s="69">
        <v>52726840</v>
      </c>
      <c r="D20" s="69">
        <v>53855524</v>
      </c>
      <c r="E20" s="69">
        <v>56433684</v>
      </c>
      <c r="F20" s="69">
        <v>59033739</v>
      </c>
      <c r="G20" s="69">
        <v>58723725</v>
      </c>
      <c r="H20" s="69">
        <v>59447254</v>
      </c>
      <c r="I20" s="69">
        <v>60581721</v>
      </c>
      <c r="J20" s="69">
        <v>60267323</v>
      </c>
      <c r="K20" s="69">
        <v>64391091</v>
      </c>
      <c r="L20" s="66">
        <f t="shared" ref="L20:L21" si="22">RATE(5,,-F20,K20)</f>
        <v>1.7525023774210703E-2</v>
      </c>
      <c r="M20" s="32" t="str">
        <f t="shared" si="5"/>
        <v>Plant in Service</v>
      </c>
      <c r="N20" s="66">
        <f t="shared" si="11"/>
        <v>1.3254515449252287</v>
      </c>
      <c r="O20" s="66">
        <f t="shared" si="12"/>
        <v>1.3654809552030143</v>
      </c>
      <c r="P20" s="66">
        <f t="shared" si="13"/>
        <v>1.3563988661920439</v>
      </c>
      <c r="Q20" s="66">
        <f t="shared" si="14"/>
        <v>1.3906694659280869</v>
      </c>
      <c r="R20" s="66">
        <f t="shared" si="15"/>
        <v>1.3521607869530865</v>
      </c>
      <c r="S20" s="66">
        <f t="shared" si="16"/>
        <v>1.4336552562482787</v>
      </c>
      <c r="T20" s="66">
        <f t="shared" si="17"/>
        <v>1.4493528943817147</v>
      </c>
      <c r="U20" s="66">
        <f t="shared" si="18"/>
        <v>1.4735436618918041</v>
      </c>
      <c r="V20" s="66">
        <f t="shared" si="19"/>
        <v>1.3096312718983736</v>
      </c>
      <c r="W20" s="66">
        <f t="shared" si="20"/>
        <v>1.3234431934942699</v>
      </c>
      <c r="X20" s="66">
        <f t="shared" si="21"/>
        <v>1.4036687742746514</v>
      </c>
    </row>
    <row r="21" spans="1:24" x14ac:dyDescent="0.2">
      <c r="A21" s="32" t="s">
        <v>75</v>
      </c>
      <c r="B21" s="69">
        <v>227330</v>
      </c>
      <c r="C21" s="70">
        <v>15425</v>
      </c>
      <c r="D21" s="70">
        <v>184811</v>
      </c>
      <c r="E21" s="70">
        <v>239762</v>
      </c>
      <c r="F21" s="70">
        <v>343895</v>
      </c>
      <c r="G21" s="70">
        <v>281687</v>
      </c>
      <c r="H21" s="70">
        <v>608395</v>
      </c>
      <c r="I21" s="70">
        <v>295395</v>
      </c>
      <c r="J21" s="70">
        <v>2965747</v>
      </c>
      <c r="K21" s="70">
        <v>3680933</v>
      </c>
      <c r="L21" s="66">
        <f t="shared" si="22"/>
        <v>0.60659499693570917</v>
      </c>
      <c r="M21" s="32" t="str">
        <f t="shared" si="5"/>
        <v xml:space="preserve">  Construction Work in Progress</v>
      </c>
      <c r="N21" s="66">
        <f t="shared" si="11"/>
        <v>5.8831200313055583E-3</v>
      </c>
      <c r="O21" s="66">
        <f t="shared" si="12"/>
        <v>3.9946531470511976E-4</v>
      </c>
      <c r="P21" s="66">
        <f t="shared" si="13"/>
        <v>4.6546280166138163E-3</v>
      </c>
      <c r="Q21" s="66">
        <f t="shared" si="14"/>
        <v>5.9083453153589973E-3</v>
      </c>
      <c r="R21" s="66">
        <f t="shared" si="15"/>
        <v>7.876874169010905E-3</v>
      </c>
      <c r="S21" s="66">
        <f t="shared" si="16"/>
        <v>6.8769828236680984E-3</v>
      </c>
      <c r="T21" s="66">
        <f t="shared" si="17"/>
        <v>1.4832965273339006E-2</v>
      </c>
      <c r="U21" s="66">
        <f t="shared" si="18"/>
        <v>7.1849631014036311E-3</v>
      </c>
      <c r="V21" s="66">
        <f t="shared" si="19"/>
        <v>6.4446781811410239E-2</v>
      </c>
      <c r="W21" s="66">
        <f t="shared" si="20"/>
        <v>7.5654964823603371E-2</v>
      </c>
      <c r="X21" s="66">
        <f t="shared" si="21"/>
        <v>2.0243713435766374E-2</v>
      </c>
    </row>
    <row r="22" spans="1:24" x14ac:dyDescent="0.2">
      <c r="A22" s="32" t="s">
        <v>182</v>
      </c>
      <c r="B22" s="69">
        <v>857974</v>
      </c>
      <c r="C22" s="70">
        <v>857974</v>
      </c>
      <c r="D22" s="71">
        <v>857974</v>
      </c>
      <c r="E22" s="71">
        <v>854682</v>
      </c>
      <c r="F22" s="71">
        <v>854682</v>
      </c>
      <c r="G22" s="71">
        <v>854682</v>
      </c>
      <c r="H22" s="71">
        <v>854682</v>
      </c>
      <c r="I22" s="71">
        <v>854682</v>
      </c>
      <c r="J22" s="137"/>
      <c r="K22" s="71"/>
      <c r="L22" s="66"/>
      <c r="M22" s="32" t="str">
        <f t="shared" si="5"/>
        <v>Electric Plant Acquisition Adjustment</v>
      </c>
      <c r="N22" s="66">
        <f t="shared" si="11"/>
        <v>2.2203686384284323E-2</v>
      </c>
      <c r="O22" s="66">
        <f t="shared" si="12"/>
        <v>2.2219180156811048E-2</v>
      </c>
      <c r="P22" s="66">
        <f t="shared" si="13"/>
        <v>2.1608831822381908E-2</v>
      </c>
      <c r="Q22" s="66">
        <f t="shared" si="14"/>
        <v>2.1061537653263063E-2</v>
      </c>
      <c r="R22" s="66">
        <f t="shared" si="15"/>
        <v>1.9576389794904194E-2</v>
      </c>
      <c r="S22" s="66">
        <f t="shared" si="16"/>
        <v>2.0865831343648437E-2</v>
      </c>
      <c r="T22" s="66">
        <f t="shared" si="17"/>
        <v>2.083756182372953E-2</v>
      </c>
      <c r="U22" s="66">
        <f t="shared" si="18"/>
        <v>2.0788634314845744E-2</v>
      </c>
      <c r="V22" s="66">
        <f t="shared" si="19"/>
        <v>0</v>
      </c>
      <c r="W22" s="66">
        <f t="shared" si="20"/>
        <v>0</v>
      </c>
      <c r="X22" s="66">
        <f t="shared" si="21"/>
        <v>1.6413683455425581E-2</v>
      </c>
    </row>
    <row r="23" spans="1:24" x14ac:dyDescent="0.2">
      <c r="A23" s="32" t="s">
        <v>183</v>
      </c>
      <c r="B23" s="69"/>
      <c r="C23" s="70"/>
      <c r="D23" s="73"/>
      <c r="E23" s="73">
        <v>3292</v>
      </c>
      <c r="F23" s="71">
        <v>3292</v>
      </c>
      <c r="G23" s="71">
        <v>3292</v>
      </c>
      <c r="H23" s="71">
        <v>3292</v>
      </c>
      <c r="I23" s="71">
        <v>3292</v>
      </c>
      <c r="J23" s="71">
        <v>3292</v>
      </c>
      <c r="K23" s="71">
        <v>3292</v>
      </c>
      <c r="L23" s="68"/>
      <c r="M23" s="32" t="str">
        <f t="shared" si="5"/>
        <v>Electric Plan Held for Future Use</v>
      </c>
      <c r="N23" s="66">
        <f t="shared" si="11"/>
        <v>0</v>
      </c>
      <c r="O23" s="66">
        <f t="shared" si="12"/>
        <v>0</v>
      </c>
      <c r="P23" s="66">
        <f t="shared" si="13"/>
        <v>0</v>
      </c>
      <c r="Q23" s="66">
        <f t="shared" si="14"/>
        <v>8.1123250465719415E-5</v>
      </c>
      <c r="R23" s="66">
        <f t="shared" si="15"/>
        <v>7.5402869376943246E-5</v>
      </c>
      <c r="S23" s="66">
        <f t="shared" si="16"/>
        <v>8.0369443586375587E-5</v>
      </c>
      <c r="T23" s="66">
        <f t="shared" si="17"/>
        <v>8.0260557170640795E-5</v>
      </c>
      <c r="U23" s="66">
        <f t="shared" si="18"/>
        <v>8.007210186299955E-5</v>
      </c>
      <c r="V23" s="66">
        <f t="shared" si="19"/>
        <v>7.1536380454287744E-5</v>
      </c>
      <c r="W23" s="66">
        <f t="shared" si="20"/>
        <v>6.7661145747369565E-5</v>
      </c>
      <c r="X23" s="66">
        <f t="shared" si="21"/>
        <v>7.7528270490249374E-5</v>
      </c>
    </row>
    <row r="24" spans="1:24" ht="12.75" customHeight="1" x14ac:dyDescent="0.2">
      <c r="A24" s="32" t="s">
        <v>83</v>
      </c>
      <c r="B24" s="74">
        <f>SUM(B20:B22)</f>
        <v>52302158</v>
      </c>
      <c r="C24" s="74">
        <f>SUM(C20:C22)</f>
        <v>53600239</v>
      </c>
      <c r="D24" s="75">
        <f>SUM(D20:D22)</f>
        <v>54898309</v>
      </c>
      <c r="E24" s="75">
        <f>SUM(E20:E23)</f>
        <v>57531420</v>
      </c>
      <c r="F24" s="74">
        <f>SUM(F20:F23)</f>
        <v>60235608</v>
      </c>
      <c r="G24" s="74">
        <f>SUM(G20:G23)</f>
        <v>59863386</v>
      </c>
      <c r="H24" s="74">
        <f>SUM(H20:H23)</f>
        <v>60913623</v>
      </c>
      <c r="I24" s="74">
        <f t="shared" ref="I24:K24" si="23">SUM(I20:I23)</f>
        <v>61735090</v>
      </c>
      <c r="J24" s="74">
        <f t="shared" si="23"/>
        <v>63236362</v>
      </c>
      <c r="K24" s="74">
        <f t="shared" si="23"/>
        <v>68075316</v>
      </c>
      <c r="L24" s="66">
        <f>RATE(5,,-F24,K24)</f>
        <v>2.4772054088936325E-2</v>
      </c>
      <c r="M24" s="32" t="str">
        <f t="shared" si="5"/>
        <v>Total Plant &amp; Equipment:</v>
      </c>
      <c r="N24" s="66">
        <f t="shared" si="11"/>
        <v>1.3535383513408186</v>
      </c>
      <c r="O24" s="66">
        <f t="shared" si="12"/>
        <v>1.3880996006745305</v>
      </c>
      <c r="P24" s="66">
        <f t="shared" si="13"/>
        <v>1.3826623260310396</v>
      </c>
      <c r="Q24" s="66">
        <f t="shared" si="14"/>
        <v>1.4177204721471748</v>
      </c>
      <c r="R24" s="66">
        <f t="shared" si="15"/>
        <v>1.3796894537863784</v>
      </c>
      <c r="S24" s="66">
        <f t="shared" si="16"/>
        <v>1.4614784398591816</v>
      </c>
      <c r="T24" s="66">
        <f t="shared" si="17"/>
        <v>1.4851036820359538</v>
      </c>
      <c r="U24" s="66">
        <f t="shared" si="18"/>
        <v>1.5015973314099165</v>
      </c>
      <c r="V24" s="66">
        <f t="shared" si="19"/>
        <v>1.3741495900902383</v>
      </c>
      <c r="W24" s="66">
        <f t="shared" si="20"/>
        <v>1.3991658194636205</v>
      </c>
      <c r="X24" s="66">
        <f t="shared" si="21"/>
        <v>1.4404036994363336</v>
      </c>
    </row>
    <row r="25" spans="1:24" ht="7.5" customHeight="1" x14ac:dyDescent="0.2">
      <c r="A25" s="32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 customHeight="1" x14ac:dyDescent="0.2">
      <c r="A26" s="32" t="s">
        <v>76</v>
      </c>
      <c r="B26" s="69">
        <v>25030396</v>
      </c>
      <c r="C26" s="69">
        <v>26224911</v>
      </c>
      <c r="D26" s="69">
        <v>27594835</v>
      </c>
      <c r="E26" s="69">
        <v>28894857</v>
      </c>
      <c r="F26" s="69">
        <v>29795397</v>
      </c>
      <c r="G26" s="69">
        <v>30402665</v>
      </c>
      <c r="H26" s="69">
        <v>31758174</v>
      </c>
      <c r="I26" s="69">
        <v>33104547</v>
      </c>
      <c r="J26" s="69">
        <v>31636051</v>
      </c>
      <c r="K26" s="69">
        <v>32500890</v>
      </c>
      <c r="L26" s="66">
        <f>RATE(5,,-F26,K26)</f>
        <v>1.7534669544492388E-2</v>
      </c>
      <c r="M26" s="32" t="str">
        <f t="shared" si="5"/>
        <v>Accumulated Depreciation &amp; Amort.</v>
      </c>
      <c r="N26" s="66">
        <f>+B26/B$38</f>
        <v>0.64776678880530736</v>
      </c>
      <c r="O26" s="66">
        <f t="shared" ref="O26:W26" si="24">+C26/C$38</f>
        <v>0.67915347330494369</v>
      </c>
      <c r="P26" s="66">
        <f t="shared" si="24"/>
        <v>0.6950002548811246</v>
      </c>
      <c r="Q26" s="66">
        <f t="shared" si="24"/>
        <v>0.71204274653163602</v>
      </c>
      <c r="R26" s="66">
        <f t="shared" si="24"/>
        <v>0.68246003281444922</v>
      </c>
      <c r="S26" s="66">
        <f t="shared" si="24"/>
        <v>0.74223732369166928</v>
      </c>
      <c r="T26" s="66">
        <f t="shared" si="24"/>
        <v>0.77427969014646358</v>
      </c>
      <c r="U26" s="66">
        <f t="shared" si="24"/>
        <v>0.80520979936587367</v>
      </c>
      <c r="V26" s="66">
        <f t="shared" si="24"/>
        <v>0.68746311677012462</v>
      </c>
      <c r="W26" s="66">
        <f t="shared" si="24"/>
        <v>0.66799740437704314</v>
      </c>
      <c r="X26" s="66">
        <f>AVERAGE(R26:V26)</f>
        <v>0.73832999255771603</v>
      </c>
    </row>
    <row r="27" spans="1:24" ht="7.5" customHeight="1" x14ac:dyDescent="0.2">
      <c r="A27" s="3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2">
      <c r="A28" s="32" t="s">
        <v>77</v>
      </c>
      <c r="B28" s="69">
        <f>B24-B26</f>
        <v>27271762</v>
      </c>
      <c r="C28" s="69">
        <f>C24-C26</f>
        <v>27375328</v>
      </c>
      <c r="D28" s="69">
        <f>D24-D26</f>
        <v>27303474</v>
      </c>
      <c r="E28" s="69">
        <f>E24-E26</f>
        <v>28636563</v>
      </c>
      <c r="F28" s="69">
        <f>F24-F26</f>
        <v>30440211</v>
      </c>
      <c r="G28" s="69">
        <f t="shared" ref="G28:K28" si="25">G24-G26</f>
        <v>29460721</v>
      </c>
      <c r="H28" s="69">
        <f t="shared" si="25"/>
        <v>29155449</v>
      </c>
      <c r="I28" s="69">
        <f t="shared" si="25"/>
        <v>28630543</v>
      </c>
      <c r="J28" s="69">
        <f t="shared" si="25"/>
        <v>31600311</v>
      </c>
      <c r="K28" s="69">
        <f t="shared" si="25"/>
        <v>35574426</v>
      </c>
      <c r="L28" s="66">
        <f>RATE(5,,-F28,K28)</f>
        <v>3.1663459620058274E-2</v>
      </c>
      <c r="M28" s="32" t="str">
        <f t="shared" si="5"/>
        <v>Net Plant &amp; Equipment</v>
      </c>
      <c r="N28" s="66">
        <f>+B28/B$38</f>
        <v>0.7057715625355111</v>
      </c>
      <c r="O28" s="66">
        <f t="shared" ref="O28:W28" si="26">+C28/C$38</f>
        <v>0.70894612736958684</v>
      </c>
      <c r="P28" s="66">
        <f t="shared" si="26"/>
        <v>0.68766207114991484</v>
      </c>
      <c r="Q28" s="66">
        <f t="shared" si="26"/>
        <v>0.70567772561553865</v>
      </c>
      <c r="R28" s="66">
        <f t="shared" si="26"/>
        <v>0.69722942097192919</v>
      </c>
      <c r="S28" s="66">
        <f t="shared" si="26"/>
        <v>0.7192411161675123</v>
      </c>
      <c r="T28" s="66">
        <f t="shared" si="26"/>
        <v>0.7108239918894903</v>
      </c>
      <c r="U28" s="66">
        <f t="shared" si="26"/>
        <v>0.6963875320440428</v>
      </c>
      <c r="V28" s="66">
        <f t="shared" si="26"/>
        <v>0.68668647332011357</v>
      </c>
      <c r="W28" s="66">
        <f t="shared" si="26"/>
        <v>0.73116841508657748</v>
      </c>
      <c r="X28" s="66">
        <f>AVERAGE(R28:V28)</f>
        <v>0.70207370687861759</v>
      </c>
    </row>
    <row r="29" spans="1:24" ht="7.5" customHeight="1" x14ac:dyDescent="0.2">
      <c r="A29" s="3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2">
      <c r="A30" s="65" t="s">
        <v>88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6"/>
      <c r="M30" s="32" t="str">
        <f t="shared" si="5"/>
        <v>Other Assets: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2">
      <c r="A31" s="32" t="s">
        <v>78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6"/>
      <c r="M31" s="32" t="str">
        <f t="shared" si="5"/>
        <v>Regulatory Assets</v>
      </c>
      <c r="N31" s="66">
        <f t="shared" ref="N31:N38" si="27">+B31/B$38</f>
        <v>0</v>
      </c>
      <c r="O31" s="66">
        <f t="shared" ref="O31:O38" si="28">+C31/C$38</f>
        <v>0</v>
      </c>
      <c r="P31" s="66">
        <f t="shared" ref="P31:P38" si="29">+D31/D$38</f>
        <v>0</v>
      </c>
      <c r="Q31" s="66">
        <f t="shared" ref="Q31:Q38" si="30">+E31/E$38</f>
        <v>0</v>
      </c>
      <c r="R31" s="66">
        <f t="shared" ref="R31:R38" si="31">+F31/F$38</f>
        <v>0</v>
      </c>
      <c r="S31" s="66">
        <f t="shared" ref="S31:S38" si="32">+G31/G$38</f>
        <v>0</v>
      </c>
      <c r="T31" s="66">
        <f t="shared" ref="T31:T38" si="33">+H31/H$38</f>
        <v>0</v>
      </c>
      <c r="U31" s="66">
        <f t="shared" ref="U31:U38" si="34">+I31/I$38</f>
        <v>0</v>
      </c>
      <c r="V31" s="66">
        <f t="shared" ref="V31:V38" si="35">+J31/J$38</f>
        <v>0</v>
      </c>
      <c r="W31" s="66">
        <f t="shared" ref="W31:W38" si="36">+K31/K$38</f>
        <v>0</v>
      </c>
      <c r="X31" s="66">
        <f t="shared" ref="X31:X38" si="37">AVERAGE(R31:V31)</f>
        <v>0</v>
      </c>
    </row>
    <row r="32" spans="1:24" x14ac:dyDescent="0.2">
      <c r="A32" s="32" t="s">
        <v>184</v>
      </c>
      <c r="B32" s="69"/>
      <c r="C32" s="69"/>
      <c r="D32" s="69"/>
      <c r="E32" s="69">
        <v>6000000</v>
      </c>
      <c r="F32" s="69">
        <v>6000000</v>
      </c>
      <c r="G32" s="69">
        <v>5000000</v>
      </c>
      <c r="H32" s="69"/>
      <c r="I32" s="69"/>
      <c r="J32" s="69"/>
      <c r="K32" s="69"/>
      <c r="L32" s="66"/>
      <c r="M32" s="32" t="str">
        <f t="shared" si="5"/>
        <v>Notes Receivable</v>
      </c>
      <c r="N32" s="66">
        <f t="shared" si="27"/>
        <v>0</v>
      </c>
      <c r="O32" s="66">
        <f t="shared" si="28"/>
        <v>0</v>
      </c>
      <c r="P32" s="66">
        <f t="shared" si="29"/>
        <v>0</v>
      </c>
      <c r="Q32" s="66">
        <f t="shared" si="30"/>
        <v>0.14785525601285435</v>
      </c>
      <c r="R32" s="66">
        <f t="shared" si="31"/>
        <v>0.13742928805032184</v>
      </c>
      <c r="S32" s="66">
        <f t="shared" si="32"/>
        <v>0.1220678061761476</v>
      </c>
      <c r="T32" s="66">
        <f t="shared" si="33"/>
        <v>0</v>
      </c>
      <c r="U32" s="66">
        <f t="shared" si="34"/>
        <v>0</v>
      </c>
      <c r="V32" s="66">
        <f t="shared" si="35"/>
        <v>0</v>
      </c>
      <c r="W32" s="66">
        <f t="shared" si="36"/>
        <v>0</v>
      </c>
      <c r="X32" s="66">
        <f t="shared" si="37"/>
        <v>5.1899418845293886E-2</v>
      </c>
    </row>
    <row r="33" spans="1:24" x14ac:dyDescent="0.2">
      <c r="A33" s="32" t="s">
        <v>185</v>
      </c>
      <c r="B33" s="69"/>
      <c r="C33" s="69"/>
      <c r="D33" s="69"/>
      <c r="E33" s="69">
        <v>1206510</v>
      </c>
      <c r="F33" s="69">
        <v>1251494</v>
      </c>
      <c r="G33" s="69">
        <v>1414771</v>
      </c>
      <c r="H33" s="69">
        <v>5833883</v>
      </c>
      <c r="I33" s="69">
        <v>5515987</v>
      </c>
      <c r="J33" s="69">
        <v>4794519</v>
      </c>
      <c r="K33" s="69">
        <v>4845731</v>
      </c>
      <c r="L33" s="66">
        <f t="shared" ref="L33:L38" si="38">RATE(5,,-F33,K33)</f>
        <v>0.31094993376528346</v>
      </c>
      <c r="M33" s="32" t="str">
        <f t="shared" si="5"/>
        <v>Investment in Associated Organizations</v>
      </c>
      <c r="N33" s="66">
        <f t="shared" si="27"/>
        <v>0</v>
      </c>
      <c r="O33" s="66">
        <f t="shared" si="28"/>
        <v>0</v>
      </c>
      <c r="P33" s="66">
        <f t="shared" si="29"/>
        <v>0</v>
      </c>
      <c r="Q33" s="66">
        <f t="shared" si="30"/>
        <v>2.9731474155344814E-2</v>
      </c>
      <c r="R33" s="66">
        <f t="shared" si="31"/>
        <v>2.8665321569874915E-2</v>
      </c>
      <c r="S33" s="66">
        <f t="shared" si="32"/>
        <v>3.4539598442326902E-2</v>
      </c>
      <c r="T33" s="66">
        <f t="shared" si="33"/>
        <v>0.14223289794906727</v>
      </c>
      <c r="U33" s="66">
        <f t="shared" si="34"/>
        <v>0.13416666857198703</v>
      </c>
      <c r="V33" s="66">
        <f t="shared" si="35"/>
        <v>0.10418667535823549</v>
      </c>
      <c r="W33" s="66">
        <f t="shared" si="36"/>
        <v>9.9595295092207423E-2</v>
      </c>
      <c r="X33" s="66">
        <f t="shared" si="37"/>
        <v>8.875823237829833E-2</v>
      </c>
    </row>
    <row r="34" spans="1:24" x14ac:dyDescent="0.2">
      <c r="A34" s="32" t="s">
        <v>239</v>
      </c>
      <c r="B34" s="69"/>
      <c r="C34" s="70"/>
      <c r="D34" s="70"/>
      <c r="E34" s="70">
        <v>1110</v>
      </c>
      <c r="F34" s="70">
        <v>64627</v>
      </c>
      <c r="G34" s="70">
        <v>68705</v>
      </c>
      <c r="H34" s="70">
        <v>67141</v>
      </c>
      <c r="I34" s="70">
        <v>89434</v>
      </c>
      <c r="J34" s="70">
        <v>94332</v>
      </c>
      <c r="K34" s="70">
        <v>82638</v>
      </c>
      <c r="L34" s="66">
        <f t="shared" si="38"/>
        <v>5.0396244407757064E-2</v>
      </c>
      <c r="M34" s="32" t="str">
        <f t="shared" si="5"/>
        <v>Energy Conservation &amp; Develop Loans</v>
      </c>
      <c r="N34" s="66">
        <f t="shared" si="27"/>
        <v>0</v>
      </c>
      <c r="O34" s="66">
        <f t="shared" si="28"/>
        <v>0</v>
      </c>
      <c r="P34" s="66">
        <f t="shared" si="29"/>
        <v>0</v>
      </c>
      <c r="Q34" s="66">
        <f t="shared" si="30"/>
        <v>2.7353222362378053E-5</v>
      </c>
      <c r="R34" s="66">
        <f t="shared" si="31"/>
        <v>1.4802737664713582E-3</v>
      </c>
      <c r="S34" s="66">
        <f t="shared" si="32"/>
        <v>1.6773337246664443E-3</v>
      </c>
      <c r="T34" s="66">
        <f t="shared" si="33"/>
        <v>1.6369301546154294E-3</v>
      </c>
      <c r="U34" s="66">
        <f t="shared" si="34"/>
        <v>2.1753245315964467E-3</v>
      </c>
      <c r="V34" s="66">
        <f t="shared" si="35"/>
        <v>2.0498693320212245E-3</v>
      </c>
      <c r="W34" s="66">
        <f t="shared" si="36"/>
        <v>1.6984756264493092E-3</v>
      </c>
      <c r="X34" s="66">
        <f t="shared" si="37"/>
        <v>1.8039463018741804E-3</v>
      </c>
    </row>
    <row r="35" spans="1:24" x14ac:dyDescent="0.2">
      <c r="A35" s="32" t="s">
        <v>103</v>
      </c>
      <c r="B35" s="69">
        <v>8463685</v>
      </c>
      <c r="C35" s="69">
        <v>8314899</v>
      </c>
      <c r="D35" s="76">
        <v>8239323</v>
      </c>
      <c r="E35" s="76">
        <v>836458</v>
      </c>
      <c r="F35" s="75">
        <f>836458</f>
        <v>836458</v>
      </c>
      <c r="G35" s="75">
        <v>2682</v>
      </c>
      <c r="H35" s="75">
        <v>272</v>
      </c>
      <c r="I35" s="75">
        <v>103</v>
      </c>
      <c r="J35" s="75">
        <v>2619</v>
      </c>
      <c r="K35" s="75">
        <v>87</v>
      </c>
      <c r="L35" s="68">
        <f t="shared" si="38"/>
        <v>-0.84025950617328227</v>
      </c>
      <c r="M35" s="32" t="str">
        <f t="shared" si="5"/>
        <v>Other Non-Current Assets</v>
      </c>
      <c r="N35" s="66">
        <f t="shared" si="27"/>
        <v>0.21903345252346978</v>
      </c>
      <c r="O35" s="66">
        <f t="shared" si="28"/>
        <v>0.21533314397253067</v>
      </c>
      <c r="P35" s="66">
        <f t="shared" si="29"/>
        <v>0.20751461587097414</v>
      </c>
      <c r="Q35" s="66">
        <f t="shared" si="30"/>
        <v>2.0612451955666685E-2</v>
      </c>
      <c r="R35" s="66">
        <f t="shared" si="31"/>
        <v>1.9158971237332685E-2</v>
      </c>
      <c r="S35" s="66">
        <f t="shared" si="32"/>
        <v>6.5477171232885574E-5</v>
      </c>
      <c r="T35" s="66">
        <f t="shared" si="33"/>
        <v>6.6314919654964447E-6</v>
      </c>
      <c r="U35" s="66">
        <f t="shared" si="34"/>
        <v>2.505293588058613E-6</v>
      </c>
      <c r="V35" s="66">
        <f t="shared" si="35"/>
        <v>5.691184095072284E-5</v>
      </c>
      <c r="W35" s="66">
        <f t="shared" si="36"/>
        <v>1.7881286998849185E-6</v>
      </c>
      <c r="X35" s="66">
        <f t="shared" si="37"/>
        <v>3.8580994070139701E-3</v>
      </c>
    </row>
    <row r="36" spans="1:24" x14ac:dyDescent="0.2">
      <c r="A36" s="32" t="s">
        <v>89</v>
      </c>
      <c r="B36" s="74">
        <f>SUM(B31:B35)</f>
        <v>8463685</v>
      </c>
      <c r="C36" s="74">
        <f>SUM(C31:C35)</f>
        <v>8314899</v>
      </c>
      <c r="D36" s="77">
        <f>SUM(D31:D35)</f>
        <v>8239323</v>
      </c>
      <c r="E36" s="77">
        <f>SUM(E31:E35)</f>
        <v>8044078</v>
      </c>
      <c r="F36" s="77">
        <f>SUM(F31:F35)</f>
        <v>8152579</v>
      </c>
      <c r="G36" s="77">
        <f t="shared" ref="G36:K36" si="39">SUM(G31:G35)</f>
        <v>6486158</v>
      </c>
      <c r="H36" s="77">
        <f t="shared" si="39"/>
        <v>5901296</v>
      </c>
      <c r="I36" s="77">
        <f t="shared" si="39"/>
        <v>5605524</v>
      </c>
      <c r="J36" s="77">
        <f t="shared" si="39"/>
        <v>4891470</v>
      </c>
      <c r="K36" s="77">
        <f t="shared" si="39"/>
        <v>4928456</v>
      </c>
      <c r="L36" s="141">
        <f t="shared" si="38"/>
        <v>-9.5761126500992652E-2</v>
      </c>
      <c r="M36" s="32" t="str">
        <f t="shared" si="5"/>
        <v>Total Other Assets</v>
      </c>
      <c r="N36" s="66">
        <f t="shared" si="27"/>
        <v>0.21903345252346978</v>
      </c>
      <c r="O36" s="66">
        <f t="shared" si="28"/>
        <v>0.21533314397253067</v>
      </c>
      <c r="P36" s="66">
        <f t="shared" si="29"/>
        <v>0.20751461587097414</v>
      </c>
      <c r="Q36" s="66">
        <f t="shared" si="30"/>
        <v>0.19822653534622822</v>
      </c>
      <c r="R36" s="66">
        <f t="shared" si="31"/>
        <v>0.1867338546240008</v>
      </c>
      <c r="S36" s="66">
        <f t="shared" si="32"/>
        <v>0.15835021551437384</v>
      </c>
      <c r="T36" s="66">
        <f t="shared" si="33"/>
        <v>0.14387645959564818</v>
      </c>
      <c r="U36" s="66">
        <f t="shared" si="34"/>
        <v>0.13634449839717153</v>
      </c>
      <c r="V36" s="66">
        <f t="shared" si="35"/>
        <v>0.10629345653120743</v>
      </c>
      <c r="W36" s="66">
        <f t="shared" si="36"/>
        <v>0.10129555884735662</v>
      </c>
      <c r="X36" s="66">
        <f t="shared" si="37"/>
        <v>0.14631969693248037</v>
      </c>
    </row>
    <row r="37" spans="1:24" x14ac:dyDescent="0.2">
      <c r="A37" s="32" t="s">
        <v>56</v>
      </c>
      <c r="B37" s="74">
        <f>B28+B36</f>
        <v>35735447</v>
      </c>
      <c r="C37" s="74">
        <f>C28+C36</f>
        <v>35690227</v>
      </c>
      <c r="D37" s="77">
        <f>D28+D36</f>
        <v>35542797</v>
      </c>
      <c r="E37" s="77">
        <f>E28+E36</f>
        <v>36680641</v>
      </c>
      <c r="F37" s="77">
        <f>F28+F36</f>
        <v>38592790</v>
      </c>
      <c r="G37" s="77">
        <f t="shared" ref="G37:K37" si="40">G28+G36</f>
        <v>35946879</v>
      </c>
      <c r="H37" s="77">
        <f t="shared" si="40"/>
        <v>35056745</v>
      </c>
      <c r="I37" s="77">
        <f t="shared" si="40"/>
        <v>34236067</v>
      </c>
      <c r="J37" s="77">
        <f t="shared" si="40"/>
        <v>36491781</v>
      </c>
      <c r="K37" s="77">
        <f t="shared" si="40"/>
        <v>40502882</v>
      </c>
      <c r="L37" s="141">
        <f t="shared" si="38"/>
        <v>9.708355397950395E-3</v>
      </c>
      <c r="M37" s="32" t="str">
        <f t="shared" si="5"/>
        <v>Total Non-Current Assets</v>
      </c>
      <c r="N37" s="66">
        <f t="shared" si="27"/>
        <v>0.92480501505898094</v>
      </c>
      <c r="O37" s="66">
        <f t="shared" si="28"/>
        <v>0.92427927134211751</v>
      </c>
      <c r="P37" s="66">
        <f t="shared" si="29"/>
        <v>0.89517668702088893</v>
      </c>
      <c r="Q37" s="66">
        <f t="shared" si="30"/>
        <v>0.9039042609617669</v>
      </c>
      <c r="R37" s="66">
        <f t="shared" si="31"/>
        <v>0.88396327559593002</v>
      </c>
      <c r="S37" s="66">
        <f t="shared" si="32"/>
        <v>0.87759133168188608</v>
      </c>
      <c r="T37" s="66">
        <f t="shared" si="33"/>
        <v>0.85470045148513851</v>
      </c>
      <c r="U37" s="66">
        <f t="shared" si="34"/>
        <v>0.83273203044121435</v>
      </c>
      <c r="V37" s="66">
        <f t="shared" si="35"/>
        <v>0.79297992985132104</v>
      </c>
      <c r="W37" s="66">
        <f t="shared" si="36"/>
        <v>0.83246397393393412</v>
      </c>
      <c r="X37" s="66">
        <f t="shared" si="37"/>
        <v>0.84839340381109807</v>
      </c>
    </row>
    <row r="38" spans="1:24" ht="13.5" thickBot="1" x14ac:dyDescent="0.25">
      <c r="A38" s="32" t="s">
        <v>51</v>
      </c>
      <c r="B38" s="74">
        <f t="shared" ref="B38:K38" si="41">B17+B28+B36</f>
        <v>38641061</v>
      </c>
      <c r="C38" s="74">
        <f t="shared" si="41"/>
        <v>38614116</v>
      </c>
      <c r="D38" s="78">
        <f t="shared" si="41"/>
        <v>39704784</v>
      </c>
      <c r="E38" s="78">
        <f t="shared" si="41"/>
        <v>40580228</v>
      </c>
      <c r="F38" s="78">
        <f t="shared" si="41"/>
        <v>43658816</v>
      </c>
      <c r="G38" s="78">
        <f t="shared" si="41"/>
        <v>40960841</v>
      </c>
      <c r="H38" s="78">
        <f t="shared" si="41"/>
        <v>41016411</v>
      </c>
      <c r="I38" s="78">
        <f t="shared" si="41"/>
        <v>41112946</v>
      </c>
      <c r="J38" s="78">
        <f t="shared" si="41"/>
        <v>46018543</v>
      </c>
      <c r="K38" s="78">
        <f t="shared" si="41"/>
        <v>48654216</v>
      </c>
      <c r="L38" s="142">
        <f t="shared" si="38"/>
        <v>2.1903072735726996E-2</v>
      </c>
      <c r="M38" s="32" t="str">
        <f t="shared" si="5"/>
        <v>Total Assets</v>
      </c>
      <c r="N38" s="66">
        <f t="shared" si="27"/>
        <v>1</v>
      </c>
      <c r="O38" s="66">
        <f t="shared" si="28"/>
        <v>1</v>
      </c>
      <c r="P38" s="66">
        <f t="shared" si="29"/>
        <v>1</v>
      </c>
      <c r="Q38" s="66">
        <f t="shared" si="30"/>
        <v>1</v>
      </c>
      <c r="R38" s="66">
        <f t="shared" si="31"/>
        <v>1</v>
      </c>
      <c r="S38" s="66">
        <f t="shared" si="32"/>
        <v>1</v>
      </c>
      <c r="T38" s="66">
        <f t="shared" si="33"/>
        <v>1</v>
      </c>
      <c r="U38" s="66">
        <f t="shared" si="34"/>
        <v>1</v>
      </c>
      <c r="V38" s="66">
        <f t="shared" si="35"/>
        <v>1</v>
      </c>
      <c r="W38" s="66">
        <f t="shared" si="36"/>
        <v>1</v>
      </c>
      <c r="X38" s="66">
        <f t="shared" si="37"/>
        <v>1</v>
      </c>
    </row>
    <row r="39" spans="1:24" ht="13.5" thickTop="1" x14ac:dyDescent="0.2">
      <c r="A39" s="32"/>
      <c r="B39" s="79"/>
      <c r="C39" s="79"/>
      <c r="D39" s="75"/>
      <c r="E39" s="75">
        <f>40580228-E38</f>
        <v>0</v>
      </c>
      <c r="F39" s="75">
        <f>43658816-F38</f>
        <v>0</v>
      </c>
      <c r="G39" s="75"/>
      <c r="H39" s="75"/>
      <c r="I39" s="75"/>
      <c r="J39" s="75"/>
      <c r="K39" s="75"/>
      <c r="L39" s="66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x14ac:dyDescent="0.2">
      <c r="A40" s="65" t="s">
        <v>11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6"/>
      <c r="M40" s="32" t="str">
        <f t="shared" si="5"/>
        <v>Current Liabilities: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2">
      <c r="A41" s="80" t="s">
        <v>141</v>
      </c>
      <c r="B41" s="69">
        <v>983000</v>
      </c>
      <c r="C41" s="69">
        <v>1022000</v>
      </c>
      <c r="D41" s="69">
        <v>1053000</v>
      </c>
      <c r="E41" s="69">
        <v>983000</v>
      </c>
      <c r="F41" s="69">
        <v>1151490</v>
      </c>
      <c r="G41" s="69">
        <v>1110000</v>
      </c>
      <c r="H41" s="69">
        <f>1043000+13936</f>
        <v>1056936</v>
      </c>
      <c r="I41" s="69">
        <f>1033000+14739</f>
        <v>1047739</v>
      </c>
      <c r="J41" s="69">
        <f>1060500+15587</f>
        <v>1076087</v>
      </c>
      <c r="K41" s="69">
        <f>1193100+16484</f>
        <v>1209584</v>
      </c>
      <c r="L41" s="66">
        <f t="shared" ref="L41:L44" si="42">RATE(5,,-F41,K41)</f>
        <v>9.8925596243935338E-3</v>
      </c>
      <c r="M41" s="32" t="str">
        <f t="shared" si="5"/>
        <v>Current Portion of LTD</v>
      </c>
      <c r="N41" s="66">
        <f t="shared" ref="N41:N48" si="43">+B41/B$38</f>
        <v>2.5439260065866203E-2</v>
      </c>
      <c r="O41" s="66">
        <f t="shared" ref="O41:O48" si="44">+C41/C$38</f>
        <v>2.6467004967820576E-2</v>
      </c>
      <c r="P41" s="66">
        <f t="shared" ref="P41:P48" si="45">+D41/D$38</f>
        <v>2.6520733622426958E-2</v>
      </c>
      <c r="Q41" s="66">
        <f t="shared" ref="Q41:Q48" si="46">+E41/E$38</f>
        <v>2.4223619443439301E-2</v>
      </c>
      <c r="R41" s="66">
        <f t="shared" ref="R41:R48" si="47">+F41/F$38</f>
        <v>2.6374741816177515E-2</v>
      </c>
      <c r="S41" s="66">
        <f t="shared" ref="S41:S48" si="48">+G41/G$38</f>
        <v>2.7099052971104768E-2</v>
      </c>
      <c r="T41" s="66">
        <f t="shared" ref="T41:T48" si="49">+H41/H$38</f>
        <v>2.5768612470749817E-2</v>
      </c>
      <c r="U41" s="66">
        <f t="shared" ref="U41:U48" si="50">+I41/I$38</f>
        <v>2.5484405812222749E-2</v>
      </c>
      <c r="V41" s="66">
        <f t="shared" ref="V41:V48" si="51">+J41/J$38</f>
        <v>2.3383769451370939E-2</v>
      </c>
      <c r="W41" s="66">
        <f t="shared" ref="W41:W48" si="52">+K41/K$38</f>
        <v>2.4860826038179303E-2</v>
      </c>
      <c r="X41" s="66">
        <f t="shared" ref="X41:X48" si="53">AVERAGE(R41:V41)</f>
        <v>2.5622116504325158E-2</v>
      </c>
    </row>
    <row r="42" spans="1:24" x14ac:dyDescent="0.2">
      <c r="A42" s="32" t="s">
        <v>104</v>
      </c>
      <c r="B42" s="69">
        <v>155724</v>
      </c>
      <c r="C42" s="69">
        <v>264087</v>
      </c>
      <c r="D42" s="69">
        <v>209187</v>
      </c>
      <c r="E42" s="69">
        <v>375970</v>
      </c>
      <c r="F42" s="69">
        <v>770273</v>
      </c>
      <c r="G42" s="69">
        <v>405614</v>
      </c>
      <c r="H42" s="69">
        <v>515625</v>
      </c>
      <c r="I42" s="69">
        <v>419935</v>
      </c>
      <c r="J42" s="69">
        <v>1450971</v>
      </c>
      <c r="K42" s="69">
        <v>825713</v>
      </c>
      <c r="L42" s="66">
        <f t="shared" si="42"/>
        <v>1.3997512094353419E-2</v>
      </c>
      <c r="M42" s="32" t="str">
        <f t="shared" si="5"/>
        <v>Acounts Payable</v>
      </c>
      <c r="N42" s="66">
        <f t="shared" si="43"/>
        <v>4.0300135651037119E-3</v>
      </c>
      <c r="O42" s="66">
        <f t="shared" si="44"/>
        <v>6.8391310576681333E-3</v>
      </c>
      <c r="P42" s="66">
        <f t="shared" si="45"/>
        <v>5.2685590733852119E-3</v>
      </c>
      <c r="Q42" s="66">
        <f t="shared" si="46"/>
        <v>9.2648567671921415E-3</v>
      </c>
      <c r="R42" s="66">
        <f t="shared" si="47"/>
        <v>1.7643011665730925E-2</v>
      </c>
      <c r="S42" s="66">
        <f t="shared" si="48"/>
        <v>9.9024822268663874E-3</v>
      </c>
      <c r="T42" s="66">
        <f t="shared" si="49"/>
        <v>1.2571187664371708E-2</v>
      </c>
      <c r="U42" s="66">
        <f t="shared" si="50"/>
        <v>1.0214179251469842E-2</v>
      </c>
      <c r="V42" s="66">
        <f t="shared" si="51"/>
        <v>3.153013775338346E-2</v>
      </c>
      <c r="W42" s="66">
        <f t="shared" si="52"/>
        <v>1.6971047277793975E-2</v>
      </c>
      <c r="X42" s="66">
        <f t="shared" si="53"/>
        <v>1.6372199712364467E-2</v>
      </c>
    </row>
    <row r="43" spans="1:24" x14ac:dyDescent="0.2">
      <c r="A43" s="32" t="s">
        <v>105</v>
      </c>
      <c r="B43" s="69">
        <v>967334</v>
      </c>
      <c r="C43" s="69">
        <v>1047328</v>
      </c>
      <c r="D43" s="69">
        <v>1048801</v>
      </c>
      <c r="E43" s="69">
        <v>1067612</v>
      </c>
      <c r="F43" s="69">
        <v>1106102</v>
      </c>
      <c r="G43" s="69">
        <v>1278734</v>
      </c>
      <c r="H43" s="69">
        <v>1331683</v>
      </c>
      <c r="I43" s="69">
        <v>751949</v>
      </c>
      <c r="J43" s="69">
        <v>1506164</v>
      </c>
      <c r="K43" s="69">
        <v>1622840</v>
      </c>
      <c r="L43" s="66">
        <f t="shared" si="42"/>
        <v>7.9682607008266945E-2</v>
      </c>
      <c r="M43" s="32" t="str">
        <f t="shared" si="5"/>
        <v>Acounts Payable, Affiliates</v>
      </c>
      <c r="N43" s="66">
        <f t="shared" si="43"/>
        <v>2.503383641562016E-2</v>
      </c>
      <c r="O43" s="66">
        <f t="shared" si="44"/>
        <v>2.7122930899156152E-2</v>
      </c>
      <c r="P43" s="66">
        <f t="shared" si="45"/>
        <v>2.6414978104401726E-2</v>
      </c>
      <c r="Q43" s="66">
        <f t="shared" si="46"/>
        <v>2.6308674263732575E-2</v>
      </c>
      <c r="R43" s="66">
        <f t="shared" si="47"/>
        <v>2.5335135061839514E-2</v>
      </c>
      <c r="S43" s="66">
        <f t="shared" si="48"/>
        <v>3.1218450812569985E-2</v>
      </c>
      <c r="T43" s="66">
        <f t="shared" si="49"/>
        <v>3.2467077629000744E-2</v>
      </c>
      <c r="U43" s="66">
        <f t="shared" si="50"/>
        <v>1.8289835031525106E-2</v>
      </c>
      <c r="V43" s="66">
        <f t="shared" si="51"/>
        <v>3.2729502105270911E-2</v>
      </c>
      <c r="W43" s="66">
        <f t="shared" si="52"/>
        <v>3.335456068185335E-2</v>
      </c>
      <c r="X43" s="66">
        <f t="shared" si="53"/>
        <v>2.8008000128041256E-2</v>
      </c>
    </row>
    <row r="44" spans="1:24" x14ac:dyDescent="0.2">
      <c r="A44" s="80" t="s">
        <v>142</v>
      </c>
      <c r="B44" s="69">
        <v>99424</v>
      </c>
      <c r="C44" s="69">
        <v>109814</v>
      </c>
      <c r="D44" s="69">
        <v>274220</v>
      </c>
      <c r="E44" s="69">
        <v>394865</v>
      </c>
      <c r="F44" s="69">
        <v>420661</v>
      </c>
      <c r="G44" s="69">
        <v>333097</v>
      </c>
      <c r="H44" s="69">
        <v>469552</v>
      </c>
      <c r="I44" s="69">
        <v>445604</v>
      </c>
      <c r="J44" s="69">
        <v>498862</v>
      </c>
      <c r="K44" s="69">
        <v>453053</v>
      </c>
      <c r="L44" s="66">
        <f t="shared" si="42"/>
        <v>1.4946971756615428E-2</v>
      </c>
      <c r="M44" s="32" t="str">
        <f t="shared" si="5"/>
        <v>Customer Deposits</v>
      </c>
      <c r="N44" s="66">
        <f t="shared" si="43"/>
        <v>2.5730142347799405E-3</v>
      </c>
      <c r="O44" s="66">
        <f t="shared" si="44"/>
        <v>2.8438822735188346E-3</v>
      </c>
      <c r="P44" s="66">
        <f t="shared" si="45"/>
        <v>6.9064725298593737E-3</v>
      </c>
      <c r="Q44" s="66">
        <f t="shared" si="46"/>
        <v>9.7304776109192886E-3</v>
      </c>
      <c r="R44" s="66">
        <f t="shared" si="47"/>
        <v>9.6351902900894057E-3</v>
      </c>
      <c r="S44" s="66">
        <f t="shared" si="48"/>
        <v>8.132084006771248E-3</v>
      </c>
      <c r="T44" s="66">
        <f t="shared" si="49"/>
        <v>1.1447905571260245E-2</v>
      </c>
      <c r="U44" s="66">
        <f t="shared" si="50"/>
        <v>1.0838532466148253E-2</v>
      </c>
      <c r="V44" s="66">
        <f t="shared" si="51"/>
        <v>1.0840456204795531E-2</v>
      </c>
      <c r="W44" s="66">
        <f t="shared" si="52"/>
        <v>9.3116904812524364E-3</v>
      </c>
      <c r="X44" s="66">
        <f t="shared" si="53"/>
        <v>1.0178833707812937E-2</v>
      </c>
    </row>
    <row r="45" spans="1:24" x14ac:dyDescent="0.2">
      <c r="A45" s="32" t="s">
        <v>106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6"/>
      <c r="M45" s="32" t="str">
        <f t="shared" si="5"/>
        <v>Rate-Refund Obligation</v>
      </c>
      <c r="N45" s="66">
        <f t="shared" si="43"/>
        <v>0</v>
      </c>
      <c r="O45" s="66">
        <f t="shared" si="44"/>
        <v>0</v>
      </c>
      <c r="P45" s="66">
        <f t="shared" si="45"/>
        <v>0</v>
      </c>
      <c r="Q45" s="66">
        <f t="shared" si="46"/>
        <v>0</v>
      </c>
      <c r="R45" s="66">
        <f t="shared" si="47"/>
        <v>0</v>
      </c>
      <c r="S45" s="66">
        <f t="shared" si="48"/>
        <v>0</v>
      </c>
      <c r="T45" s="66">
        <f t="shared" si="49"/>
        <v>0</v>
      </c>
      <c r="U45" s="66">
        <f t="shared" si="50"/>
        <v>0</v>
      </c>
      <c r="V45" s="66">
        <f t="shared" si="51"/>
        <v>0</v>
      </c>
      <c r="W45" s="66">
        <f t="shared" si="52"/>
        <v>0</v>
      </c>
      <c r="X45" s="66">
        <f t="shared" si="53"/>
        <v>0</v>
      </c>
    </row>
    <row r="46" spans="1:24" x14ac:dyDescent="0.2">
      <c r="A46" s="32" t="s">
        <v>186</v>
      </c>
      <c r="B46" s="69"/>
      <c r="C46" s="69"/>
      <c r="D46" s="69"/>
      <c r="E46" s="69">
        <v>373993</v>
      </c>
      <c r="F46" s="69">
        <v>414909</v>
      </c>
      <c r="G46" s="69">
        <v>425347</v>
      </c>
      <c r="H46" s="69">
        <v>470364</v>
      </c>
      <c r="I46" s="69">
        <v>517572</v>
      </c>
      <c r="J46" s="69">
        <v>526734</v>
      </c>
      <c r="K46" s="69">
        <v>574126</v>
      </c>
      <c r="L46" s="66">
        <f t="shared" ref="L46:L48" si="54">RATE(5,,-F46,K46)</f>
        <v>6.7114133223987474E-2</v>
      </c>
      <c r="M46" s="32" t="str">
        <f t="shared" si="5"/>
        <v>Accrued Compensated Absences</v>
      </c>
      <c r="N46" s="66">
        <f t="shared" si="43"/>
        <v>0</v>
      </c>
      <c r="O46" s="66">
        <f t="shared" si="44"/>
        <v>0</v>
      </c>
      <c r="P46" s="66">
        <f t="shared" si="45"/>
        <v>0</v>
      </c>
      <c r="Q46" s="66">
        <f t="shared" si="46"/>
        <v>9.2161384603359053E-3</v>
      </c>
      <c r="R46" s="66">
        <f t="shared" si="47"/>
        <v>9.5034414126118315E-3</v>
      </c>
      <c r="S46" s="66">
        <f t="shared" si="48"/>
        <v>1.0384235030721171E-2</v>
      </c>
      <c r="T46" s="66">
        <f t="shared" si="49"/>
        <v>1.1467702525216065E-2</v>
      </c>
      <c r="U46" s="66">
        <f t="shared" si="50"/>
        <v>1.2589027310278373E-2</v>
      </c>
      <c r="V46" s="66">
        <f t="shared" si="51"/>
        <v>1.1446125097876306E-2</v>
      </c>
      <c r="W46" s="66">
        <f t="shared" si="52"/>
        <v>1.1800128482185387E-2</v>
      </c>
      <c r="X46" s="66">
        <f t="shared" si="53"/>
        <v>1.1078106275340749E-2</v>
      </c>
    </row>
    <row r="47" spans="1:24" x14ac:dyDescent="0.2">
      <c r="A47" s="32" t="s">
        <v>84</v>
      </c>
      <c r="B47" s="69">
        <v>391433</v>
      </c>
      <c r="C47" s="75">
        <v>409396</v>
      </c>
      <c r="D47" s="76">
        <v>569459</v>
      </c>
      <c r="E47" s="76">
        <f>174547</f>
        <v>174547</v>
      </c>
      <c r="F47" s="75">
        <v>237969</v>
      </c>
      <c r="G47" s="75">
        <v>204445</v>
      </c>
      <c r="H47" s="75">
        <v>66838</v>
      </c>
      <c r="I47" s="75">
        <v>162713</v>
      </c>
      <c r="J47" s="75">
        <v>95104</v>
      </c>
      <c r="K47" s="75">
        <v>112457</v>
      </c>
      <c r="L47" s="68">
        <f t="shared" si="54"/>
        <v>-0.13921791114325205</v>
      </c>
      <c r="M47" s="32" t="str">
        <f t="shared" si="5"/>
        <v xml:space="preserve">Other </v>
      </c>
      <c r="N47" s="66">
        <f t="shared" si="43"/>
        <v>1.0129975468323709E-2</v>
      </c>
      <c r="O47" s="66">
        <f t="shared" si="44"/>
        <v>1.0602236757148603E-2</v>
      </c>
      <c r="P47" s="66">
        <f t="shared" si="45"/>
        <v>1.4342327111010099E-2</v>
      </c>
      <c r="Q47" s="66">
        <f t="shared" si="46"/>
        <v>4.3012818952126147E-3</v>
      </c>
      <c r="R47" s="66">
        <f t="shared" si="47"/>
        <v>5.4506517080078398E-3</v>
      </c>
      <c r="S47" s="66">
        <f t="shared" si="48"/>
        <v>4.9912305267364992E-3</v>
      </c>
      <c r="T47" s="66">
        <f t="shared" si="49"/>
        <v>1.6295428676097478E-3</v>
      </c>
      <c r="U47" s="66">
        <f t="shared" si="50"/>
        <v>3.9577071416871954E-3</v>
      </c>
      <c r="V47" s="66">
        <f t="shared" si="51"/>
        <v>2.066645178227394E-3</v>
      </c>
      <c r="W47" s="66">
        <f t="shared" si="52"/>
        <v>2.3113516000340031E-3</v>
      </c>
      <c r="X47" s="66">
        <f t="shared" si="53"/>
        <v>3.6191554844537351E-3</v>
      </c>
    </row>
    <row r="48" spans="1:24" x14ac:dyDescent="0.2">
      <c r="A48" s="32" t="s">
        <v>53</v>
      </c>
      <c r="B48" s="74">
        <f>SUM(B40:B47)</f>
        <v>2596915</v>
      </c>
      <c r="C48" s="74">
        <f>SUM(C40:C47)</f>
        <v>2852625</v>
      </c>
      <c r="D48" s="75">
        <f>SUM(D40:D47)</f>
        <v>3154667</v>
      </c>
      <c r="E48" s="75">
        <f>SUM(E40:E47)</f>
        <v>3369987</v>
      </c>
      <c r="F48" s="74">
        <f>SUM(F40:F47)</f>
        <v>4101404</v>
      </c>
      <c r="G48" s="74">
        <f t="shared" ref="G48:K48" si="55">SUM(G40:G47)</f>
        <v>3757237</v>
      </c>
      <c r="H48" s="74">
        <f t="shared" si="55"/>
        <v>3910998</v>
      </c>
      <c r="I48" s="74">
        <f t="shared" si="55"/>
        <v>3345512</v>
      </c>
      <c r="J48" s="74">
        <f t="shared" si="55"/>
        <v>5153922</v>
      </c>
      <c r="K48" s="74">
        <f t="shared" si="55"/>
        <v>4797773</v>
      </c>
      <c r="L48" s="66">
        <f t="shared" si="54"/>
        <v>3.1861548429275029E-2</v>
      </c>
      <c r="M48" s="32" t="str">
        <f t="shared" si="5"/>
        <v>Total Current Liabilities</v>
      </c>
      <c r="N48" s="66">
        <f t="shared" si="43"/>
        <v>6.7206099749693729E-2</v>
      </c>
      <c r="O48" s="66">
        <f t="shared" si="44"/>
        <v>7.3875185955312297E-2</v>
      </c>
      <c r="P48" s="66">
        <f t="shared" si="45"/>
        <v>7.9453070441083365E-2</v>
      </c>
      <c r="Q48" s="66">
        <f t="shared" si="46"/>
        <v>8.3045048440831826E-2</v>
      </c>
      <c r="R48" s="66">
        <f t="shared" si="47"/>
        <v>9.3942171954457032E-2</v>
      </c>
      <c r="S48" s="66">
        <f t="shared" si="48"/>
        <v>9.1727535574770064E-2</v>
      </c>
      <c r="T48" s="66">
        <f t="shared" si="49"/>
        <v>9.5352028728208332E-2</v>
      </c>
      <c r="U48" s="66">
        <f t="shared" si="50"/>
        <v>8.1373687013331517E-2</v>
      </c>
      <c r="V48" s="66">
        <f t="shared" si="51"/>
        <v>0.11199663579092455</v>
      </c>
      <c r="W48" s="66">
        <f t="shared" si="52"/>
        <v>9.8609604561298456E-2</v>
      </c>
      <c r="X48" s="66">
        <f t="shared" si="53"/>
        <v>9.4878411812338304E-2</v>
      </c>
    </row>
    <row r="49" spans="1:24" x14ac:dyDescent="0.2">
      <c r="A49" s="32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x14ac:dyDescent="0.2">
      <c r="A50" s="32" t="s">
        <v>79</v>
      </c>
      <c r="B50" s="69">
        <v>16838951</v>
      </c>
      <c r="C50" s="69">
        <v>15823854</v>
      </c>
      <c r="D50" s="69">
        <v>14771247</v>
      </c>
      <c r="E50" s="69">
        <v>13787758</v>
      </c>
      <c r="F50" s="69">
        <v>14026486</v>
      </c>
      <c r="G50" s="69">
        <v>12915594</v>
      </c>
      <c r="H50" s="69">
        <v>12022751</v>
      </c>
      <c r="I50" s="69">
        <v>10974126</v>
      </c>
      <c r="J50" s="69">
        <v>11873983</v>
      </c>
      <c r="K50" s="69">
        <v>14631788</v>
      </c>
      <c r="L50" s="66">
        <f>RATE(5,,-F50,K50)</f>
        <v>8.4856049110962825E-3</v>
      </c>
      <c r="M50" s="32" t="str">
        <f t="shared" si="5"/>
        <v>Long-Term Debt</v>
      </c>
      <c r="N50" s="66">
        <f t="shared" ref="N50" si="56">+B50/B$38</f>
        <v>0.4357786914805471</v>
      </c>
      <c r="O50" s="66">
        <f t="shared" ref="O50" si="57">+C50/C$38</f>
        <v>0.40979454249321673</v>
      </c>
      <c r="P50" s="66">
        <f t="shared" ref="P50" si="58">+D50/D$38</f>
        <v>0.37202688220139923</v>
      </c>
      <c r="Q50" s="66">
        <f t="shared" ref="Q50" si="59">+E50/E$38</f>
        <v>0.3397654148222134</v>
      </c>
      <c r="R50" s="66">
        <f t="shared" ref="R50" si="60">+F50/F$38</f>
        <v>0.32127499747130112</v>
      </c>
      <c r="S50" s="66">
        <f t="shared" ref="S50" si="61">+G50/G$38</f>
        <v>0.31531564500836301</v>
      </c>
      <c r="T50" s="66">
        <f t="shared" ref="T50" si="62">+H50/H$38</f>
        <v>0.29312050242523657</v>
      </c>
      <c r="U50" s="66">
        <f t="shared" ref="U50" si="63">+I50/I$38</f>
        <v>0.26692628643055644</v>
      </c>
      <c r="V50" s="66">
        <f t="shared" ref="V50" si="64">+J50/J$38</f>
        <v>0.25802605267185447</v>
      </c>
      <c r="W50" s="66">
        <f t="shared" ref="W50" si="65">+K50/K$38</f>
        <v>0.30073011555668683</v>
      </c>
      <c r="X50" s="66">
        <f>AVERAGE(R50:V50)</f>
        <v>0.29093269680146233</v>
      </c>
    </row>
    <row r="51" spans="1:24" x14ac:dyDescent="0.2">
      <c r="A51" s="32" t="s">
        <v>13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6"/>
      <c r="M51" s="32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32"/>
    </row>
    <row r="52" spans="1:24" x14ac:dyDescent="0.2">
      <c r="A52" s="32" t="s">
        <v>80</v>
      </c>
      <c r="B52" s="69">
        <v>2250454</v>
      </c>
      <c r="C52" s="75">
        <v>2202194</v>
      </c>
      <c r="D52" s="76">
        <v>2605153</v>
      </c>
      <c r="E52" s="76">
        <v>2035143</v>
      </c>
      <c r="F52" s="75">
        <v>2473229</v>
      </c>
      <c r="G52" s="75">
        <v>1818507</v>
      </c>
      <c r="H52" s="75">
        <v>1571093</v>
      </c>
      <c r="I52" s="75">
        <v>1491986</v>
      </c>
      <c r="J52" s="75">
        <v>1369726</v>
      </c>
      <c r="K52" s="75">
        <v>1306049</v>
      </c>
      <c r="L52" s="68">
        <f t="shared" ref="L52:L53" si="66">RATE(5,,-F52,K52)</f>
        <v>-0.1198857998289669</v>
      </c>
      <c r="M52" s="32" t="str">
        <f>+A52</f>
        <v>Other Deferred Credits</v>
      </c>
      <c r="N52" s="66">
        <f t="shared" ref="N52:N53" si="67">+B52/B$38</f>
        <v>5.8239963959581753E-2</v>
      </c>
      <c r="O52" s="66">
        <f t="shared" ref="O52:O53" si="68">+C52/C$38</f>
        <v>5.7030801896384216E-2</v>
      </c>
      <c r="P52" s="66">
        <f t="shared" ref="P52:P53" si="69">+D52/D$38</f>
        <v>6.5613075744222663E-2</v>
      </c>
      <c r="Q52" s="66">
        <f t="shared" ref="Q52:Q53" si="70">+E52/E$38</f>
        <v>5.015109821462807E-2</v>
      </c>
      <c r="R52" s="66">
        <f t="shared" ref="R52:R53" si="71">+F52/F$38</f>
        <v>5.6649016775901576E-2</v>
      </c>
      <c r="S52" s="66">
        <f t="shared" ref="S52:S53" si="72">+G52/G$38</f>
        <v>4.4396232001193532E-2</v>
      </c>
      <c r="T52" s="66">
        <f t="shared" ref="T52:T53" si="73">+H52/H$38</f>
        <v>3.8304009582895975E-2</v>
      </c>
      <c r="U52" s="66">
        <f t="shared" ref="U52:U53" si="74">+I52/I$38</f>
        <v>3.62899316434293E-2</v>
      </c>
      <c r="V52" s="66">
        <f t="shared" ref="V52:V53" si="75">+J52/J$38</f>
        <v>2.9764653783149981E-2</v>
      </c>
      <c r="W52" s="66">
        <f t="shared" ref="W52:W53" si="76">+K52/K$38</f>
        <v>2.684349080868963E-2</v>
      </c>
      <c r="X52" s="66">
        <f t="shared" ref="X52:X53" si="77">AVERAGE(R52:V52)</f>
        <v>4.1080768757314076E-2</v>
      </c>
    </row>
    <row r="53" spans="1:24" x14ac:dyDescent="0.2">
      <c r="A53" s="81" t="s">
        <v>81</v>
      </c>
      <c r="B53" s="74">
        <f>SUM(B50:B52)</f>
        <v>19089405</v>
      </c>
      <c r="C53" s="74">
        <f>SUM(C50:C52)</f>
        <v>18026048</v>
      </c>
      <c r="D53" s="75">
        <f>SUM(D50:D52)</f>
        <v>17376400</v>
      </c>
      <c r="E53" s="75">
        <f>SUM(E50:E52)</f>
        <v>15822901</v>
      </c>
      <c r="F53" s="74">
        <f>SUM(F50:F52)</f>
        <v>16499715</v>
      </c>
      <c r="G53" s="74">
        <f t="shared" ref="G53:K53" si="78">SUM(G50:G52)</f>
        <v>14734101</v>
      </c>
      <c r="H53" s="74">
        <f t="shared" si="78"/>
        <v>13593844</v>
      </c>
      <c r="I53" s="74">
        <f t="shared" si="78"/>
        <v>12466112</v>
      </c>
      <c r="J53" s="74">
        <f t="shared" si="78"/>
        <v>13243709</v>
      </c>
      <c r="K53" s="74">
        <f t="shared" si="78"/>
        <v>15937837</v>
      </c>
      <c r="L53" s="66">
        <f t="shared" si="66"/>
        <v>-6.9054749199507232E-3</v>
      </c>
      <c r="M53" s="32" t="str">
        <f t="shared" ref="M53:M63" si="79">+A53</f>
        <v>Total LTD &amp; Deferrals</v>
      </c>
      <c r="N53" s="66">
        <f t="shared" si="67"/>
        <v>0.49401865544012885</v>
      </c>
      <c r="O53" s="66">
        <f t="shared" si="68"/>
        <v>0.46682534438960094</v>
      </c>
      <c r="P53" s="66">
        <f t="shared" si="69"/>
        <v>0.43763995794562188</v>
      </c>
      <c r="Q53" s="66">
        <f t="shared" si="70"/>
        <v>0.38991651303684149</v>
      </c>
      <c r="R53" s="66">
        <f t="shared" si="71"/>
        <v>0.37792401424720268</v>
      </c>
      <c r="S53" s="66">
        <f t="shared" si="72"/>
        <v>0.35971187700955654</v>
      </c>
      <c r="T53" s="66">
        <f t="shared" si="73"/>
        <v>0.33142451200813255</v>
      </c>
      <c r="U53" s="66">
        <f t="shared" si="74"/>
        <v>0.30321621807398574</v>
      </c>
      <c r="V53" s="66">
        <f t="shared" si="75"/>
        <v>0.28779070645500443</v>
      </c>
      <c r="W53" s="66">
        <f t="shared" si="76"/>
        <v>0.32757360636537641</v>
      </c>
      <c r="X53" s="66">
        <f t="shared" si="77"/>
        <v>0.33201346555877642</v>
      </c>
    </row>
    <row r="54" spans="1:24" ht="7.5" customHeight="1" x14ac:dyDescent="0.2">
      <c r="A54" s="81"/>
      <c r="B54" s="69"/>
      <c r="C54" s="75"/>
      <c r="D54" s="75"/>
      <c r="E54" s="75"/>
      <c r="F54" s="75"/>
      <c r="G54" s="75"/>
      <c r="H54" s="75"/>
      <c r="I54" s="75"/>
      <c r="J54" s="75"/>
      <c r="K54" s="75"/>
      <c r="L54" s="6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2">
      <c r="A55" s="32" t="s">
        <v>54</v>
      </c>
      <c r="B55" s="69">
        <f>B53+B48</f>
        <v>21686320</v>
      </c>
      <c r="C55" s="69">
        <f>C53+C48</f>
        <v>20878673</v>
      </c>
      <c r="D55" s="69">
        <f>D53+D48</f>
        <v>20531067</v>
      </c>
      <c r="E55" s="69">
        <f>E53+E48</f>
        <v>19192888</v>
      </c>
      <c r="F55" s="69">
        <f>F53+F48</f>
        <v>20601119</v>
      </c>
      <c r="G55" s="69">
        <f t="shared" ref="G55:K55" si="80">G53+G48</f>
        <v>18491338</v>
      </c>
      <c r="H55" s="69">
        <f t="shared" si="80"/>
        <v>17504842</v>
      </c>
      <c r="I55" s="69">
        <f t="shared" si="80"/>
        <v>15811624</v>
      </c>
      <c r="J55" s="69">
        <f t="shared" si="80"/>
        <v>18397631</v>
      </c>
      <c r="K55" s="69">
        <f t="shared" si="80"/>
        <v>20735610</v>
      </c>
      <c r="L55" s="66">
        <f>RATE(5,,-F55,K55)</f>
        <v>1.3022707018388294E-3</v>
      </c>
      <c r="M55" s="32" t="str">
        <f t="shared" si="79"/>
        <v>Total Liabilities</v>
      </c>
      <c r="N55" s="66">
        <f t="shared" ref="N55" si="81">+B55/B$38</f>
        <v>0.56122475518982251</v>
      </c>
      <c r="O55" s="66">
        <f t="shared" ref="O55" si="82">+C55/C$38</f>
        <v>0.54070053034491328</v>
      </c>
      <c r="P55" s="66">
        <f t="shared" ref="P55" si="83">+D55/D$38</f>
        <v>0.51709302838670523</v>
      </c>
      <c r="Q55" s="66">
        <f t="shared" ref="Q55" si="84">+E55/E$38</f>
        <v>0.47296156147767332</v>
      </c>
      <c r="R55" s="66">
        <f t="shared" ref="R55" si="85">+F55/F$38</f>
        <v>0.47186618620165971</v>
      </c>
      <c r="S55" s="66">
        <f t="shared" ref="S55" si="86">+G55/G$38</f>
        <v>0.45143941258432657</v>
      </c>
      <c r="T55" s="66">
        <f t="shared" ref="T55" si="87">+H55/H$38</f>
        <v>0.42677654073634086</v>
      </c>
      <c r="U55" s="66">
        <f t="shared" ref="U55" si="88">+I55/I$38</f>
        <v>0.38458990508731727</v>
      </c>
      <c r="V55" s="66">
        <f t="shared" ref="V55" si="89">+J55/J$38</f>
        <v>0.39978734224592899</v>
      </c>
      <c r="W55" s="66">
        <f t="shared" ref="W55" si="90">+K55/K$38</f>
        <v>0.42618321092667488</v>
      </c>
      <c r="X55" s="66">
        <f>AVERAGE(R55:V55)</f>
        <v>0.42689187737111461</v>
      </c>
    </row>
    <row r="56" spans="1:24" ht="7.5" hidden="1" customHeight="1" x14ac:dyDescent="0.2">
      <c r="A56" s="3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6"/>
      <c r="M56" s="32">
        <f t="shared" si="79"/>
        <v>0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idden="1" x14ac:dyDescent="0.2">
      <c r="A57" s="32" t="s">
        <v>82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6"/>
      <c r="M57" s="32" t="str">
        <f t="shared" si="79"/>
        <v>Preferred Stock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7.5" customHeight="1" x14ac:dyDescent="0.2">
      <c r="A58" s="32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6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2">
      <c r="A59" s="65" t="s">
        <v>85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6"/>
      <c r="M59" s="32" t="str">
        <f t="shared" si="79"/>
        <v>Common Equity:</v>
      </c>
      <c r="N59" s="66">
        <f t="shared" ref="N59:N63" si="91">+B59/B$38</f>
        <v>0</v>
      </c>
      <c r="O59" s="66">
        <f t="shared" ref="O59:O63" si="92">+C59/C$38</f>
        <v>0</v>
      </c>
      <c r="P59" s="66">
        <f t="shared" ref="P59:P63" si="93">+D59/D$38</f>
        <v>0</v>
      </c>
      <c r="Q59" s="66">
        <f t="shared" ref="Q59:Q63" si="94">+E59/E$38</f>
        <v>0</v>
      </c>
      <c r="R59" s="66">
        <f t="shared" ref="R59:R63" si="95">+F59/F$38</f>
        <v>0</v>
      </c>
      <c r="S59" s="66">
        <f t="shared" ref="S59:S63" si="96">+G59/G$38</f>
        <v>0</v>
      </c>
      <c r="T59" s="66">
        <f t="shared" ref="T59:T63" si="97">+H59/H$38</f>
        <v>0</v>
      </c>
      <c r="U59" s="66">
        <f t="shared" ref="U59:U63" si="98">+I59/I$38</f>
        <v>0</v>
      </c>
      <c r="V59" s="66">
        <f t="shared" ref="V59:V63" si="99">+J59/J$38</f>
        <v>0</v>
      </c>
      <c r="W59" s="66">
        <f t="shared" ref="W59:W63" si="100">+K59/K$38</f>
        <v>0</v>
      </c>
      <c r="X59" s="66">
        <f t="shared" ref="X59:X63" si="101">AVERAGE(R59:V59)</f>
        <v>0</v>
      </c>
    </row>
    <row r="60" spans="1:24" x14ac:dyDescent="0.2">
      <c r="A60" s="82" t="s">
        <v>127</v>
      </c>
      <c r="B60" s="69">
        <v>16954741</v>
      </c>
      <c r="C60" s="69">
        <v>17735443</v>
      </c>
      <c r="D60" s="69">
        <v>19173717</v>
      </c>
      <c r="E60" s="69">
        <v>21387340</v>
      </c>
      <c r="F60" s="69">
        <v>23057697</v>
      </c>
      <c r="G60" s="69">
        <v>22469503</v>
      </c>
      <c r="H60" s="69">
        <v>23511569</v>
      </c>
      <c r="I60" s="69">
        <v>25301322</v>
      </c>
      <c r="J60" s="69">
        <v>27620912</v>
      </c>
      <c r="K60" s="69">
        <v>27918606</v>
      </c>
      <c r="L60" s="66">
        <f>RATE(5,,-F60,K60)</f>
        <v>3.900003070172512E-2</v>
      </c>
      <c r="M60" s="32" t="str">
        <f t="shared" si="79"/>
        <v>Patrons Capital</v>
      </c>
      <c r="N60" s="66">
        <f t="shared" si="91"/>
        <v>0.43877524481017743</v>
      </c>
      <c r="O60" s="66">
        <f t="shared" si="92"/>
        <v>0.45929946965508678</v>
      </c>
      <c r="P60" s="66">
        <f t="shared" si="93"/>
        <v>0.48290697161329477</v>
      </c>
      <c r="Q60" s="66">
        <f t="shared" si="94"/>
        <v>0.52703843852232668</v>
      </c>
      <c r="R60" s="66">
        <f t="shared" si="95"/>
        <v>0.52813381379834035</v>
      </c>
      <c r="S60" s="66">
        <f t="shared" si="96"/>
        <v>0.54856058741567337</v>
      </c>
      <c r="T60" s="66">
        <f t="shared" si="97"/>
        <v>0.57322345926365914</v>
      </c>
      <c r="U60" s="66">
        <f t="shared" si="98"/>
        <v>0.61541009491268273</v>
      </c>
      <c r="V60" s="66">
        <f t="shared" si="99"/>
        <v>0.60021265775407096</v>
      </c>
      <c r="W60" s="66">
        <f t="shared" si="100"/>
        <v>0.57381678907332512</v>
      </c>
      <c r="X60" s="66">
        <f t="shared" si="101"/>
        <v>0.57310812262888544</v>
      </c>
    </row>
    <row r="61" spans="1:24" x14ac:dyDescent="0.2">
      <c r="A61" s="82" t="s">
        <v>41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32" t="str">
        <f t="shared" si="79"/>
        <v>Retained Earnings</v>
      </c>
      <c r="N61" s="66">
        <f t="shared" si="91"/>
        <v>0</v>
      </c>
      <c r="O61" s="66">
        <f t="shared" si="92"/>
        <v>0</v>
      </c>
      <c r="P61" s="66">
        <f t="shared" si="93"/>
        <v>0</v>
      </c>
      <c r="Q61" s="66">
        <f t="shared" si="94"/>
        <v>0</v>
      </c>
      <c r="R61" s="66">
        <f t="shared" si="95"/>
        <v>0</v>
      </c>
      <c r="S61" s="66">
        <f t="shared" si="96"/>
        <v>0</v>
      </c>
      <c r="T61" s="66">
        <f t="shared" si="97"/>
        <v>0</v>
      </c>
      <c r="U61" s="66">
        <f t="shared" si="98"/>
        <v>0</v>
      </c>
      <c r="V61" s="66">
        <f t="shared" si="99"/>
        <v>0</v>
      </c>
      <c r="W61" s="66">
        <f t="shared" si="100"/>
        <v>0</v>
      </c>
      <c r="X61" s="66">
        <f t="shared" si="101"/>
        <v>0</v>
      </c>
    </row>
    <row r="62" spans="1:24" x14ac:dyDescent="0.2">
      <c r="A62" s="32" t="s">
        <v>157</v>
      </c>
      <c r="B62" s="74">
        <f>SUM(B59:B61)</f>
        <v>16954741</v>
      </c>
      <c r="C62" s="74">
        <f>SUM(C59:C61)</f>
        <v>17735443</v>
      </c>
      <c r="D62" s="74">
        <f>SUM(D59:D61)</f>
        <v>19173717</v>
      </c>
      <c r="E62" s="74">
        <f>SUM(E59:E61)</f>
        <v>21387340</v>
      </c>
      <c r="F62" s="74">
        <f>SUM(F59:F61)</f>
        <v>23057697</v>
      </c>
      <c r="G62" s="74">
        <f t="shared" ref="G62:K62" si="102">SUM(G59:G61)</f>
        <v>22469503</v>
      </c>
      <c r="H62" s="74">
        <f t="shared" si="102"/>
        <v>23511569</v>
      </c>
      <c r="I62" s="74">
        <f t="shared" si="102"/>
        <v>25301322</v>
      </c>
      <c r="J62" s="74">
        <f t="shared" si="102"/>
        <v>27620912</v>
      </c>
      <c r="K62" s="74">
        <f t="shared" si="102"/>
        <v>27918606</v>
      </c>
      <c r="L62" s="141">
        <f t="shared" ref="L62:L63" si="103">RATE(5,,-F62,K62)</f>
        <v>3.900003070172512E-2</v>
      </c>
      <c r="M62" s="32" t="str">
        <f t="shared" si="79"/>
        <v>Total Patronage Equity</v>
      </c>
      <c r="N62" s="66">
        <f t="shared" si="91"/>
        <v>0.43877524481017743</v>
      </c>
      <c r="O62" s="66">
        <f t="shared" si="92"/>
        <v>0.45929946965508678</v>
      </c>
      <c r="P62" s="66">
        <f t="shared" si="93"/>
        <v>0.48290697161329477</v>
      </c>
      <c r="Q62" s="66">
        <f t="shared" si="94"/>
        <v>0.52703843852232668</v>
      </c>
      <c r="R62" s="66">
        <f t="shared" si="95"/>
        <v>0.52813381379834035</v>
      </c>
      <c r="S62" s="66">
        <f t="shared" si="96"/>
        <v>0.54856058741567337</v>
      </c>
      <c r="T62" s="66">
        <f t="shared" si="97"/>
        <v>0.57322345926365914</v>
      </c>
      <c r="U62" s="66">
        <f t="shared" si="98"/>
        <v>0.61541009491268273</v>
      </c>
      <c r="V62" s="66">
        <f t="shared" si="99"/>
        <v>0.60021265775407096</v>
      </c>
      <c r="W62" s="66">
        <f t="shared" si="100"/>
        <v>0.57381678907332512</v>
      </c>
      <c r="X62" s="66">
        <f t="shared" si="101"/>
        <v>0.57310812262888544</v>
      </c>
    </row>
    <row r="63" spans="1:24" ht="13.5" thickBot="1" x14ac:dyDescent="0.25">
      <c r="A63" s="32" t="s">
        <v>55</v>
      </c>
      <c r="B63" s="78">
        <f>B62+B55+B57</f>
        <v>38641061</v>
      </c>
      <c r="C63" s="78">
        <f>C62+C55+C57</f>
        <v>38614116</v>
      </c>
      <c r="D63" s="78">
        <f>D62+D55+D57</f>
        <v>39704784</v>
      </c>
      <c r="E63" s="78">
        <f>E62+E55+E57</f>
        <v>40580228</v>
      </c>
      <c r="F63" s="78">
        <f>F62+F55+F57</f>
        <v>43658816</v>
      </c>
      <c r="G63" s="78">
        <f t="shared" ref="G63:K63" si="104">G62+G55+G57</f>
        <v>40960841</v>
      </c>
      <c r="H63" s="78">
        <f t="shared" si="104"/>
        <v>41016411</v>
      </c>
      <c r="I63" s="78">
        <f t="shared" si="104"/>
        <v>41112946</v>
      </c>
      <c r="J63" s="78">
        <f t="shared" si="104"/>
        <v>46018543</v>
      </c>
      <c r="K63" s="78">
        <f t="shared" si="104"/>
        <v>48654216</v>
      </c>
      <c r="L63" s="143">
        <f t="shared" si="103"/>
        <v>2.1903072735726996E-2</v>
      </c>
      <c r="M63" s="32" t="str">
        <f t="shared" si="79"/>
        <v>Total Liabilities &amp; Equity</v>
      </c>
      <c r="N63" s="66">
        <f t="shared" si="91"/>
        <v>1</v>
      </c>
      <c r="O63" s="66">
        <f t="shared" si="92"/>
        <v>1</v>
      </c>
      <c r="P63" s="66">
        <f t="shared" si="93"/>
        <v>1</v>
      </c>
      <c r="Q63" s="66">
        <f t="shared" si="94"/>
        <v>1</v>
      </c>
      <c r="R63" s="66">
        <f t="shared" si="95"/>
        <v>1</v>
      </c>
      <c r="S63" s="66">
        <f t="shared" si="96"/>
        <v>1</v>
      </c>
      <c r="T63" s="66">
        <f t="shared" si="97"/>
        <v>1</v>
      </c>
      <c r="U63" s="66">
        <f t="shared" si="98"/>
        <v>1</v>
      </c>
      <c r="V63" s="66">
        <f t="shared" si="99"/>
        <v>1</v>
      </c>
      <c r="W63" s="66">
        <f t="shared" si="100"/>
        <v>1</v>
      </c>
      <c r="X63" s="66">
        <f t="shared" si="101"/>
        <v>1</v>
      </c>
    </row>
    <row r="64" spans="1:24" ht="13.5" thickTop="1" x14ac:dyDescent="0.2">
      <c r="A64" s="32"/>
      <c r="B64" s="69"/>
      <c r="C64" s="69"/>
      <c r="D64" s="69"/>
      <c r="E64" s="69"/>
      <c r="F64" s="69"/>
      <c r="G64" s="69"/>
      <c r="H64" s="69">
        <f>+H63-H38</f>
        <v>0</v>
      </c>
      <c r="I64" s="69">
        <f t="shared" ref="I64:K64" si="105">+I63-I38</f>
        <v>0</v>
      </c>
      <c r="J64" s="69">
        <f t="shared" si="105"/>
        <v>0</v>
      </c>
      <c r="K64" s="69">
        <f t="shared" si="105"/>
        <v>0</v>
      </c>
      <c r="L64" s="66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87" t="str">
        <f>+L1</f>
        <v>Exhibit 1</v>
      </c>
      <c r="M65" s="3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66"/>
    </row>
    <row r="66" spans="1:24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08" t="s">
        <v>259</v>
      </c>
      <c r="M66" s="32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3" t="s">
        <v>145</v>
      </c>
    </row>
    <row r="67" spans="1:24" ht="18" x14ac:dyDescent="0.25">
      <c r="A67" s="84" t="str">
        <f>A3</f>
        <v>Mt. Wheeler Power, Inc.</v>
      </c>
      <c r="B67" s="203"/>
      <c r="C67" s="203"/>
      <c r="D67" s="203"/>
      <c r="E67" s="203"/>
      <c r="F67" s="203"/>
      <c r="G67" s="203"/>
      <c r="H67" s="203"/>
      <c r="I67" s="203"/>
      <c r="J67" s="63"/>
      <c r="K67" s="63"/>
      <c r="L67" s="64"/>
      <c r="M67" s="84" t="str">
        <f>+A67</f>
        <v>Mt. Wheeler Power, Inc.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</row>
    <row r="68" spans="1:24" ht="18" x14ac:dyDescent="0.25">
      <c r="A68" s="85" t="s">
        <v>23</v>
      </c>
      <c r="B68" s="203"/>
      <c r="C68" s="203"/>
      <c r="D68" s="203"/>
      <c r="E68" s="203"/>
      <c r="F68" s="203"/>
      <c r="G68" s="203"/>
      <c r="H68" s="203"/>
      <c r="I68" s="203"/>
      <c r="J68" s="63"/>
      <c r="K68" s="63"/>
      <c r="L68" s="64"/>
      <c r="M68" s="85" t="s">
        <v>61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4"/>
    </row>
    <row r="69" spans="1:24" ht="18" x14ac:dyDescent="0.25">
      <c r="A69" s="92" t="str">
        <f>A5</f>
        <v>Years Ended December 31</v>
      </c>
      <c r="B69" s="203"/>
      <c r="C69" s="203"/>
      <c r="D69" s="203"/>
      <c r="E69" s="203"/>
      <c r="F69" s="203"/>
      <c r="G69" s="203"/>
      <c r="H69" s="203"/>
      <c r="I69" s="203"/>
      <c r="J69" s="63"/>
      <c r="K69" s="63"/>
      <c r="L69" s="64"/>
      <c r="M69" s="85" t="s">
        <v>23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4"/>
    </row>
    <row r="70" spans="1:24" ht="15.75" x14ac:dyDescent="0.25">
      <c r="A70" s="85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4"/>
      <c r="M70" s="85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4"/>
    </row>
    <row r="71" spans="1:24" x14ac:dyDescent="0.2">
      <c r="A71" s="32"/>
      <c r="B71" s="32"/>
      <c r="C71" s="32"/>
      <c r="D71" s="86"/>
      <c r="E71" s="86"/>
      <c r="F71" s="86"/>
      <c r="G71" s="86"/>
      <c r="H71" s="86"/>
      <c r="I71" s="86"/>
      <c r="J71" s="86"/>
      <c r="K71" s="86"/>
      <c r="L71" s="87" t="str">
        <f>+L7</f>
        <v>2008 to 2013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66"/>
    </row>
    <row r="72" spans="1:24" x14ac:dyDescent="0.2">
      <c r="A72" s="32"/>
      <c r="B72" s="32"/>
      <c r="C72" s="86"/>
      <c r="D72" s="86"/>
      <c r="E72" s="86"/>
      <c r="F72" s="86"/>
      <c r="G72" s="86"/>
      <c r="H72" s="86"/>
      <c r="I72" s="86"/>
      <c r="J72" s="86"/>
      <c r="K72" s="86"/>
      <c r="L72" s="87" t="s">
        <v>6</v>
      </c>
      <c r="M72" s="32"/>
      <c r="N72" s="32"/>
      <c r="O72" s="86"/>
      <c r="P72" s="86"/>
      <c r="Q72" s="86"/>
      <c r="R72" s="32"/>
      <c r="S72" s="32"/>
      <c r="T72" s="32"/>
      <c r="U72" s="32"/>
      <c r="V72" s="32"/>
      <c r="W72" s="32"/>
      <c r="X72" s="87" t="s">
        <v>202</v>
      </c>
    </row>
    <row r="73" spans="1:24" x14ac:dyDescent="0.2">
      <c r="A73" s="88" t="s">
        <v>1</v>
      </c>
      <c r="B73" s="60">
        <f>B9</f>
        <v>2004</v>
      </c>
      <c r="C73" s="93">
        <v>2005</v>
      </c>
      <c r="D73" s="93">
        <v>2006</v>
      </c>
      <c r="E73" s="94">
        <v>2007</v>
      </c>
      <c r="F73" s="89">
        <f>F9</f>
        <v>2008</v>
      </c>
      <c r="G73" s="89">
        <f t="shared" ref="G73:K73" si="106">G9</f>
        <v>2009</v>
      </c>
      <c r="H73" s="89">
        <f t="shared" si="106"/>
        <v>2010</v>
      </c>
      <c r="I73" s="89">
        <f t="shared" si="106"/>
        <v>2011</v>
      </c>
      <c r="J73" s="89">
        <f t="shared" si="106"/>
        <v>2012</v>
      </c>
      <c r="K73" s="89">
        <f t="shared" si="106"/>
        <v>2013</v>
      </c>
      <c r="L73" s="95" t="s">
        <v>36</v>
      </c>
      <c r="M73" s="88" t="s">
        <v>1</v>
      </c>
      <c r="N73" s="94">
        <f>+N9</f>
        <v>2004</v>
      </c>
      <c r="O73" s="94">
        <f t="shared" ref="O73:W73" si="107">+O9</f>
        <v>2005</v>
      </c>
      <c r="P73" s="94">
        <f t="shared" si="107"/>
        <v>2006</v>
      </c>
      <c r="Q73" s="94">
        <f t="shared" si="107"/>
        <v>2007</v>
      </c>
      <c r="R73" s="94">
        <f t="shared" si="107"/>
        <v>2008</v>
      </c>
      <c r="S73" s="94">
        <f t="shared" si="107"/>
        <v>2009</v>
      </c>
      <c r="T73" s="94">
        <f t="shared" si="107"/>
        <v>2010</v>
      </c>
      <c r="U73" s="94">
        <f t="shared" si="107"/>
        <v>2011</v>
      </c>
      <c r="V73" s="94">
        <f t="shared" si="107"/>
        <v>2012</v>
      </c>
      <c r="W73" s="94">
        <f t="shared" si="107"/>
        <v>2013</v>
      </c>
      <c r="X73" s="95" t="s">
        <v>5</v>
      </c>
    </row>
    <row r="74" spans="1:24" x14ac:dyDescent="0.2">
      <c r="A74" s="32" t="s">
        <v>34</v>
      </c>
      <c r="B74" s="32"/>
      <c r="C74" s="96"/>
      <c r="D74" s="96"/>
      <c r="E74" s="81"/>
      <c r="F74" s="81"/>
      <c r="G74" s="81"/>
      <c r="H74" s="81"/>
      <c r="I74" s="81"/>
      <c r="J74" s="81"/>
      <c r="K74" s="81"/>
      <c r="L74" s="66"/>
      <c r="M74" s="32" t="str">
        <f>+A74</f>
        <v>Operating Sales and Revenues: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x14ac:dyDescent="0.2">
      <c r="A75" s="32" t="s">
        <v>132</v>
      </c>
      <c r="B75" s="69">
        <v>16147151</v>
      </c>
      <c r="C75" s="69">
        <v>25638027</v>
      </c>
      <c r="D75" s="97">
        <v>27838576</v>
      </c>
      <c r="E75" s="97">
        <v>30362834</v>
      </c>
      <c r="F75" s="150">
        <v>30886607</v>
      </c>
      <c r="G75" s="150">
        <v>30280705</v>
      </c>
      <c r="H75" s="150">
        <v>31332690</v>
      </c>
      <c r="I75" s="150">
        <v>32120736</v>
      </c>
      <c r="J75" s="150">
        <v>33749508</v>
      </c>
      <c r="K75" s="150">
        <v>33962598</v>
      </c>
      <c r="L75" s="66">
        <f>RATE(5,,-F75,K75)</f>
        <v>1.9168847930989903E-2</v>
      </c>
      <c r="M75" s="32" t="str">
        <f>+A75</f>
        <v>Operating Revenues</v>
      </c>
      <c r="N75" s="123">
        <f>+B75/B$77</f>
        <v>1</v>
      </c>
      <c r="O75" s="123">
        <f t="shared" ref="O75:W75" si="108">+C75/C$77</f>
        <v>1</v>
      </c>
      <c r="P75" s="123">
        <f t="shared" si="108"/>
        <v>1</v>
      </c>
      <c r="Q75" s="123">
        <f t="shared" si="108"/>
        <v>1</v>
      </c>
      <c r="R75" s="123">
        <f t="shared" si="108"/>
        <v>1</v>
      </c>
      <c r="S75" s="123">
        <f t="shared" si="108"/>
        <v>1</v>
      </c>
      <c r="T75" s="123">
        <f t="shared" si="108"/>
        <v>1</v>
      </c>
      <c r="U75" s="123">
        <f t="shared" si="108"/>
        <v>1</v>
      </c>
      <c r="V75" s="123">
        <f t="shared" si="108"/>
        <v>1</v>
      </c>
      <c r="W75" s="123">
        <f t="shared" si="108"/>
        <v>1</v>
      </c>
      <c r="X75" s="66">
        <f t="shared" ref="X75" si="109">AVERAGE(R75:V75)</f>
        <v>1</v>
      </c>
    </row>
    <row r="76" spans="1:24" x14ac:dyDescent="0.2">
      <c r="A76" s="32"/>
      <c r="B76" s="98"/>
      <c r="C76" s="98"/>
      <c r="D76" s="97"/>
      <c r="E76" s="97"/>
      <c r="F76" s="150"/>
      <c r="G76" s="150"/>
      <c r="H76" s="150"/>
      <c r="I76" s="150"/>
      <c r="J76" s="150"/>
      <c r="K76" s="150"/>
      <c r="L76" s="68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x14ac:dyDescent="0.2">
      <c r="A77" s="32" t="s">
        <v>72</v>
      </c>
      <c r="B77" s="99">
        <f>SUM(B74:B76)</f>
        <v>16147151</v>
      </c>
      <c r="C77" s="99">
        <f>SUM(C74:C76)</f>
        <v>25638027</v>
      </c>
      <c r="D77" s="100">
        <f>SUM(D74:D76)</f>
        <v>27838576</v>
      </c>
      <c r="E77" s="100">
        <f>SUM(E74:E76)</f>
        <v>30362834</v>
      </c>
      <c r="F77" s="151">
        <f>SUM(F74:F76)</f>
        <v>30886607</v>
      </c>
      <c r="G77" s="151">
        <f t="shared" ref="G77:K77" si="110">SUM(G74:G76)</f>
        <v>30280705</v>
      </c>
      <c r="H77" s="151">
        <f t="shared" si="110"/>
        <v>31332690</v>
      </c>
      <c r="I77" s="151">
        <f t="shared" si="110"/>
        <v>32120736</v>
      </c>
      <c r="J77" s="151">
        <f t="shared" si="110"/>
        <v>33749508</v>
      </c>
      <c r="K77" s="151">
        <f t="shared" si="110"/>
        <v>33962598</v>
      </c>
      <c r="L77" s="66">
        <f>RATE(5,,-F77,K77)</f>
        <v>1.9168847930989903E-2</v>
      </c>
      <c r="M77" s="32" t="str">
        <f t="shared" ref="M77:M114" si="111">+A77</f>
        <v>Total Revenues</v>
      </c>
      <c r="N77" s="123">
        <f>+B77/B$77</f>
        <v>1</v>
      </c>
      <c r="O77" s="123">
        <f t="shared" ref="O77:W77" si="112">+C77/C$77</f>
        <v>1</v>
      </c>
      <c r="P77" s="123">
        <f t="shared" si="112"/>
        <v>1</v>
      </c>
      <c r="Q77" s="123">
        <f t="shared" si="112"/>
        <v>1</v>
      </c>
      <c r="R77" s="123">
        <f t="shared" si="112"/>
        <v>1</v>
      </c>
      <c r="S77" s="123">
        <f t="shared" si="112"/>
        <v>1</v>
      </c>
      <c r="T77" s="123">
        <f t="shared" si="112"/>
        <v>1</v>
      </c>
      <c r="U77" s="123">
        <f t="shared" si="112"/>
        <v>1</v>
      </c>
      <c r="V77" s="123">
        <f t="shared" si="112"/>
        <v>1</v>
      </c>
      <c r="W77" s="123">
        <f t="shared" si="112"/>
        <v>1</v>
      </c>
      <c r="X77" s="66">
        <f t="shared" ref="X77" si="113">AVERAGE(R77:V77)</f>
        <v>1</v>
      </c>
    </row>
    <row r="78" spans="1:24" x14ac:dyDescent="0.2">
      <c r="A78" s="32"/>
      <c r="B78" s="98"/>
      <c r="C78" s="98"/>
      <c r="D78" s="97"/>
      <c r="E78" s="97"/>
      <c r="F78" s="150"/>
      <c r="G78" s="150"/>
      <c r="H78" s="150"/>
      <c r="I78" s="150"/>
      <c r="J78" s="150"/>
      <c r="K78" s="150"/>
      <c r="L78" s="6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2">
      <c r="A79" s="32" t="s">
        <v>32</v>
      </c>
      <c r="B79" s="98"/>
      <c r="C79" s="98"/>
      <c r="D79" s="97"/>
      <c r="E79" s="97"/>
      <c r="F79" s="150"/>
      <c r="G79" s="150"/>
      <c r="H79" s="150"/>
      <c r="I79" s="150"/>
      <c r="J79" s="150"/>
      <c r="K79" s="150"/>
      <c r="L79" s="66"/>
      <c r="M79" s="32" t="str">
        <f t="shared" si="111"/>
        <v>Operating Expenses: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2">
      <c r="A80" s="101" t="s">
        <v>143</v>
      </c>
      <c r="B80" s="98">
        <v>8886138</v>
      </c>
      <c r="C80" s="98">
        <v>18346769</v>
      </c>
      <c r="D80" s="97">
        <v>20154806</v>
      </c>
      <c r="E80" s="97">
        <v>21693770</v>
      </c>
      <c r="F80" s="150">
        <v>21860352</v>
      </c>
      <c r="G80" s="150">
        <v>21054906</v>
      </c>
      <c r="H80" s="150">
        <v>22154775</v>
      </c>
      <c r="I80" s="150">
        <v>22214773</v>
      </c>
      <c r="J80" s="150">
        <f>22781862+0</f>
        <v>22781862</v>
      </c>
      <c r="K80" s="150">
        <f>25296082-0</f>
        <v>25296082</v>
      </c>
      <c r="L80" s="66">
        <f t="shared" ref="L80:L92" si="114">RATE(5,,-F80,K80)</f>
        <v>2.9625338869349753E-2</v>
      </c>
      <c r="M80" s="32" t="str">
        <f t="shared" si="111"/>
        <v>Cost of Purchased Power</v>
      </c>
      <c r="N80" s="123">
        <f t="shared" ref="N80:N92" si="115">+B80/B$77</f>
        <v>0.55032234479011188</v>
      </c>
      <c r="O80" s="123">
        <f t="shared" ref="O80:O92" si="116">+C80/C$77</f>
        <v>0.71560767917125601</v>
      </c>
      <c r="P80" s="123">
        <f t="shared" ref="P80:P92" si="117">+D80/D$77</f>
        <v>0.72398839653292613</v>
      </c>
      <c r="Q80" s="123">
        <f t="shared" ref="Q80:Q92" si="118">+E80/E$77</f>
        <v>0.71448435939807198</v>
      </c>
      <c r="R80" s="123">
        <f t="shared" ref="R80:R92" si="119">+F80/F$77</f>
        <v>0.70776152265608194</v>
      </c>
      <c r="S80" s="123">
        <f t="shared" ref="S80:S92" si="120">+G80/G$77</f>
        <v>0.69532416765065408</v>
      </c>
      <c r="T80" s="123">
        <f t="shared" ref="T80:T92" si="121">+H80/H$77</f>
        <v>0.70708180497748518</v>
      </c>
      <c r="U80" s="123">
        <f t="shared" ref="U80:U92" si="122">+I80/I$77</f>
        <v>0.69160224099472689</v>
      </c>
      <c r="V80" s="123">
        <f t="shared" ref="V80:V92" si="123">+J80/J$77</f>
        <v>0.67502797374112833</v>
      </c>
      <c r="W80" s="138">
        <f t="shared" ref="W80:W92" si="124">+K80/K$77</f>
        <v>0.74482175951321505</v>
      </c>
      <c r="X80" s="66">
        <f t="shared" ref="X80:X92" si="125">AVERAGE(R80:V80)</f>
        <v>0.69535954200401529</v>
      </c>
    </row>
    <row r="81" spans="1:24" x14ac:dyDescent="0.2">
      <c r="A81" s="101" t="s">
        <v>163</v>
      </c>
      <c r="B81" s="98">
        <v>1183574</v>
      </c>
      <c r="C81" s="102">
        <v>1234584</v>
      </c>
      <c r="D81" s="103">
        <v>1223666</v>
      </c>
      <c r="E81" s="103">
        <v>1237606</v>
      </c>
      <c r="F81" s="137">
        <v>1433914</v>
      </c>
      <c r="G81" s="137">
        <v>1507992</v>
      </c>
      <c r="H81" s="137">
        <v>1592729</v>
      </c>
      <c r="I81" s="137">
        <v>1723369</v>
      </c>
      <c r="J81" s="137">
        <v>1874958</v>
      </c>
      <c r="K81" s="137">
        <v>1846492</v>
      </c>
      <c r="L81" s="66">
        <f t="shared" si="114"/>
        <v>5.1876772346169504E-2</v>
      </c>
      <c r="M81" s="32" t="str">
        <f t="shared" si="111"/>
        <v>Administrative and General Expenses</v>
      </c>
      <c r="N81" s="123">
        <f t="shared" si="115"/>
        <v>7.3299246411952179E-2</v>
      </c>
      <c r="O81" s="123">
        <f t="shared" si="116"/>
        <v>4.8154407513495479E-2</v>
      </c>
      <c r="P81" s="123">
        <f t="shared" si="117"/>
        <v>4.3955768427235649E-2</v>
      </c>
      <c r="Q81" s="123">
        <f t="shared" si="118"/>
        <v>4.0760556145714201E-2</v>
      </c>
      <c r="R81" s="123">
        <f t="shared" si="119"/>
        <v>4.6425105871939897E-2</v>
      </c>
      <c r="S81" s="123">
        <f t="shared" si="120"/>
        <v>4.9800425716640347E-2</v>
      </c>
      <c r="T81" s="123">
        <f t="shared" si="121"/>
        <v>5.0832820290884699E-2</v>
      </c>
      <c r="U81" s="123">
        <f t="shared" si="122"/>
        <v>5.3652849050532345E-2</v>
      </c>
      <c r="V81" s="123">
        <f t="shared" si="123"/>
        <v>5.5555120981319192E-2</v>
      </c>
      <c r="W81" s="123">
        <f t="shared" si="124"/>
        <v>5.4368396669771848E-2</v>
      </c>
      <c r="X81" s="66">
        <f t="shared" si="125"/>
        <v>5.1253264382263297E-2</v>
      </c>
    </row>
    <row r="82" spans="1:24" x14ac:dyDescent="0.2">
      <c r="A82" s="104" t="s">
        <v>107</v>
      </c>
      <c r="B82" s="98">
        <v>1143767</v>
      </c>
      <c r="C82" s="97">
        <v>1265672</v>
      </c>
      <c r="D82" s="97">
        <v>1242189</v>
      </c>
      <c r="E82" s="97">
        <f>568349+803732</f>
        <v>1372081</v>
      </c>
      <c r="F82" s="150">
        <f>464182+861507</f>
        <v>1325689</v>
      </c>
      <c r="G82" s="150">
        <f>557599+991564</f>
        <v>1549163</v>
      </c>
      <c r="H82" s="150">
        <f>535838+1133939</f>
        <v>1669777</v>
      </c>
      <c r="I82" s="150">
        <f>515601+1280021</f>
        <v>1795622</v>
      </c>
      <c r="J82" s="150">
        <f>587533+1147344</f>
        <v>1734877</v>
      </c>
      <c r="K82" s="150">
        <f>524763+1387676</f>
        <v>1912439</v>
      </c>
      <c r="L82" s="66">
        <f t="shared" si="114"/>
        <v>7.6041912695277686E-2</v>
      </c>
      <c r="M82" s="32" t="str">
        <f t="shared" si="111"/>
        <v xml:space="preserve">   Operating and Maintenance</v>
      </c>
      <c r="N82" s="123">
        <f t="shared" si="115"/>
        <v>7.0833981796541073E-2</v>
      </c>
      <c r="O82" s="123">
        <f t="shared" si="116"/>
        <v>4.9366981320364475E-2</v>
      </c>
      <c r="P82" s="123">
        <f t="shared" si="117"/>
        <v>4.4621140104292689E-2</v>
      </c>
      <c r="Q82" s="123">
        <f t="shared" si="118"/>
        <v>4.5189490546238206E-2</v>
      </c>
      <c r="R82" s="123">
        <f t="shared" si="119"/>
        <v>4.2921159970727762E-2</v>
      </c>
      <c r="S82" s="123">
        <f t="shared" si="120"/>
        <v>5.1160070414476809E-2</v>
      </c>
      <c r="T82" s="123">
        <f t="shared" si="121"/>
        <v>5.3291849502867451E-2</v>
      </c>
      <c r="U82" s="123">
        <f t="shared" si="122"/>
        <v>5.5902268241923223E-2</v>
      </c>
      <c r="V82" s="123">
        <f t="shared" si="123"/>
        <v>5.1404512326520435E-2</v>
      </c>
      <c r="W82" s="123">
        <f t="shared" si="124"/>
        <v>5.6310150360110847E-2</v>
      </c>
      <c r="X82" s="66">
        <f t="shared" si="125"/>
        <v>5.0935972091303142E-2</v>
      </c>
    </row>
    <row r="83" spans="1:24" x14ac:dyDescent="0.2">
      <c r="A83" s="105" t="s">
        <v>66</v>
      </c>
      <c r="B83" s="98">
        <v>1507557</v>
      </c>
      <c r="C83" s="97">
        <v>1498753</v>
      </c>
      <c r="D83" s="97">
        <v>1483151</v>
      </c>
      <c r="E83" s="97">
        <v>1501362</v>
      </c>
      <c r="F83" s="150">
        <v>1564582</v>
      </c>
      <c r="G83" s="150">
        <v>1620807</v>
      </c>
      <c r="H83" s="150">
        <v>1659644</v>
      </c>
      <c r="I83" s="150">
        <v>1698755</v>
      </c>
      <c r="J83" s="150">
        <v>1719670</v>
      </c>
      <c r="K83" s="150">
        <v>1730622</v>
      </c>
      <c r="L83" s="66">
        <f t="shared" si="114"/>
        <v>2.0377275816758904E-2</v>
      </c>
      <c r="M83" s="32" t="str">
        <f t="shared" si="111"/>
        <v xml:space="preserve">   Depreciation and amortization</v>
      </c>
      <c r="N83" s="123">
        <f t="shared" si="115"/>
        <v>9.3363652820240547E-2</v>
      </c>
      <c r="O83" s="123">
        <f t="shared" si="116"/>
        <v>5.8458203511526065E-2</v>
      </c>
      <c r="P83" s="123">
        <f t="shared" si="117"/>
        <v>5.3276827090581069E-2</v>
      </c>
      <c r="Q83" s="123">
        <f t="shared" si="118"/>
        <v>4.9447360546120298E-2</v>
      </c>
      <c r="R83" s="123">
        <f t="shared" si="119"/>
        <v>5.0655677394412409E-2</v>
      </c>
      <c r="S83" s="123">
        <f t="shared" si="120"/>
        <v>5.3526065525885215E-2</v>
      </c>
      <c r="T83" s="123">
        <f t="shared" si="121"/>
        <v>5.2968449245819622E-2</v>
      </c>
      <c r="U83" s="123">
        <f t="shared" si="122"/>
        <v>5.2886552786337152E-2</v>
      </c>
      <c r="V83" s="123">
        <f t="shared" si="123"/>
        <v>5.0953927980224183E-2</v>
      </c>
      <c r="W83" s="123">
        <f t="shared" si="124"/>
        <v>5.095670242894846E-2</v>
      </c>
      <c r="X83" s="66">
        <f t="shared" si="125"/>
        <v>5.2198134586535716E-2</v>
      </c>
    </row>
    <row r="84" spans="1:24" x14ac:dyDescent="0.2">
      <c r="A84" s="104" t="s">
        <v>196</v>
      </c>
      <c r="B84" s="98">
        <v>1017111</v>
      </c>
      <c r="C84" s="98">
        <v>1092210</v>
      </c>
      <c r="D84" s="97">
        <v>1129819</v>
      </c>
      <c r="E84" s="97">
        <v>47216</v>
      </c>
      <c r="F84" s="150">
        <v>50601</v>
      </c>
      <c r="G84" s="150">
        <v>118321</v>
      </c>
      <c r="H84" s="150">
        <v>90435</v>
      </c>
      <c r="I84" s="150">
        <v>67464</v>
      </c>
      <c r="J84" s="150">
        <v>67379</v>
      </c>
      <c r="K84" s="150">
        <v>56233</v>
      </c>
      <c r="L84" s="66">
        <f t="shared" si="114"/>
        <v>2.1330804145164771E-2</v>
      </c>
      <c r="M84" s="32" t="str">
        <f t="shared" si="111"/>
        <v xml:space="preserve">   Sales Expense</v>
      </c>
      <c r="N84" s="123">
        <f t="shared" si="115"/>
        <v>6.2990121291365886E-2</v>
      </c>
      <c r="O84" s="123">
        <f t="shared" si="116"/>
        <v>4.2601172079271152E-2</v>
      </c>
      <c r="P84" s="123">
        <f t="shared" si="117"/>
        <v>4.0584654904762367E-2</v>
      </c>
      <c r="Q84" s="123">
        <f t="shared" si="118"/>
        <v>1.555059056740224E-3</v>
      </c>
      <c r="R84" s="123">
        <f t="shared" si="119"/>
        <v>1.6382828971793504E-3</v>
      </c>
      <c r="S84" s="123">
        <f t="shared" si="120"/>
        <v>3.9074717712153668E-3</v>
      </c>
      <c r="T84" s="123">
        <f t="shared" si="121"/>
        <v>2.8862826651653594E-3</v>
      </c>
      <c r="U84" s="123">
        <f t="shared" si="122"/>
        <v>2.1003254719941661E-3</v>
      </c>
      <c r="V84" s="123">
        <f t="shared" si="123"/>
        <v>1.996443918530605E-3</v>
      </c>
      <c r="W84" s="123">
        <f t="shared" si="124"/>
        <v>1.6557331685873972E-3</v>
      </c>
      <c r="X84" s="66">
        <f t="shared" si="125"/>
        <v>2.5057613448169697E-3</v>
      </c>
    </row>
    <row r="85" spans="1:24" x14ac:dyDescent="0.2">
      <c r="A85" s="106" t="s">
        <v>187</v>
      </c>
      <c r="B85" s="98"/>
      <c r="C85" s="98"/>
      <c r="D85" s="97"/>
      <c r="E85" s="97">
        <v>300703</v>
      </c>
      <c r="F85" s="150">
        <v>221895</v>
      </c>
      <c r="G85" s="150">
        <v>292614</v>
      </c>
      <c r="H85" s="150">
        <v>100371</v>
      </c>
      <c r="I85" s="150">
        <v>13430</v>
      </c>
      <c r="J85" s="150">
        <v>230733</v>
      </c>
      <c r="K85" s="150">
        <v>250065</v>
      </c>
      <c r="L85" s="66">
        <f t="shared" si="114"/>
        <v>2.4191291638097485E-2</v>
      </c>
      <c r="M85" s="32" t="str">
        <f t="shared" si="111"/>
        <v xml:space="preserve">   Transmission</v>
      </c>
      <c r="N85" s="123">
        <f t="shared" si="115"/>
        <v>0</v>
      </c>
      <c r="O85" s="123">
        <f t="shared" si="116"/>
        <v>0</v>
      </c>
      <c r="P85" s="123">
        <f t="shared" si="117"/>
        <v>0</v>
      </c>
      <c r="Q85" s="123">
        <f t="shared" si="118"/>
        <v>9.9036539211063111E-3</v>
      </c>
      <c r="R85" s="123">
        <f t="shared" si="119"/>
        <v>7.1841818041068735E-3</v>
      </c>
      <c r="S85" s="123">
        <f t="shared" si="120"/>
        <v>9.6633813512598202E-3</v>
      </c>
      <c r="T85" s="123">
        <f t="shared" si="121"/>
        <v>3.2033955590790321E-3</v>
      </c>
      <c r="U85" s="123">
        <f t="shared" si="122"/>
        <v>4.1810997107911849E-4</v>
      </c>
      <c r="V85" s="123">
        <f t="shared" si="123"/>
        <v>6.8366329962499008E-3</v>
      </c>
      <c r="W85" s="123">
        <f t="shared" si="124"/>
        <v>7.362952622175724E-3</v>
      </c>
      <c r="X85" s="66">
        <f t="shared" si="125"/>
        <v>5.4611403363549488E-3</v>
      </c>
    </row>
    <row r="86" spans="1:24" x14ac:dyDescent="0.2">
      <c r="A86" s="106" t="s">
        <v>189</v>
      </c>
      <c r="B86" s="98"/>
      <c r="C86" s="98"/>
      <c r="D86" s="97"/>
      <c r="E86" s="97">
        <v>836291</v>
      </c>
      <c r="F86" s="150">
        <v>888936</v>
      </c>
      <c r="G86" s="150">
        <v>879005</v>
      </c>
      <c r="H86" s="150">
        <v>872843</v>
      </c>
      <c r="I86" s="150">
        <v>898240</v>
      </c>
      <c r="J86" s="150">
        <v>1012095</v>
      </c>
      <c r="K86" s="150">
        <v>1063531</v>
      </c>
      <c r="L86" s="66">
        <f t="shared" si="114"/>
        <v>3.6515812314078522E-2</v>
      </c>
      <c r="M86" s="32" t="str">
        <f t="shared" si="111"/>
        <v xml:space="preserve">   Consumer Accounts </v>
      </c>
      <c r="N86" s="123">
        <f t="shared" si="115"/>
        <v>0</v>
      </c>
      <c r="O86" s="123">
        <f t="shared" si="116"/>
        <v>0</v>
      </c>
      <c r="P86" s="123">
        <f t="shared" si="117"/>
        <v>0</v>
      </c>
      <c r="Q86" s="123">
        <f t="shared" si="118"/>
        <v>2.7543245798465323E-2</v>
      </c>
      <c r="R86" s="123">
        <f t="shared" si="119"/>
        <v>2.8780629740262503E-2</v>
      </c>
      <c r="S86" s="123">
        <f t="shared" si="120"/>
        <v>2.9028551349778678E-2</v>
      </c>
      <c r="T86" s="123">
        <f t="shared" si="121"/>
        <v>2.7857263452324074E-2</v>
      </c>
      <c r="U86" s="123">
        <f t="shared" si="122"/>
        <v>2.7964489979308071E-2</v>
      </c>
      <c r="V86" s="123">
        <f t="shared" si="123"/>
        <v>2.998843716477289E-2</v>
      </c>
      <c r="W86" s="123">
        <f t="shared" si="124"/>
        <v>3.1314771620239421E-2</v>
      </c>
      <c r="X86" s="66">
        <f t="shared" si="125"/>
        <v>2.8723874337289245E-2</v>
      </c>
    </row>
    <row r="87" spans="1:24" x14ac:dyDescent="0.2">
      <c r="A87" s="106" t="s">
        <v>188</v>
      </c>
      <c r="B87" s="98"/>
      <c r="C87" s="98"/>
      <c r="D87" s="97"/>
      <c r="E87" s="97">
        <v>80650</v>
      </c>
      <c r="F87" s="150">
        <v>59199</v>
      </c>
      <c r="G87" s="150">
        <v>57832</v>
      </c>
      <c r="H87" s="150">
        <v>84645</v>
      </c>
      <c r="I87" s="150">
        <v>91523</v>
      </c>
      <c r="J87" s="150">
        <v>85333</v>
      </c>
      <c r="K87" s="150">
        <v>86005</v>
      </c>
      <c r="L87" s="66">
        <f t="shared" si="114"/>
        <v>7.756100315321475E-2</v>
      </c>
      <c r="M87" s="32" t="str">
        <f t="shared" si="111"/>
        <v xml:space="preserve">    Customer Service &amp; Information</v>
      </c>
      <c r="N87" s="123">
        <f t="shared" si="115"/>
        <v>0</v>
      </c>
      <c r="O87" s="123">
        <f t="shared" si="116"/>
        <v>0</v>
      </c>
      <c r="P87" s="123">
        <f t="shared" si="117"/>
        <v>0</v>
      </c>
      <c r="Q87" s="123">
        <f t="shared" si="118"/>
        <v>2.6562079152426944E-3</v>
      </c>
      <c r="R87" s="123">
        <f t="shared" si="119"/>
        <v>1.9166559797260995E-3</v>
      </c>
      <c r="S87" s="123">
        <f t="shared" si="120"/>
        <v>1.9098630629636926E-3</v>
      </c>
      <c r="T87" s="123">
        <f t="shared" si="121"/>
        <v>2.7014916370091428E-3</v>
      </c>
      <c r="U87" s="123">
        <f t="shared" si="122"/>
        <v>2.8493431781886941E-3</v>
      </c>
      <c r="V87" s="123">
        <f t="shared" si="123"/>
        <v>2.5284220439598703E-3</v>
      </c>
      <c r="W87" s="123">
        <f t="shared" si="124"/>
        <v>2.5323445514975032E-3</v>
      </c>
      <c r="X87" s="66">
        <f t="shared" si="125"/>
        <v>2.3811551803695E-3</v>
      </c>
    </row>
    <row r="88" spans="1:24" x14ac:dyDescent="0.2">
      <c r="A88" s="106" t="s">
        <v>190</v>
      </c>
      <c r="B88" s="98"/>
      <c r="C88" s="98"/>
      <c r="D88" s="97"/>
      <c r="E88" s="97">
        <v>15589</v>
      </c>
      <c r="F88" s="150">
        <v>10867</v>
      </c>
      <c r="G88" s="150">
        <v>1541</v>
      </c>
      <c r="H88" s="150">
        <v>854</v>
      </c>
      <c r="I88" s="150">
        <v>799</v>
      </c>
      <c r="J88" s="150">
        <v>300</v>
      </c>
      <c r="K88" s="150">
        <v>251</v>
      </c>
      <c r="L88" s="66"/>
      <c r="M88" s="32" t="str">
        <f t="shared" si="111"/>
        <v xml:space="preserve">    Other Interest</v>
      </c>
      <c r="N88" s="123">
        <f t="shared" si="115"/>
        <v>0</v>
      </c>
      <c r="O88" s="123">
        <f t="shared" si="116"/>
        <v>0</v>
      </c>
      <c r="P88" s="123">
        <f t="shared" si="117"/>
        <v>0</v>
      </c>
      <c r="Q88" s="123">
        <f t="shared" si="118"/>
        <v>5.1342374694009131E-4</v>
      </c>
      <c r="R88" s="123">
        <f t="shared" si="119"/>
        <v>3.518353440376277E-4</v>
      </c>
      <c r="S88" s="123">
        <f t="shared" si="120"/>
        <v>5.0890492807218328E-5</v>
      </c>
      <c r="T88" s="123">
        <f t="shared" si="121"/>
        <v>2.725587876431931E-5</v>
      </c>
      <c r="U88" s="123">
        <f t="shared" si="122"/>
        <v>2.4874897013567807E-5</v>
      </c>
      <c r="V88" s="123">
        <f t="shared" si="123"/>
        <v>8.889018471024822E-6</v>
      </c>
      <c r="W88" s="123">
        <f t="shared" si="124"/>
        <v>7.3904829071085783E-6</v>
      </c>
      <c r="X88" s="66">
        <f t="shared" si="125"/>
        <v>9.2749126218751585E-5</v>
      </c>
    </row>
    <row r="89" spans="1:24" x14ac:dyDescent="0.2">
      <c r="A89" s="105" t="s">
        <v>67</v>
      </c>
      <c r="B89" s="98">
        <v>223082</v>
      </c>
      <c r="C89" s="98">
        <v>223865</v>
      </c>
      <c r="D89" s="97">
        <v>230491</v>
      </c>
      <c r="E89" s="97">
        <v>239953</v>
      </c>
      <c r="F89" s="153">
        <v>274708</v>
      </c>
      <c r="G89" s="153">
        <v>316628</v>
      </c>
      <c r="H89" s="153">
        <v>347079</v>
      </c>
      <c r="I89" s="153">
        <v>372714</v>
      </c>
      <c r="J89" s="153">
        <v>397414</v>
      </c>
      <c r="K89" s="153">
        <v>430958</v>
      </c>
      <c r="L89" s="68">
        <f t="shared" si="114"/>
        <v>9.4240356802151051E-2</v>
      </c>
      <c r="M89" s="32" t="str">
        <f t="shared" si="111"/>
        <v xml:space="preserve">   Taxes, other than income taxes</v>
      </c>
      <c r="N89" s="123">
        <f t="shared" si="115"/>
        <v>1.3815564120258738E-2</v>
      </c>
      <c r="O89" s="123">
        <f t="shared" si="116"/>
        <v>8.7317561526867888E-3</v>
      </c>
      <c r="P89" s="123">
        <f t="shared" si="117"/>
        <v>8.2795542415675279E-3</v>
      </c>
      <c r="Q89" s="123">
        <f t="shared" si="118"/>
        <v>7.9028525466364567E-3</v>
      </c>
      <c r="R89" s="123">
        <f t="shared" si="119"/>
        <v>8.8940815027043919E-3</v>
      </c>
      <c r="S89" s="123">
        <f t="shared" si="120"/>
        <v>1.0456427616199821E-2</v>
      </c>
      <c r="T89" s="123">
        <f t="shared" si="121"/>
        <v>1.1077216798174685E-2</v>
      </c>
      <c r="U89" s="123">
        <f t="shared" si="122"/>
        <v>1.1603532372359089E-2</v>
      </c>
      <c r="V89" s="123">
        <f t="shared" si="123"/>
        <v>1.1775401288812862E-2</v>
      </c>
      <c r="W89" s="123">
        <f t="shared" si="124"/>
        <v>1.2689194154110354E-2</v>
      </c>
      <c r="X89" s="66">
        <f t="shared" si="125"/>
        <v>1.0761331915650169E-2</v>
      </c>
    </row>
    <row r="90" spans="1:24" x14ac:dyDescent="0.2">
      <c r="A90" s="32" t="s">
        <v>57</v>
      </c>
      <c r="B90" s="99">
        <f>SUM(B79:B89)</f>
        <v>13961229</v>
      </c>
      <c r="C90" s="99">
        <f>SUM(C79:C89)</f>
        <v>23661853</v>
      </c>
      <c r="D90" s="100">
        <f>SUM(D79:D89)</f>
        <v>25464122</v>
      </c>
      <c r="E90" s="100">
        <f>SUM(E79:E89)</f>
        <v>27325221</v>
      </c>
      <c r="F90" s="150">
        <f>SUM(F79:F89)</f>
        <v>27690743</v>
      </c>
      <c r="G90" s="150">
        <f t="shared" ref="G90:K90" si="126">SUM(G79:G89)</f>
        <v>27398809</v>
      </c>
      <c r="H90" s="150">
        <f t="shared" si="126"/>
        <v>28573152</v>
      </c>
      <c r="I90" s="150">
        <f t="shared" si="126"/>
        <v>28876689</v>
      </c>
      <c r="J90" s="150">
        <f t="shared" si="126"/>
        <v>29904621</v>
      </c>
      <c r="K90" s="150">
        <f t="shared" si="126"/>
        <v>32672678</v>
      </c>
      <c r="L90" s="72">
        <f t="shared" si="114"/>
        <v>3.3641707352974878E-2</v>
      </c>
      <c r="M90" s="32" t="str">
        <f t="shared" si="111"/>
        <v>Total Operating Expenses</v>
      </c>
      <c r="N90" s="123">
        <f t="shared" si="115"/>
        <v>0.86462491123047036</v>
      </c>
      <c r="O90" s="123">
        <f t="shared" si="116"/>
        <v>0.92292019974859996</v>
      </c>
      <c r="P90" s="123">
        <f t="shared" si="117"/>
        <v>0.91470634130136541</v>
      </c>
      <c r="Q90" s="123">
        <f t="shared" si="118"/>
        <v>0.89995620962127576</v>
      </c>
      <c r="R90" s="123">
        <f t="shared" si="119"/>
        <v>0.89652913316117888</v>
      </c>
      <c r="S90" s="123">
        <f t="shared" si="120"/>
        <v>0.90482731495188107</v>
      </c>
      <c r="T90" s="123">
        <f t="shared" si="121"/>
        <v>0.9119278300075736</v>
      </c>
      <c r="U90" s="123">
        <f t="shared" si="122"/>
        <v>0.8990045869434623</v>
      </c>
      <c r="V90" s="123">
        <f t="shared" si="123"/>
        <v>0.88607576145998923</v>
      </c>
      <c r="W90" s="123">
        <f t="shared" si="124"/>
        <v>0.9620193955715638</v>
      </c>
      <c r="X90" s="66">
        <f t="shared" si="125"/>
        <v>0.89967292530481691</v>
      </c>
    </row>
    <row r="91" spans="1:24" x14ac:dyDescent="0.2">
      <c r="A91" s="32"/>
      <c r="B91" s="99"/>
      <c r="C91" s="99"/>
      <c r="D91" s="100"/>
      <c r="E91" s="100"/>
      <c r="F91" s="150"/>
      <c r="G91" s="150"/>
      <c r="H91" s="150"/>
      <c r="I91" s="150"/>
      <c r="J91" s="150"/>
      <c r="K91" s="150"/>
      <c r="L91" s="72"/>
      <c r="M91" s="32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66"/>
    </row>
    <row r="92" spans="1:24" x14ac:dyDescent="0.2">
      <c r="A92" s="32" t="s">
        <v>19</v>
      </c>
      <c r="B92" s="99">
        <f>B77-B90</f>
        <v>2185922</v>
      </c>
      <c r="C92" s="99">
        <f>C77-C90</f>
        <v>1976174</v>
      </c>
      <c r="D92" s="100">
        <f>D77-D90</f>
        <v>2374454</v>
      </c>
      <c r="E92" s="100">
        <f>E77-E90</f>
        <v>3037613</v>
      </c>
      <c r="F92" s="150">
        <f>F77-F90</f>
        <v>3195864</v>
      </c>
      <c r="G92" s="150">
        <f t="shared" ref="G92:K92" si="127">G77-G90</f>
        <v>2881896</v>
      </c>
      <c r="H92" s="150">
        <f t="shared" si="127"/>
        <v>2759538</v>
      </c>
      <c r="I92" s="150">
        <f t="shared" si="127"/>
        <v>3244047</v>
      </c>
      <c r="J92" s="150">
        <f t="shared" si="127"/>
        <v>3844887</v>
      </c>
      <c r="K92" s="150">
        <f t="shared" si="127"/>
        <v>1289920</v>
      </c>
      <c r="L92" s="66">
        <f t="shared" si="114"/>
        <v>-0.16594460216941914</v>
      </c>
      <c r="M92" s="32" t="str">
        <f t="shared" si="111"/>
        <v>Earnings From Operations</v>
      </c>
      <c r="N92" s="123">
        <f t="shared" si="115"/>
        <v>0.13537508876952969</v>
      </c>
      <c r="O92" s="123">
        <f t="shared" si="116"/>
        <v>7.7079800251400002E-2</v>
      </c>
      <c r="P92" s="123">
        <f t="shared" si="117"/>
        <v>8.5293658698634589E-2</v>
      </c>
      <c r="Q92" s="123">
        <f t="shared" si="118"/>
        <v>0.1000437903787242</v>
      </c>
      <c r="R92" s="123">
        <f t="shared" si="119"/>
        <v>0.1034708668388211</v>
      </c>
      <c r="S92" s="123">
        <f t="shared" si="120"/>
        <v>9.5172685048118932E-2</v>
      </c>
      <c r="T92" s="123">
        <f t="shared" si="121"/>
        <v>8.8072169992426438E-2</v>
      </c>
      <c r="U92" s="123">
        <f t="shared" si="122"/>
        <v>0.10099541305653768</v>
      </c>
      <c r="V92" s="123">
        <f t="shared" si="123"/>
        <v>0.11392423854001071</v>
      </c>
      <c r="W92" s="123">
        <f t="shared" si="124"/>
        <v>3.7980604428436246E-2</v>
      </c>
      <c r="X92" s="66">
        <f t="shared" si="125"/>
        <v>0.10032707469518298</v>
      </c>
    </row>
    <row r="93" spans="1:24" x14ac:dyDescent="0.2">
      <c r="A93" s="32"/>
      <c r="B93" s="98"/>
      <c r="C93" s="98"/>
      <c r="D93" s="97"/>
      <c r="E93" s="97"/>
      <c r="F93" s="150"/>
      <c r="G93" s="150"/>
      <c r="H93" s="150"/>
      <c r="I93" s="150"/>
      <c r="J93" s="150"/>
      <c r="K93" s="150"/>
      <c r="L93" s="66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x14ac:dyDescent="0.2">
      <c r="A94" s="105" t="s">
        <v>197</v>
      </c>
      <c r="B94" s="98">
        <v>846580</v>
      </c>
      <c r="C94" s="98">
        <v>972810</v>
      </c>
      <c r="D94" s="97">
        <v>951170</v>
      </c>
      <c r="E94" s="97">
        <v>1024659</v>
      </c>
      <c r="F94" s="150">
        <v>968785</v>
      </c>
      <c r="G94" s="150">
        <v>954191</v>
      </c>
      <c r="H94" s="150">
        <v>888338</v>
      </c>
      <c r="I94" s="150">
        <v>818897</v>
      </c>
      <c r="J94" s="150">
        <v>769007</v>
      </c>
      <c r="K94" s="150">
        <v>880511</v>
      </c>
      <c r="L94" s="66">
        <f>RATE(5,,-F94,K94)</f>
        <v>-1.8926655972456709E-2</v>
      </c>
      <c r="M94" s="32" t="str">
        <f t="shared" si="111"/>
        <v xml:space="preserve">   Interest on Lont-Term Debt</v>
      </c>
      <c r="N94" s="123">
        <f t="shared" ref="N94:N98" si="128">+B94/B$77</f>
        <v>5.242906318272493E-2</v>
      </c>
      <c r="O94" s="123">
        <f t="shared" ref="O94:O98" si="129">+C94/C$77</f>
        <v>3.7944027440177046E-2</v>
      </c>
      <c r="P94" s="123">
        <f t="shared" ref="P94:P98" si="130">+D94/D$77</f>
        <v>3.41673367200966E-2</v>
      </c>
      <c r="Q94" s="123">
        <f t="shared" ref="Q94:Q98" si="131">+E94/E$77</f>
        <v>3.3747146264409972E-2</v>
      </c>
      <c r="R94" s="123">
        <f t="shared" ref="R94:R98" si="132">+F94/F$77</f>
        <v>3.1365860290189854E-2</v>
      </c>
      <c r="S94" s="123">
        <f t="shared" ref="S94:S98" si="133">+G94/G$77</f>
        <v>3.1511518638684274E-2</v>
      </c>
      <c r="T94" s="123">
        <f t="shared" ref="T94:T98" si="134">+H94/H$77</f>
        <v>2.8351794882597058E-2</v>
      </c>
      <c r="U94" s="123">
        <f t="shared" ref="U94:U98" si="135">+I94/I$77</f>
        <v>2.549434110102583E-2</v>
      </c>
      <c r="V94" s="123">
        <f t="shared" ref="V94:V98" si="136">+J94/J$77</f>
        <v>2.2785724757824619E-2</v>
      </c>
      <c r="W94" s="123">
        <f t="shared" ref="W94:W98" si="137">+K94/K$77</f>
        <v>2.5925902370601918E-2</v>
      </c>
      <c r="X94" s="66">
        <f t="shared" ref="X94:X98" si="138">AVERAGE(R94:V94)</f>
        <v>2.7901847934064326E-2</v>
      </c>
    </row>
    <row r="95" spans="1:24" x14ac:dyDescent="0.2">
      <c r="A95" s="104" t="s">
        <v>113</v>
      </c>
      <c r="B95" s="98">
        <v>-254015</v>
      </c>
      <c r="C95" s="98">
        <v>-68272</v>
      </c>
      <c r="D95" s="97">
        <v>-98628</v>
      </c>
      <c r="E95" s="97"/>
      <c r="F95" s="150"/>
      <c r="G95" s="150"/>
      <c r="H95" s="150"/>
      <c r="I95" s="150"/>
      <c r="J95" s="150"/>
      <c r="K95" s="150"/>
      <c r="L95" s="66"/>
      <c r="M95" s="32" t="str">
        <f t="shared" si="111"/>
        <v xml:space="preserve">   Interest and Other Income</v>
      </c>
      <c r="N95" s="123">
        <f t="shared" si="128"/>
        <v>-1.573125810243553E-2</v>
      </c>
      <c r="O95" s="123">
        <f t="shared" si="129"/>
        <v>-2.6629194204374619E-3</v>
      </c>
      <c r="P95" s="123">
        <f t="shared" si="130"/>
        <v>-3.5428536287200898E-3</v>
      </c>
      <c r="Q95" s="123">
        <f t="shared" si="131"/>
        <v>0</v>
      </c>
      <c r="R95" s="123">
        <f t="shared" si="132"/>
        <v>0</v>
      </c>
      <c r="S95" s="123">
        <f t="shared" si="133"/>
        <v>0</v>
      </c>
      <c r="T95" s="123">
        <f t="shared" si="134"/>
        <v>0</v>
      </c>
      <c r="U95" s="123">
        <f t="shared" si="135"/>
        <v>0</v>
      </c>
      <c r="V95" s="123">
        <f t="shared" si="136"/>
        <v>0</v>
      </c>
      <c r="W95" s="123">
        <f t="shared" si="137"/>
        <v>0</v>
      </c>
      <c r="X95" s="66">
        <f t="shared" si="138"/>
        <v>0</v>
      </c>
    </row>
    <row r="96" spans="1:24" x14ac:dyDescent="0.2">
      <c r="A96" s="105" t="s">
        <v>73</v>
      </c>
      <c r="B96" s="98">
        <v>0</v>
      </c>
      <c r="C96" s="98"/>
      <c r="D96" s="97"/>
      <c r="E96" s="97"/>
      <c r="F96" s="150"/>
      <c r="G96" s="150">
        <v>591008</v>
      </c>
      <c r="H96" s="150">
        <v>-31493</v>
      </c>
      <c r="I96" s="150"/>
      <c r="J96" s="150">
        <v>-58814</v>
      </c>
      <c r="K96" s="150">
        <v>1262</v>
      </c>
      <c r="L96" s="66"/>
      <c r="M96" s="32" t="str">
        <f t="shared" si="111"/>
        <v xml:space="preserve">   Loss (Gain) on Sale of Assets</v>
      </c>
      <c r="N96" s="123">
        <f t="shared" si="128"/>
        <v>0</v>
      </c>
      <c r="O96" s="123">
        <f t="shared" si="129"/>
        <v>0</v>
      </c>
      <c r="P96" s="123">
        <f t="shared" si="130"/>
        <v>0</v>
      </c>
      <c r="Q96" s="123">
        <f t="shared" si="131"/>
        <v>0</v>
      </c>
      <c r="R96" s="123">
        <f t="shared" si="132"/>
        <v>0</v>
      </c>
      <c r="S96" s="123">
        <f t="shared" si="133"/>
        <v>1.9517643330959435E-2</v>
      </c>
      <c r="T96" s="123">
        <f t="shared" si="134"/>
        <v>-1.0051163816448571E-3</v>
      </c>
      <c r="U96" s="123">
        <f t="shared" si="135"/>
        <v>0</v>
      </c>
      <c r="V96" s="123">
        <f t="shared" si="136"/>
        <v>-1.7426624411828462E-3</v>
      </c>
      <c r="W96" s="123">
        <f t="shared" si="137"/>
        <v>3.7158523620601697E-5</v>
      </c>
      <c r="X96" s="66">
        <f t="shared" si="138"/>
        <v>3.3539729016263458E-3</v>
      </c>
    </row>
    <row r="97" spans="1:24" x14ac:dyDescent="0.2">
      <c r="A97" s="107" t="s">
        <v>144</v>
      </c>
      <c r="B97" s="98">
        <v>-23453</v>
      </c>
      <c r="C97" s="98">
        <v>40439</v>
      </c>
      <c r="D97" s="97">
        <v>32216</v>
      </c>
      <c r="E97" s="97">
        <v>-120464</v>
      </c>
      <c r="F97" s="150">
        <v>-103389</v>
      </c>
      <c r="G97" s="150">
        <v>-102937</v>
      </c>
      <c r="H97" s="150">
        <v>-89456</v>
      </c>
      <c r="I97" s="150">
        <v>-88401</v>
      </c>
      <c r="J97" s="150">
        <v>-91979</v>
      </c>
      <c r="K97" s="150">
        <v>-87432</v>
      </c>
      <c r="L97" s="68">
        <f t="shared" ref="L97:L98" si="139">RATE(5,,-F97,K97)</f>
        <v>-3.2971629238415179E-2</v>
      </c>
      <c r="M97" s="32" t="str">
        <f t="shared" si="111"/>
        <v xml:space="preserve">   Other (Income) Expense</v>
      </c>
      <c r="N97" s="123">
        <f t="shared" si="128"/>
        <v>-1.4524543679563038E-3</v>
      </c>
      <c r="O97" s="123">
        <f t="shared" si="129"/>
        <v>1.5773054611417641E-3</v>
      </c>
      <c r="P97" s="123">
        <f t="shared" si="130"/>
        <v>1.1572431003654784E-3</v>
      </c>
      <c r="Q97" s="123">
        <f t="shared" si="131"/>
        <v>-3.967482086817061E-3</v>
      </c>
      <c r="R97" s="123">
        <f t="shared" si="132"/>
        <v>-3.3473731834642762E-3</v>
      </c>
      <c r="S97" s="123">
        <f t="shared" si="133"/>
        <v>-3.3994254757278605E-3</v>
      </c>
      <c r="T97" s="123">
        <f t="shared" si="134"/>
        <v>-2.8550373427879954E-3</v>
      </c>
      <c r="U97" s="123">
        <f t="shared" si="135"/>
        <v>-2.7521473978678445E-3</v>
      </c>
      <c r="V97" s="123">
        <f t="shared" si="136"/>
        <v>-2.7253434331546405E-3</v>
      </c>
      <c r="W97" s="123">
        <f t="shared" si="137"/>
        <v>-2.574361360694491E-3</v>
      </c>
      <c r="X97" s="66">
        <f t="shared" si="138"/>
        <v>-3.0158653666005233E-3</v>
      </c>
    </row>
    <row r="98" spans="1:24" x14ac:dyDescent="0.2">
      <c r="A98" s="32" t="s">
        <v>70</v>
      </c>
      <c r="B98" s="99">
        <f>SUM(B94:B97)</f>
        <v>569112</v>
      </c>
      <c r="C98" s="99">
        <f>SUM(C94:C97)</f>
        <v>944977</v>
      </c>
      <c r="D98" s="100">
        <f>SUM(D94:D97)</f>
        <v>884758</v>
      </c>
      <c r="E98" s="129">
        <f>SUM(E94:E97)</f>
        <v>904195</v>
      </c>
      <c r="F98" s="152">
        <f>SUM(F94:F97)</f>
        <v>865396</v>
      </c>
      <c r="G98" s="152">
        <f t="shared" ref="G98:K98" si="140">SUM(G94:G97)</f>
        <v>1442262</v>
      </c>
      <c r="H98" s="152">
        <f t="shared" si="140"/>
        <v>767389</v>
      </c>
      <c r="I98" s="152">
        <f t="shared" si="140"/>
        <v>730496</v>
      </c>
      <c r="J98" s="152">
        <f t="shared" si="140"/>
        <v>618214</v>
      </c>
      <c r="K98" s="152">
        <f t="shared" si="140"/>
        <v>794341</v>
      </c>
      <c r="L98" s="141">
        <f t="shared" si="139"/>
        <v>-1.6988906071018772E-2</v>
      </c>
      <c r="M98" s="32" t="str">
        <f t="shared" si="111"/>
        <v>Total Other Income/Expense</v>
      </c>
      <c r="N98" s="123">
        <f t="shared" si="128"/>
        <v>3.524535071233309E-2</v>
      </c>
      <c r="O98" s="123">
        <f t="shared" si="129"/>
        <v>3.6858413480881348E-2</v>
      </c>
      <c r="P98" s="123">
        <f t="shared" si="130"/>
        <v>3.1781726191741994E-2</v>
      </c>
      <c r="Q98" s="123">
        <f t="shared" si="131"/>
        <v>2.977966417759291E-2</v>
      </c>
      <c r="R98" s="123">
        <f t="shared" si="132"/>
        <v>2.8018487106725578E-2</v>
      </c>
      <c r="S98" s="123">
        <f t="shared" si="133"/>
        <v>4.7629736493915845E-2</v>
      </c>
      <c r="T98" s="123">
        <f t="shared" si="134"/>
        <v>2.4491641158164205E-2</v>
      </c>
      <c r="U98" s="123">
        <f t="shared" si="135"/>
        <v>2.2742193703157984E-2</v>
      </c>
      <c r="V98" s="123">
        <f t="shared" si="136"/>
        <v>1.8317718883487131E-2</v>
      </c>
      <c r="W98" s="123">
        <f t="shared" si="137"/>
        <v>2.338869953352803E-2</v>
      </c>
      <c r="X98" s="66">
        <f t="shared" si="138"/>
        <v>2.8239955469090149E-2</v>
      </c>
    </row>
    <row r="99" spans="1:24" ht="7.5" customHeight="1" x14ac:dyDescent="0.2">
      <c r="A99" s="32"/>
      <c r="B99" s="98"/>
      <c r="C99" s="98"/>
      <c r="D99" s="97"/>
      <c r="E99" s="97"/>
      <c r="F99" s="150"/>
      <c r="G99" s="150"/>
      <c r="H99" s="150"/>
      <c r="I99" s="150"/>
      <c r="J99" s="150"/>
      <c r="K99" s="150"/>
      <c r="L99" s="66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x14ac:dyDescent="0.2">
      <c r="A100" s="32" t="s">
        <v>18</v>
      </c>
      <c r="B100" s="98">
        <f>B92-B98</f>
        <v>1616810</v>
      </c>
      <c r="C100" s="98">
        <f>C92-C98</f>
        <v>1031197</v>
      </c>
      <c r="D100" s="97">
        <f>D92-D98</f>
        <v>1489696</v>
      </c>
      <c r="E100" s="108">
        <f>E92-E98</f>
        <v>2133418</v>
      </c>
      <c r="F100" s="153">
        <f>F92-F98</f>
        <v>2330468</v>
      </c>
      <c r="G100" s="153">
        <f t="shared" ref="G100:K100" si="141">G92-G98</f>
        <v>1439634</v>
      </c>
      <c r="H100" s="153">
        <f t="shared" si="141"/>
        <v>1992149</v>
      </c>
      <c r="I100" s="153">
        <f t="shared" si="141"/>
        <v>2513551</v>
      </c>
      <c r="J100" s="153">
        <f t="shared" si="141"/>
        <v>3226673</v>
      </c>
      <c r="K100" s="153">
        <f t="shared" si="141"/>
        <v>495579</v>
      </c>
      <c r="L100" s="68">
        <f>RATE(5,,-F100,K100)</f>
        <v>-0.26627393007129263</v>
      </c>
      <c r="M100" s="32" t="str">
        <f t="shared" si="111"/>
        <v>Earnings Before Taxes</v>
      </c>
      <c r="N100" s="123">
        <f t="shared" ref="N100:N104" si="142">+B100/B$77</f>
        <v>0.10012973805719659</v>
      </c>
      <c r="O100" s="123">
        <f t="shared" ref="O100:O104" si="143">+C100/C$77</f>
        <v>4.0221386770518654E-2</v>
      </c>
      <c r="P100" s="123">
        <f t="shared" ref="P100:P104" si="144">+D100/D$77</f>
        <v>5.3511932506892596E-2</v>
      </c>
      <c r="Q100" s="123">
        <f t="shared" ref="Q100:Q104" si="145">+E100/E$77</f>
        <v>7.0264126201131288E-2</v>
      </c>
      <c r="R100" s="123">
        <f t="shared" ref="R100:R104" si="146">+F100/F$77</f>
        <v>7.5452379732095537E-2</v>
      </c>
      <c r="S100" s="123">
        <f t="shared" ref="S100:S104" si="147">+G100/G$77</f>
        <v>4.7542948554203081E-2</v>
      </c>
      <c r="T100" s="123">
        <f t="shared" ref="T100:T104" si="148">+H100/H$77</f>
        <v>6.358052883426224E-2</v>
      </c>
      <c r="U100" s="123">
        <f t="shared" ref="U100:U104" si="149">+I100/I$77</f>
        <v>7.8253219353379699E-2</v>
      </c>
      <c r="V100" s="123">
        <f t="shared" ref="V100:V104" si="150">+J100/J$77</f>
        <v>9.5606519656523586E-2</v>
      </c>
      <c r="W100" s="123">
        <f t="shared" ref="W100:W104" si="151">+K100/K$77</f>
        <v>1.4591904894908216E-2</v>
      </c>
      <c r="X100" s="66">
        <f t="shared" ref="X100:X104" si="152">AVERAGE(R100:V100)</f>
        <v>7.208711922609283E-2</v>
      </c>
    </row>
    <row r="101" spans="1:24" x14ac:dyDescent="0.2">
      <c r="A101" s="32"/>
      <c r="B101" s="98"/>
      <c r="C101" s="98"/>
      <c r="D101" s="97"/>
      <c r="E101" s="97"/>
      <c r="F101" s="150"/>
      <c r="G101" s="150"/>
      <c r="H101" s="150"/>
      <c r="I101" s="150"/>
      <c r="J101" s="150"/>
      <c r="K101" s="150"/>
      <c r="L101" s="66"/>
      <c r="M101" s="32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66"/>
    </row>
    <row r="102" spans="1:24" x14ac:dyDescent="0.2">
      <c r="A102" s="32" t="s">
        <v>195</v>
      </c>
      <c r="B102" s="99">
        <v>769632</v>
      </c>
      <c r="C102" s="99">
        <v>100966</v>
      </c>
      <c r="D102" s="100">
        <v>137983</v>
      </c>
      <c r="E102" s="97">
        <v>414286</v>
      </c>
      <c r="F102" s="150">
        <v>515706</v>
      </c>
      <c r="G102" s="150">
        <v>487446</v>
      </c>
      <c r="H102" s="150">
        <v>698421</v>
      </c>
      <c r="I102" s="150">
        <v>117676</v>
      </c>
      <c r="J102" s="150">
        <v>78474</v>
      </c>
      <c r="K102" s="150">
        <v>107685</v>
      </c>
      <c r="L102" s="66">
        <f>RATE(5,,-F102,K102)</f>
        <v>-0.268944067705568</v>
      </c>
      <c r="M102" s="32" t="str">
        <f t="shared" si="111"/>
        <v>Capital Credits</v>
      </c>
      <c r="N102" s="123">
        <f t="shared" si="142"/>
        <v>4.766364047750591E-2</v>
      </c>
      <c r="O102" s="123">
        <f t="shared" si="143"/>
        <v>3.9381345530215724E-3</v>
      </c>
      <c r="P102" s="123">
        <f t="shared" si="144"/>
        <v>4.9565394436841886E-3</v>
      </c>
      <c r="Q102" s="123">
        <f t="shared" si="145"/>
        <v>1.3644510258824983E-2</v>
      </c>
      <c r="R102" s="123">
        <f t="shared" si="146"/>
        <v>1.6696751443109305E-2</v>
      </c>
      <c r="S102" s="123">
        <f t="shared" si="147"/>
        <v>1.6097577648869141E-2</v>
      </c>
      <c r="T102" s="123">
        <f t="shared" si="148"/>
        <v>2.2290489581328638E-2</v>
      </c>
      <c r="U102" s="123">
        <f t="shared" si="149"/>
        <v>3.6635524167316713E-3</v>
      </c>
      <c r="V102" s="123">
        <f t="shared" si="150"/>
        <v>2.3251894516506731E-3</v>
      </c>
      <c r="W102" s="123">
        <f t="shared" si="151"/>
        <v>3.1706938320796305E-3</v>
      </c>
      <c r="X102" s="66">
        <f t="shared" si="152"/>
        <v>1.2214712108337886E-2</v>
      </c>
    </row>
    <row r="103" spans="1:24" x14ac:dyDescent="0.2">
      <c r="A103" s="32" t="s">
        <v>25</v>
      </c>
      <c r="B103" s="98"/>
      <c r="C103" s="98"/>
      <c r="D103" s="108"/>
      <c r="E103" s="108"/>
      <c r="F103" s="153"/>
      <c r="G103" s="153"/>
      <c r="H103" s="153"/>
      <c r="I103" s="153"/>
      <c r="J103" s="153"/>
      <c r="K103" s="153"/>
      <c r="L103" s="68"/>
      <c r="M103" s="32" t="str">
        <f t="shared" si="111"/>
        <v>Income Taxes</v>
      </c>
      <c r="N103" s="123">
        <f t="shared" si="142"/>
        <v>0</v>
      </c>
      <c r="O103" s="123">
        <f t="shared" si="143"/>
        <v>0</v>
      </c>
      <c r="P103" s="123">
        <f t="shared" si="144"/>
        <v>0</v>
      </c>
      <c r="Q103" s="123">
        <f t="shared" si="145"/>
        <v>0</v>
      </c>
      <c r="R103" s="123">
        <f t="shared" si="146"/>
        <v>0</v>
      </c>
      <c r="S103" s="123">
        <f t="shared" si="147"/>
        <v>0</v>
      </c>
      <c r="T103" s="123">
        <f t="shared" si="148"/>
        <v>0</v>
      </c>
      <c r="U103" s="123">
        <f t="shared" si="149"/>
        <v>0</v>
      </c>
      <c r="V103" s="123">
        <f t="shared" si="150"/>
        <v>0</v>
      </c>
      <c r="W103" s="123">
        <f t="shared" si="151"/>
        <v>0</v>
      </c>
      <c r="X103" s="66">
        <f t="shared" si="152"/>
        <v>0</v>
      </c>
    </row>
    <row r="104" spans="1:24" x14ac:dyDescent="0.2">
      <c r="A104" s="32" t="s">
        <v>191</v>
      </c>
      <c r="B104" s="100">
        <f>B100+B102-B103</f>
        <v>2386442</v>
      </c>
      <c r="C104" s="100">
        <f>C100+C102-C103</f>
        <v>1132163</v>
      </c>
      <c r="D104" s="97">
        <f>D100+D102-D103</f>
        <v>1627679</v>
      </c>
      <c r="E104" s="97">
        <f>E100+E102-E103</f>
        <v>2547704</v>
      </c>
      <c r="F104" s="150">
        <f>F100+F102-F103</f>
        <v>2846174</v>
      </c>
      <c r="G104" s="150">
        <f t="shared" ref="G104:K104" si="153">G100+G102-G103</f>
        <v>1927080</v>
      </c>
      <c r="H104" s="150">
        <f t="shared" si="153"/>
        <v>2690570</v>
      </c>
      <c r="I104" s="150">
        <f t="shared" si="153"/>
        <v>2631227</v>
      </c>
      <c r="J104" s="150">
        <f t="shared" si="153"/>
        <v>3305147</v>
      </c>
      <c r="K104" s="150">
        <f t="shared" si="153"/>
        <v>603264</v>
      </c>
      <c r="L104" s="66">
        <f>RATE(5,,-F104,K104)</f>
        <v>-0.26675486109947949</v>
      </c>
      <c r="M104" s="32" t="str">
        <f t="shared" si="111"/>
        <v>Net Operating Margin</v>
      </c>
      <c r="N104" s="123">
        <f t="shared" si="142"/>
        <v>0.14779337853470251</v>
      </c>
      <c r="O104" s="123">
        <f t="shared" si="143"/>
        <v>4.4159521323540223E-2</v>
      </c>
      <c r="P104" s="123">
        <f t="shared" si="144"/>
        <v>5.8468471950576785E-2</v>
      </c>
      <c r="Q104" s="123">
        <f t="shared" si="145"/>
        <v>8.3908636459956276E-2</v>
      </c>
      <c r="R104" s="123">
        <f t="shared" si="146"/>
        <v>9.2149131175204832E-2</v>
      </c>
      <c r="S104" s="123">
        <f t="shared" si="147"/>
        <v>6.3640526203072215E-2</v>
      </c>
      <c r="T104" s="123">
        <f t="shared" si="148"/>
        <v>8.5871018415590875E-2</v>
      </c>
      <c r="U104" s="123">
        <f t="shared" si="149"/>
        <v>8.1916771770111363E-2</v>
      </c>
      <c r="V104" s="123">
        <f t="shared" si="150"/>
        <v>9.7931709108174253E-2</v>
      </c>
      <c r="W104" s="123">
        <f t="shared" si="151"/>
        <v>1.7762598726987846E-2</v>
      </c>
      <c r="X104" s="66">
        <f t="shared" si="152"/>
        <v>8.4301831334430699E-2</v>
      </c>
    </row>
    <row r="105" spans="1:24" x14ac:dyDescent="0.2">
      <c r="A105" s="32"/>
      <c r="B105" s="97"/>
      <c r="C105" s="97"/>
      <c r="D105" s="97"/>
      <c r="E105" s="97"/>
      <c r="F105" s="150"/>
      <c r="G105" s="150"/>
      <c r="H105" s="150"/>
      <c r="I105" s="150"/>
      <c r="J105" s="150"/>
      <c r="K105" s="150"/>
      <c r="L105" s="72"/>
      <c r="M105" s="32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32"/>
    </row>
    <row r="106" spans="1:24" x14ac:dyDescent="0.2">
      <c r="A106" s="32" t="s">
        <v>192</v>
      </c>
      <c r="B106" s="97"/>
      <c r="C106" s="97"/>
      <c r="D106" s="97"/>
      <c r="E106" s="97"/>
      <c r="F106" s="150"/>
      <c r="G106" s="150"/>
      <c r="H106" s="150"/>
      <c r="I106" s="150"/>
      <c r="J106" s="150"/>
      <c r="K106" s="150"/>
      <c r="L106" s="72"/>
      <c r="M106" s="32" t="str">
        <f t="shared" si="111"/>
        <v>Non Operating Margin</v>
      </c>
      <c r="N106" s="123">
        <f t="shared" ref="N106:N109" si="154">+B106/B$77</f>
        <v>0</v>
      </c>
      <c r="O106" s="123">
        <f t="shared" ref="O106:O109" si="155">+C106/C$77</f>
        <v>0</v>
      </c>
      <c r="P106" s="123">
        <f t="shared" ref="P106:P109" si="156">+D106/D$77</f>
        <v>0</v>
      </c>
      <c r="Q106" s="123">
        <f t="shared" ref="Q106:Q109" si="157">+E106/E$77</f>
        <v>0</v>
      </c>
      <c r="R106" s="123">
        <f t="shared" ref="R106:R109" si="158">+F106/F$77</f>
        <v>0</v>
      </c>
      <c r="S106" s="123">
        <f t="shared" ref="S106:S109" si="159">+G106/G$77</f>
        <v>0</v>
      </c>
      <c r="T106" s="123">
        <f t="shared" ref="T106:T109" si="160">+H106/H$77</f>
        <v>0</v>
      </c>
      <c r="U106" s="123">
        <f t="shared" ref="U106:U109" si="161">+I106/I$77</f>
        <v>0</v>
      </c>
      <c r="V106" s="123">
        <f t="shared" ref="V106:V109" si="162">+J106/J$77</f>
        <v>0</v>
      </c>
      <c r="W106" s="123">
        <f t="shared" ref="W106:W109" si="163">+K106/K$77</f>
        <v>0</v>
      </c>
      <c r="X106" s="66">
        <f t="shared" ref="X106:X109" si="164">AVERAGE(R106:V106)</f>
        <v>0</v>
      </c>
    </row>
    <row r="107" spans="1:24" x14ac:dyDescent="0.2">
      <c r="A107" s="81" t="s">
        <v>193</v>
      </c>
      <c r="B107" s="97"/>
      <c r="C107" s="97"/>
      <c r="D107" s="97"/>
      <c r="E107" s="97">
        <v>155516</v>
      </c>
      <c r="F107" s="150">
        <v>89107</v>
      </c>
      <c r="G107" s="150">
        <v>48613</v>
      </c>
      <c r="H107" s="150">
        <v>45032</v>
      </c>
      <c r="I107" s="150">
        <v>39058</v>
      </c>
      <c r="J107" s="150">
        <v>37005</v>
      </c>
      <c r="K107" s="150">
        <v>38023</v>
      </c>
      <c r="L107" s="66">
        <f t="shared" ref="L107:L108" si="165">RATE(5,,-F107,K107)</f>
        <v>-0.15661298263762075</v>
      </c>
      <c r="M107" s="32" t="str">
        <f t="shared" si="111"/>
        <v>Interest Income</v>
      </c>
      <c r="N107" s="123">
        <f t="shared" si="154"/>
        <v>0</v>
      </c>
      <c r="O107" s="123">
        <f t="shared" si="155"/>
        <v>0</v>
      </c>
      <c r="P107" s="123">
        <f t="shared" si="156"/>
        <v>0</v>
      </c>
      <c r="Q107" s="123">
        <f t="shared" si="157"/>
        <v>5.1219197786346298E-3</v>
      </c>
      <c r="R107" s="123">
        <f t="shared" si="158"/>
        <v>2.8849721175265384E-3</v>
      </c>
      <c r="S107" s="123">
        <f t="shared" si="159"/>
        <v>1.6054117630352398E-3</v>
      </c>
      <c r="T107" s="123">
        <f t="shared" si="160"/>
        <v>1.4372209982609217E-3</v>
      </c>
      <c r="U107" s="123">
        <f t="shared" si="161"/>
        <v>1.2159746277295763E-3</v>
      </c>
      <c r="V107" s="123">
        <f t="shared" si="162"/>
        <v>1.0964604284009118E-3</v>
      </c>
      <c r="W107" s="123">
        <f t="shared" si="163"/>
        <v>1.1195551058844203E-3</v>
      </c>
      <c r="X107" s="66">
        <f t="shared" si="164"/>
        <v>1.6480079869906378E-3</v>
      </c>
    </row>
    <row r="108" spans="1:24" x14ac:dyDescent="0.2">
      <c r="A108" s="81" t="s">
        <v>194</v>
      </c>
      <c r="B108" s="98"/>
      <c r="C108" s="98"/>
      <c r="D108" s="97"/>
      <c r="E108" s="97">
        <v>14567</v>
      </c>
      <c r="F108" s="150">
        <v>47885</v>
      </c>
      <c r="G108" s="150">
        <v>-1477</v>
      </c>
      <c r="H108" s="150">
        <v>25109</v>
      </c>
      <c r="I108" s="150">
        <v>49537</v>
      </c>
      <c r="J108" s="150">
        <v>70845</v>
      </c>
      <c r="K108" s="150">
        <v>91767</v>
      </c>
      <c r="L108" s="66">
        <f t="shared" si="165"/>
        <v>0.13893098565617118</v>
      </c>
      <c r="M108" s="32" t="str">
        <f t="shared" si="111"/>
        <v>Other Nonoperating Income</v>
      </c>
      <c r="N108" s="123">
        <f t="shared" si="154"/>
        <v>0</v>
      </c>
      <c r="O108" s="123">
        <f t="shared" si="155"/>
        <v>0</v>
      </c>
      <c r="P108" s="123">
        <f t="shared" si="156"/>
        <v>0</v>
      </c>
      <c r="Q108" s="123">
        <f t="shared" si="157"/>
        <v>4.7976417484612931E-4</v>
      </c>
      <c r="R108" s="123">
        <f t="shared" si="158"/>
        <v>1.5503483435393211E-3</v>
      </c>
      <c r="S108" s="123">
        <f t="shared" si="159"/>
        <v>-4.8776935675705043E-5</v>
      </c>
      <c r="T108" s="123">
        <f t="shared" si="160"/>
        <v>8.0136751743945379E-4</v>
      </c>
      <c r="U108" s="123">
        <f t="shared" si="161"/>
        <v>1.542212482304266E-3</v>
      </c>
      <c r="V108" s="123">
        <f t="shared" si="162"/>
        <v>2.0991417119325118E-3</v>
      </c>
      <c r="W108" s="123">
        <f t="shared" si="163"/>
        <v>2.7020017726559083E-3</v>
      </c>
      <c r="X108" s="66">
        <f t="shared" si="164"/>
        <v>1.1888586239079694E-3</v>
      </c>
    </row>
    <row r="109" spans="1:24" x14ac:dyDescent="0.2">
      <c r="A109" s="81" t="s">
        <v>198</v>
      </c>
      <c r="B109" s="109"/>
      <c r="C109" s="109"/>
      <c r="D109" s="108"/>
      <c r="E109" s="108"/>
      <c r="F109" s="153"/>
      <c r="G109" s="153">
        <v>-1836458</v>
      </c>
      <c r="H109" s="153">
        <v>-677144</v>
      </c>
      <c r="I109" s="153"/>
      <c r="J109" s="153"/>
      <c r="K109" s="153"/>
      <c r="L109" s="68"/>
      <c r="M109" s="32" t="str">
        <f t="shared" si="111"/>
        <v>Extraordinary Charges</v>
      </c>
      <c r="N109" s="123">
        <f t="shared" si="154"/>
        <v>0</v>
      </c>
      <c r="O109" s="123">
        <f t="shared" si="155"/>
        <v>0</v>
      </c>
      <c r="P109" s="123">
        <f t="shared" si="156"/>
        <v>0</v>
      </c>
      <c r="Q109" s="123">
        <f t="shared" si="157"/>
        <v>0</v>
      </c>
      <c r="R109" s="123">
        <f t="shared" si="158"/>
        <v>0</v>
      </c>
      <c r="S109" s="123">
        <f t="shared" si="159"/>
        <v>-6.0647795353509767E-2</v>
      </c>
      <c r="T109" s="123">
        <f t="shared" si="160"/>
        <v>-2.1611422447290671E-2</v>
      </c>
      <c r="U109" s="123">
        <f t="shared" si="161"/>
        <v>0</v>
      </c>
      <c r="V109" s="123">
        <f t="shared" si="162"/>
        <v>0</v>
      </c>
      <c r="W109" s="123">
        <f t="shared" si="163"/>
        <v>0</v>
      </c>
      <c r="X109" s="66">
        <f t="shared" si="164"/>
        <v>-1.6451843560160086E-2</v>
      </c>
    </row>
    <row r="110" spans="1:24" x14ac:dyDescent="0.2">
      <c r="A110" s="81"/>
      <c r="B110" s="98"/>
      <c r="C110" s="98"/>
      <c r="D110" s="97"/>
      <c r="E110" s="97"/>
      <c r="F110" s="150"/>
      <c r="G110" s="150"/>
      <c r="H110" s="150"/>
      <c r="I110" s="150"/>
      <c r="J110" s="150"/>
      <c r="K110" s="150"/>
      <c r="L110" s="141"/>
      <c r="M110" s="32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32"/>
    </row>
    <row r="111" spans="1:24" ht="13.5" thickBot="1" x14ac:dyDescent="0.25">
      <c r="A111" s="81" t="s">
        <v>174</v>
      </c>
      <c r="B111" s="110">
        <f t="shared" ref="B111:D111" si="166">+B104+B108+B107</f>
        <v>2386442</v>
      </c>
      <c r="C111" s="110">
        <f t="shared" si="166"/>
        <v>1132163</v>
      </c>
      <c r="D111" s="110">
        <f t="shared" si="166"/>
        <v>1627679</v>
      </c>
      <c r="E111" s="110">
        <f>+E104+E108+E107+E109</f>
        <v>2717787</v>
      </c>
      <c r="F111" s="154">
        <f>+F104+F108+F107+F109</f>
        <v>2983166</v>
      </c>
      <c r="G111" s="154">
        <f t="shared" ref="G111:K111" si="167">+G104+G108+G107+G109</f>
        <v>137758</v>
      </c>
      <c r="H111" s="154">
        <f t="shared" si="167"/>
        <v>2083567</v>
      </c>
      <c r="I111" s="154">
        <f t="shared" si="167"/>
        <v>2719822</v>
      </c>
      <c r="J111" s="154">
        <f t="shared" si="167"/>
        <v>3412997</v>
      </c>
      <c r="K111" s="154">
        <f t="shared" si="167"/>
        <v>733054</v>
      </c>
      <c r="L111" s="143">
        <f>RATE(5,,-F111,K111)</f>
        <v>-0.2447483035619458</v>
      </c>
      <c r="M111" s="32" t="str">
        <f t="shared" si="111"/>
        <v>Net Margin</v>
      </c>
      <c r="N111" s="123">
        <f>+B111/B$77</f>
        <v>0.14779337853470251</v>
      </c>
      <c r="O111" s="123">
        <f t="shared" ref="O111:W111" si="168">+C111/C$77</f>
        <v>4.4159521323540223E-2</v>
      </c>
      <c r="P111" s="123">
        <f t="shared" si="168"/>
        <v>5.8468471950576785E-2</v>
      </c>
      <c r="Q111" s="123">
        <f t="shared" si="168"/>
        <v>8.9510320413437039E-2</v>
      </c>
      <c r="R111" s="123">
        <f t="shared" si="168"/>
        <v>9.6584451636270705E-2</v>
      </c>
      <c r="S111" s="123">
        <f t="shared" si="168"/>
        <v>4.5493656769219869E-3</v>
      </c>
      <c r="T111" s="123">
        <f t="shared" si="168"/>
        <v>6.6498184484000578E-2</v>
      </c>
      <c r="U111" s="123">
        <f t="shared" si="168"/>
        <v>8.4674958880145215E-2</v>
      </c>
      <c r="V111" s="123">
        <f t="shared" si="168"/>
        <v>0.10112731124850768</v>
      </c>
      <c r="W111" s="123">
        <f t="shared" si="168"/>
        <v>2.1584155605528177E-2</v>
      </c>
      <c r="X111" s="66">
        <f t="shared" ref="X111" si="169">AVERAGE(R111:V111)</f>
        <v>7.0686854385169237E-2</v>
      </c>
    </row>
    <row r="112" spans="1:24" ht="13.5" thickTop="1" x14ac:dyDescent="0.2">
      <c r="A112" s="81"/>
      <c r="B112" s="98"/>
      <c r="C112" s="98"/>
      <c r="D112" s="97"/>
      <c r="E112" s="97"/>
      <c r="F112" s="150"/>
      <c r="G112" s="150"/>
      <c r="H112" s="150"/>
      <c r="I112" s="150"/>
      <c r="J112" s="150"/>
      <c r="K112" s="150"/>
      <c r="L112" s="66"/>
      <c r="M112" s="32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32"/>
    </row>
    <row r="113" spans="1:24" hidden="1" x14ac:dyDescent="0.2">
      <c r="A113" s="32" t="s">
        <v>74</v>
      </c>
      <c r="B113" s="98">
        <v>0</v>
      </c>
      <c r="C113" s="98">
        <v>0</v>
      </c>
      <c r="D113" s="97">
        <v>0</v>
      </c>
      <c r="E113" s="97">
        <v>0</v>
      </c>
      <c r="F113" s="150">
        <v>0</v>
      </c>
      <c r="G113" s="150">
        <v>0</v>
      </c>
      <c r="H113" s="150">
        <v>0</v>
      </c>
      <c r="I113" s="150">
        <v>0</v>
      </c>
      <c r="J113" s="150">
        <v>0</v>
      </c>
      <c r="K113" s="150">
        <v>0</v>
      </c>
      <c r="L113" s="66"/>
      <c r="M113" s="32" t="str">
        <f t="shared" si="111"/>
        <v>Preferred Stock Dividends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x14ac:dyDescent="0.2">
      <c r="A114" s="67" t="s">
        <v>165</v>
      </c>
      <c r="B114" s="71">
        <v>-95709</v>
      </c>
      <c r="C114" s="111">
        <v>-512582</v>
      </c>
      <c r="D114" s="111">
        <v>-193441</v>
      </c>
      <c r="E114" s="111">
        <v>-508442</v>
      </c>
      <c r="F114" s="150">
        <v>-1255185</v>
      </c>
      <c r="G114" s="150">
        <v>-780120</v>
      </c>
      <c r="H114" s="150">
        <v>-1071568</v>
      </c>
      <c r="I114" s="150">
        <v>-986668</v>
      </c>
      <c r="J114" s="150">
        <v>-1107682</v>
      </c>
      <c r="K114" s="150">
        <v>-469204</v>
      </c>
      <c r="L114" s="66">
        <f>RATE(5,,-F114,K114)</f>
        <v>-0.17864521220446083</v>
      </c>
      <c r="M114" s="32" t="str">
        <f t="shared" si="111"/>
        <v>Return of Patrons Capital</v>
      </c>
      <c r="N114" s="123">
        <f>+B114/B$77</f>
        <v>-5.9272994969824704E-3</v>
      </c>
      <c r="O114" s="123">
        <f t="shared" ref="O114:W114" si="170">+C114/C$77</f>
        <v>-1.9993036125595779E-2</v>
      </c>
      <c r="P114" s="123">
        <f t="shared" si="170"/>
        <v>-6.9486672019430876E-3</v>
      </c>
      <c r="Q114" s="123">
        <f t="shared" si="170"/>
        <v>-1.6745538311739937E-2</v>
      </c>
      <c r="R114" s="123">
        <f t="shared" si="170"/>
        <v>-4.0638487743247423E-2</v>
      </c>
      <c r="S114" s="123">
        <f t="shared" si="170"/>
        <v>-2.5762940459939754E-2</v>
      </c>
      <c r="T114" s="123">
        <f t="shared" si="170"/>
        <v>-3.4199680908342057E-2</v>
      </c>
      <c r="U114" s="123">
        <f t="shared" si="170"/>
        <v>-3.0717477955673245E-2</v>
      </c>
      <c r="V114" s="123">
        <f t="shared" si="170"/>
        <v>-3.2820685860072391E-2</v>
      </c>
      <c r="W114" s="123">
        <f t="shared" si="170"/>
        <v>-1.3815315306561647E-2</v>
      </c>
      <c r="X114" s="66">
        <f t="shared" ref="X114" si="171">AVERAGE(R114:V114)</f>
        <v>-3.2827854585454973E-2</v>
      </c>
    </row>
    <row r="115" spans="1:24" x14ac:dyDescent="0.2">
      <c r="A115" s="32"/>
      <c r="B115" s="98"/>
      <c r="C115" s="98"/>
      <c r="D115" s="98"/>
      <c r="E115" s="98"/>
      <c r="F115" s="155"/>
      <c r="G115" s="32"/>
      <c r="H115" s="32"/>
      <c r="I115" s="32"/>
      <c r="J115" s="32"/>
      <c r="K115" s="132"/>
      <c r="L115" s="66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66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87" t="str">
        <f>+L65</f>
        <v>Exhibit 1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208" t="s">
        <v>260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ht="18" x14ac:dyDescent="0.25">
      <c r="A119" s="84" t="str">
        <f>A3</f>
        <v>Mt. Wheeler Power, Inc.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ht="15.75" x14ac:dyDescent="0.25">
      <c r="A120" s="85" t="s">
        <v>64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4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ht="15.75" x14ac:dyDescent="0.25">
      <c r="A121" s="92" t="str">
        <f>A5</f>
        <v>Years Ended December 31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4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ht="15.75" x14ac:dyDescent="0.25">
      <c r="A122" s="85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4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66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x14ac:dyDescent="0.2">
      <c r="A124" s="32"/>
      <c r="B124" s="32"/>
      <c r="C124" s="86"/>
      <c r="D124" s="86"/>
      <c r="E124" s="86"/>
      <c r="F124" s="113"/>
      <c r="G124" s="113"/>
      <c r="H124" s="113"/>
      <c r="I124" s="113"/>
      <c r="J124" s="113"/>
      <c r="K124" s="113"/>
      <c r="L124" s="87" t="s">
        <v>241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 t="s">
        <v>250</v>
      </c>
    </row>
    <row r="125" spans="1:24" x14ac:dyDescent="0.2">
      <c r="A125" s="88" t="s">
        <v>40</v>
      </c>
      <c r="B125" s="93">
        <f>+B73</f>
        <v>2004</v>
      </c>
      <c r="C125" s="93">
        <f t="shared" ref="C125:K125" si="172">+C73</f>
        <v>2005</v>
      </c>
      <c r="D125" s="93">
        <f t="shared" si="172"/>
        <v>2006</v>
      </c>
      <c r="E125" s="94">
        <f t="shared" si="172"/>
        <v>2007</v>
      </c>
      <c r="F125" s="94">
        <f t="shared" si="172"/>
        <v>2008</v>
      </c>
      <c r="G125" s="94">
        <f t="shared" si="172"/>
        <v>2009</v>
      </c>
      <c r="H125" s="94">
        <f t="shared" si="172"/>
        <v>2010</v>
      </c>
      <c r="I125" s="94">
        <f t="shared" si="172"/>
        <v>2011</v>
      </c>
      <c r="J125" s="94">
        <f t="shared" si="172"/>
        <v>2012</v>
      </c>
      <c r="K125" s="94">
        <f t="shared" si="172"/>
        <v>2013</v>
      </c>
      <c r="L125" s="95" t="s">
        <v>5</v>
      </c>
      <c r="M125" s="32" t="s">
        <v>242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 t="s">
        <v>251</v>
      </c>
    </row>
    <row r="126" spans="1:24" ht="7.5" customHeight="1" x14ac:dyDescent="0.2">
      <c r="A126" s="81"/>
      <c r="B126" s="114"/>
      <c r="C126" s="114"/>
      <c r="D126" s="114"/>
      <c r="E126" s="90"/>
      <c r="F126" s="90"/>
      <c r="G126" s="90"/>
      <c r="H126" s="90"/>
      <c r="I126" s="90"/>
      <c r="J126" s="90"/>
      <c r="K126" s="90"/>
      <c r="L126" s="91"/>
      <c r="M126" s="81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1:24" x14ac:dyDescent="0.2">
      <c r="A127" s="65" t="s">
        <v>48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66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x14ac:dyDescent="0.2">
      <c r="A128" s="32" t="s">
        <v>9</v>
      </c>
      <c r="B128" s="116">
        <f>B17/B48</f>
        <v>1.1188714301392229</v>
      </c>
      <c r="C128" s="116">
        <f>C17/C48</f>
        <v>1.0249819026335394</v>
      </c>
      <c r="D128" s="116">
        <f>D17/D48</f>
        <v>1.3193110398022994</v>
      </c>
      <c r="E128" s="116">
        <f>E17/E48</f>
        <v>1.1571519415356795</v>
      </c>
      <c r="F128" s="116">
        <f>F17/F48</f>
        <v>1.2351931192342915</v>
      </c>
      <c r="G128" s="116">
        <f t="shared" ref="G128:K128" si="173">G17/G48</f>
        <v>1.3344811626202979</v>
      </c>
      <c r="H128" s="116">
        <f t="shared" si="173"/>
        <v>1.5238223082701654</v>
      </c>
      <c r="I128" s="116">
        <f t="shared" si="173"/>
        <v>2.0555535296241652</v>
      </c>
      <c r="J128" s="116">
        <f>J17/J48</f>
        <v>1.8484490064071595</v>
      </c>
      <c r="K128" s="116">
        <f t="shared" si="173"/>
        <v>1.698982840580411</v>
      </c>
      <c r="L128" s="116">
        <f>AVERAGE(G128:K128)</f>
        <v>1.6922577695004399</v>
      </c>
      <c r="M128" s="32" t="s">
        <v>243</v>
      </c>
      <c r="N128" s="32"/>
      <c r="O128" s="32"/>
      <c r="P128" s="32"/>
      <c r="Q128" s="69"/>
      <c r="R128" s="69"/>
      <c r="S128" s="69">
        <v>7226</v>
      </c>
      <c r="T128" s="69">
        <v>7248</v>
      </c>
      <c r="U128" s="69">
        <v>7289</v>
      </c>
      <c r="V128" s="69">
        <v>7353</v>
      </c>
      <c r="W128" s="69">
        <v>7422</v>
      </c>
      <c r="X128" s="117">
        <f>(RATE(4,,-S128,W128))</f>
        <v>6.7131654337654785E-3</v>
      </c>
    </row>
    <row r="129" spans="1:24" x14ac:dyDescent="0.2">
      <c r="A129" s="32" t="s">
        <v>39</v>
      </c>
      <c r="B129" s="116">
        <f>(B12+B14)/B48</f>
        <v>0.50259750511664802</v>
      </c>
      <c r="C129" s="116">
        <f>(C12+C14)/C48</f>
        <v>0.46059156040489024</v>
      </c>
      <c r="D129" s="116">
        <f>(D12+D14)/D48</f>
        <v>0.487319897789529</v>
      </c>
      <c r="E129" s="116">
        <f>(E12+E14)/E48</f>
        <v>0.63036385600300537</v>
      </c>
      <c r="F129" s="116">
        <f>(F12+F14)/F48</f>
        <v>0.70752552052906759</v>
      </c>
      <c r="G129" s="116">
        <f t="shared" ref="G129:I129" si="174">(G12+G14)/G48</f>
        <v>0.62714276474973496</v>
      </c>
      <c r="H129" s="116">
        <f t="shared" si="174"/>
        <v>0.63308546821041589</v>
      </c>
      <c r="I129" s="116">
        <f t="shared" si="174"/>
        <v>1.0652043693162661</v>
      </c>
      <c r="J129" s="116">
        <f>(J12+J14)/J48</f>
        <v>1.1579007210431203</v>
      </c>
      <c r="K129" s="209">
        <f>(K12+K13+K14)/K48</f>
        <v>0.82982792224642554</v>
      </c>
      <c r="L129" s="116">
        <f t="shared" ref="L129:L130" si="175">AVERAGE(G129:K129)</f>
        <v>0.86263224911319258</v>
      </c>
      <c r="N129" s="32"/>
      <c r="O129" s="32"/>
      <c r="P129" s="32"/>
      <c r="Q129" s="32"/>
      <c r="R129" s="32"/>
      <c r="S129" s="32"/>
      <c r="T129" s="117">
        <f>(+T128-S128)/S128</f>
        <v>3.0445613063935788E-3</v>
      </c>
      <c r="U129" s="117">
        <f t="shared" ref="U129:W129" si="176">(+U128-T128)/T128</f>
        <v>5.6567328918322298E-3</v>
      </c>
      <c r="V129" s="117">
        <f t="shared" si="176"/>
        <v>8.7803539580189327E-3</v>
      </c>
      <c r="W129" s="117">
        <f t="shared" si="176"/>
        <v>9.3839249286005715E-3</v>
      </c>
      <c r="X129" s="69"/>
    </row>
    <row r="130" spans="1:24" x14ac:dyDescent="0.2">
      <c r="A130" s="32" t="s">
        <v>12</v>
      </c>
      <c r="B130" s="116"/>
      <c r="C130" s="116">
        <f t="shared" ref="C130:K130" si="177">365*(((B14+C14)/2)/((B77+C77)/2))</f>
        <v>12.24247674618019</v>
      </c>
      <c r="D130" s="116">
        <f t="shared" si="177"/>
        <v>9.857434755158252</v>
      </c>
      <c r="E130" s="116">
        <f t="shared" si="177"/>
        <v>8.7465051104432003</v>
      </c>
      <c r="F130" s="116">
        <f t="shared" si="177"/>
        <v>8.3731764180509014</v>
      </c>
      <c r="G130" s="116">
        <f t="shared" si="177"/>
        <v>9.8171830732074667</v>
      </c>
      <c r="H130" s="116">
        <f t="shared" si="177"/>
        <v>8.3144799925405817</v>
      </c>
      <c r="I130" s="116">
        <f t="shared" si="177"/>
        <v>5.8780924610753083</v>
      </c>
      <c r="J130" s="116">
        <f t="shared" si="177"/>
        <v>7.6940905972657401</v>
      </c>
      <c r="K130" s="209">
        <f t="shared" si="177"/>
        <v>8.4796549526904386</v>
      </c>
      <c r="L130" s="116">
        <f t="shared" si="175"/>
        <v>8.0367002153559071</v>
      </c>
      <c r="M130" s="32" t="s">
        <v>244</v>
      </c>
      <c r="N130" s="32"/>
      <c r="O130" s="32"/>
      <c r="P130" s="32"/>
      <c r="Q130" s="32"/>
      <c r="R130" s="32"/>
      <c r="S130" s="69">
        <v>476273</v>
      </c>
      <c r="T130" s="69">
        <v>495733</v>
      </c>
      <c r="U130" s="69">
        <v>499981</v>
      </c>
      <c r="V130" s="69">
        <v>528709</v>
      </c>
      <c r="W130" s="69">
        <v>540514</v>
      </c>
      <c r="X130" s="117">
        <f>(RATE(4,,-S130,W130))</f>
        <v>3.2137949231585333E-2</v>
      </c>
    </row>
    <row r="131" spans="1:24" x14ac:dyDescent="0.2">
      <c r="A131" s="32"/>
      <c r="B131" s="116"/>
      <c r="C131" s="116"/>
      <c r="D131" s="116"/>
      <c r="E131" s="116"/>
      <c r="F131" s="116"/>
      <c r="G131" s="116"/>
      <c r="H131" s="116"/>
      <c r="I131" s="116"/>
      <c r="J131" s="116"/>
      <c r="K131" s="209"/>
      <c r="L131" s="116"/>
      <c r="M131" s="32"/>
      <c r="N131" s="32"/>
      <c r="O131" s="32"/>
      <c r="P131" s="32"/>
      <c r="Q131" s="32"/>
      <c r="R131" s="32"/>
      <c r="S131" s="69"/>
      <c r="T131" s="69"/>
      <c r="U131" s="69"/>
      <c r="V131" s="69"/>
      <c r="W131" s="69"/>
      <c r="X131" s="69"/>
    </row>
    <row r="132" spans="1:24" x14ac:dyDescent="0.2">
      <c r="A132" s="65" t="s">
        <v>27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209"/>
      <c r="L132" s="116"/>
      <c r="M132" s="32" t="s">
        <v>245</v>
      </c>
      <c r="N132" s="32"/>
      <c r="O132" s="32"/>
      <c r="P132" s="32"/>
      <c r="Q132" s="32"/>
      <c r="R132" s="32"/>
      <c r="S132" s="69">
        <v>498268</v>
      </c>
      <c r="T132" s="69">
        <v>511667</v>
      </c>
      <c r="U132" s="69">
        <v>519518</v>
      </c>
      <c r="V132" s="69">
        <v>547610</v>
      </c>
      <c r="W132" s="69">
        <v>561453</v>
      </c>
      <c r="X132" s="117">
        <f>(RATE(4,,-S132,W132))</f>
        <v>3.029739683533186E-2</v>
      </c>
    </row>
    <row r="133" spans="1:24" x14ac:dyDescent="0.2">
      <c r="A133" s="32" t="s">
        <v>31</v>
      </c>
      <c r="B133" s="116">
        <f>B62/B55</f>
        <v>0.78181733922583452</v>
      </c>
      <c r="C133" s="116">
        <f>C62/C55</f>
        <v>0.84945259691552233</v>
      </c>
      <c r="D133" s="116">
        <f>D62/D55</f>
        <v>0.93388799520258736</v>
      </c>
      <c r="E133" s="116">
        <f>E62/E55</f>
        <v>1.1143367272293778</v>
      </c>
      <c r="F133" s="116">
        <f>F62/F55</f>
        <v>1.1192448817950131</v>
      </c>
      <c r="G133" s="116">
        <f t="shared" ref="G133:K133" si="178">G62/G55</f>
        <v>1.2151366764265517</v>
      </c>
      <c r="H133" s="116">
        <f t="shared" si="178"/>
        <v>1.3431465990952676</v>
      </c>
      <c r="I133" s="116">
        <f t="shared" si="178"/>
        <v>1.6001722530209421</v>
      </c>
      <c r="J133" s="116">
        <f>J62/J55</f>
        <v>1.501329817953192</v>
      </c>
      <c r="K133" s="209">
        <f t="shared" si="178"/>
        <v>1.3464087142842676</v>
      </c>
      <c r="L133" s="116">
        <f t="shared" ref="L133:L136" si="179">AVERAGE(G133:K133)</f>
        <v>1.4012388121560442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4" x14ac:dyDescent="0.2">
      <c r="A134" s="32" t="s">
        <v>30</v>
      </c>
      <c r="B134" s="116">
        <f>B62/B53</f>
        <v>0.88817545649013152</v>
      </c>
      <c r="C134" s="116">
        <f>C62/C53</f>
        <v>0.98387860722438991</v>
      </c>
      <c r="D134" s="116">
        <f>D62/D53</f>
        <v>1.1034343707557377</v>
      </c>
      <c r="E134" s="116">
        <f>E62/E53</f>
        <v>1.351669962417132</v>
      </c>
      <c r="F134" s="116">
        <f>F62/F53</f>
        <v>1.3974603197691597</v>
      </c>
      <c r="G134" s="116">
        <f t="shared" ref="G134:K134" si="180">G62/G53</f>
        <v>1.5249999304334889</v>
      </c>
      <c r="H134" s="116">
        <f t="shared" si="180"/>
        <v>1.7295747251476477</v>
      </c>
      <c r="I134" s="116">
        <f t="shared" si="180"/>
        <v>2.0296081087671922</v>
      </c>
      <c r="J134" s="116">
        <f t="shared" si="180"/>
        <v>2.085587353210494</v>
      </c>
      <c r="K134" s="209">
        <f t="shared" si="180"/>
        <v>1.7517186303260599</v>
      </c>
      <c r="L134" s="116">
        <f t="shared" si="179"/>
        <v>1.8242977495769765</v>
      </c>
    </row>
    <row r="135" spans="1:24" x14ac:dyDescent="0.2">
      <c r="A135" s="32" t="s">
        <v>29</v>
      </c>
      <c r="B135" s="116">
        <f>B62/B28</f>
        <v>0.62169584055478333</v>
      </c>
      <c r="C135" s="116">
        <f>C62/C28</f>
        <v>0.64786230141242507</v>
      </c>
      <c r="D135" s="116">
        <f>D62/D28</f>
        <v>0.70224459349019108</v>
      </c>
      <c r="E135" s="116">
        <f>E62/E28</f>
        <v>0.74685429253503643</v>
      </c>
      <c r="F135" s="116">
        <f>F62/F28</f>
        <v>0.75747493997331361</v>
      </c>
      <c r="G135" s="116">
        <f t="shared" ref="G135:K135" si="181">G62/G28</f>
        <v>0.76269358784532126</v>
      </c>
      <c r="H135" s="116">
        <f t="shared" si="181"/>
        <v>0.80642109130269268</v>
      </c>
      <c r="I135" s="116">
        <f t="shared" si="181"/>
        <v>0.88371785334284436</v>
      </c>
      <c r="J135" s="116">
        <f t="shared" si="181"/>
        <v>0.87407089126432969</v>
      </c>
      <c r="K135" s="209">
        <f t="shared" si="181"/>
        <v>0.78479427890136588</v>
      </c>
      <c r="L135" s="116">
        <f t="shared" si="179"/>
        <v>0.82233954053131075</v>
      </c>
    </row>
    <row r="136" spans="1:24" x14ac:dyDescent="0.2">
      <c r="A136" s="32" t="s">
        <v>50</v>
      </c>
      <c r="B136" s="116">
        <f t="shared" ref="B136:K136" si="182">(B100+B94)/B94</f>
        <v>2.9098136029672328</v>
      </c>
      <c r="C136" s="116">
        <f t="shared" si="182"/>
        <v>2.0600189142792531</v>
      </c>
      <c r="D136" s="116">
        <f t="shared" si="182"/>
        <v>2.5661721879369619</v>
      </c>
      <c r="E136" s="116">
        <f t="shared" si="182"/>
        <v>3.0820760858002516</v>
      </c>
      <c r="F136" s="116">
        <f t="shared" si="182"/>
        <v>3.4055574766331023</v>
      </c>
      <c r="G136" s="116">
        <f t="shared" si="182"/>
        <v>2.5087482485162824</v>
      </c>
      <c r="H136" s="116">
        <f t="shared" si="182"/>
        <v>3.2425574499796248</v>
      </c>
      <c r="I136" s="116">
        <f t="shared" si="182"/>
        <v>4.0694348617713825</v>
      </c>
      <c r="J136" s="116">
        <f t="shared" si="182"/>
        <v>5.1958954859968767</v>
      </c>
      <c r="K136" s="209">
        <f t="shared" si="182"/>
        <v>1.5628311287422871</v>
      </c>
      <c r="L136" s="116">
        <f t="shared" si="179"/>
        <v>3.3158934350012905</v>
      </c>
      <c r="X136" s="32" t="s">
        <v>252</v>
      </c>
    </row>
    <row r="137" spans="1:24" x14ac:dyDescent="0.2">
      <c r="A137" s="32"/>
      <c r="B137" s="116"/>
      <c r="C137" s="116"/>
      <c r="D137" s="116"/>
      <c r="E137" s="116"/>
      <c r="F137" s="116"/>
      <c r="G137" s="116"/>
      <c r="H137" s="116"/>
      <c r="I137" s="116"/>
      <c r="J137" s="116"/>
      <c r="K137" s="209"/>
      <c r="L137" s="116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x14ac:dyDescent="0.2">
      <c r="A138" s="65" t="s">
        <v>87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209"/>
      <c r="L138" s="116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x14ac:dyDescent="0.2">
      <c r="A139" s="32" t="s">
        <v>42</v>
      </c>
      <c r="B139" s="66"/>
      <c r="C139" s="66">
        <f t="shared" ref="C139:E139" si="183">(C104+(C94*(1-(C103/C100))))/((B38+C38)/2)</f>
        <v>5.4494030866047982E-2</v>
      </c>
      <c r="D139" s="66">
        <f t="shared" si="183"/>
        <v>6.5855087341625068E-2</v>
      </c>
      <c r="E139" s="66">
        <f t="shared" si="183"/>
        <v>8.8992027553038172E-2</v>
      </c>
      <c r="F139" s="210">
        <f t="shared" ref="F139:J139" si="184">(F111+(F94*(1-(F103/F100))))/((E38+F38)/2)</f>
        <v>9.3827061950038274E-2</v>
      </c>
      <c r="G139" s="210">
        <f t="shared" si="184"/>
        <v>2.5808400523296849E-2</v>
      </c>
      <c r="H139" s="210">
        <f t="shared" si="184"/>
        <v>7.2505601919908222E-2</v>
      </c>
      <c r="I139" s="210">
        <f t="shared" si="184"/>
        <v>8.6174277487646708E-2</v>
      </c>
      <c r="J139" s="210">
        <f t="shared" si="184"/>
        <v>9.5992942344873738E-2</v>
      </c>
      <c r="K139" s="210">
        <f>(K111+(K94*(1-(K103/K100))))/((J38+K38)/2)</f>
        <v>3.4087207704594308E-2</v>
      </c>
      <c r="L139" s="117">
        <f>AVERAGE(G139:K139)</f>
        <v>6.2913685996063951E-2</v>
      </c>
      <c r="M139" t="s">
        <v>248</v>
      </c>
      <c r="S139" s="144">
        <f>+S132-S130</f>
        <v>21995</v>
      </c>
      <c r="T139" s="144">
        <f>+T132-T130</f>
        <v>15934</v>
      </c>
      <c r="U139" s="144">
        <f>+U132-U130</f>
        <v>19537</v>
      </c>
      <c r="V139" s="144">
        <f>+V132-V130</f>
        <v>18901</v>
      </c>
      <c r="W139" s="144">
        <f>+W132-W130</f>
        <v>20939</v>
      </c>
      <c r="X139" s="144">
        <f>AVERAGE(S139:W139)</f>
        <v>19461.2</v>
      </c>
    </row>
    <row r="140" spans="1:24" x14ac:dyDescent="0.2">
      <c r="A140" s="32" t="s">
        <v>86</v>
      </c>
      <c r="B140" s="66"/>
      <c r="C140" s="66">
        <f t="shared" ref="C140:E140" si="185">(C104+(C94*(1-(C103/C100))))/((B50+C50+B57+C57+B62+C62)/2)</f>
        <v>6.2505704089836314E-2</v>
      </c>
      <c r="D140" s="66">
        <f t="shared" si="185"/>
        <v>7.6405517571698181E-2</v>
      </c>
      <c r="E140" s="66">
        <f t="shared" si="185"/>
        <v>0.10336689223455847</v>
      </c>
      <c r="F140" s="210">
        <f t="shared" ref="F140:J140" si="186">(F111+(F94*(1-(F103/F100))))/((E50+F50+E57+F57+E62+F62)/2)</f>
        <v>0.10938251655174924</v>
      </c>
      <c r="G140" s="210">
        <f t="shared" si="186"/>
        <v>3.0135500173314816E-2</v>
      </c>
      <c r="H140" s="210">
        <f t="shared" si="186"/>
        <v>8.3810756650749121E-2</v>
      </c>
      <c r="I140" s="210">
        <f t="shared" si="186"/>
        <v>9.8558151587399639E-2</v>
      </c>
      <c r="J140" s="210">
        <f t="shared" si="186"/>
        <v>0.11038630246137331</v>
      </c>
      <c r="K140" s="210">
        <f>(K111+(K94*(1-(K103/K100))))/((J50+K50+J57+K57+J62+K62)/2)</f>
        <v>3.9333519807578474E-2</v>
      </c>
      <c r="L140" s="117">
        <f t="shared" ref="L140:L141" si="187">AVERAGE(G140:K140)</f>
        <v>7.2444846136083069E-2</v>
      </c>
      <c r="M140" t="s">
        <v>249</v>
      </c>
      <c r="S140" s="123">
        <f>+S139/S132</f>
        <v>4.4142911043855919E-2</v>
      </c>
      <c r="T140" s="123">
        <f>+T139/T132</f>
        <v>3.1141347790652904E-2</v>
      </c>
      <c r="U140" s="123">
        <f>+U139/U132</f>
        <v>3.7606011726253948E-2</v>
      </c>
      <c r="V140" s="123">
        <f>+V139/V132</f>
        <v>3.4515439820310072E-2</v>
      </c>
      <c r="W140" s="123">
        <f>+W139/W132</f>
        <v>3.7294306023834586E-2</v>
      </c>
      <c r="X140" s="145">
        <f>AVERAGE(S140:W140)</f>
        <v>3.694000328098148E-2</v>
      </c>
    </row>
    <row r="141" spans="1:24" x14ac:dyDescent="0.2">
      <c r="A141" s="32" t="s">
        <v>180</v>
      </c>
      <c r="B141" s="66"/>
      <c r="C141" s="66">
        <v>6.7734997943316805E-2</v>
      </c>
      <c r="D141" s="66">
        <f t="shared" ref="D141:E141" si="188">(D104-D113)/((D62+C62)/2)</f>
        <v>8.819918957787172E-2</v>
      </c>
      <c r="E141" s="66">
        <f t="shared" si="188"/>
        <v>0.12562315622100281</v>
      </c>
      <c r="F141" s="210">
        <f t="shared" ref="F141:J141" si="189">(F111-F113)/((F62+E62)/2)</f>
        <v>0.13424068023613075</v>
      </c>
      <c r="G141" s="210">
        <f t="shared" si="189"/>
        <v>6.051678996292326E-3</v>
      </c>
      <c r="H141" s="210">
        <f t="shared" si="189"/>
        <v>9.0627160671678114E-2</v>
      </c>
      <c r="I141" s="210">
        <f t="shared" si="189"/>
        <v>0.11143867713141596</v>
      </c>
      <c r="J141" s="210">
        <f t="shared" si="189"/>
        <v>0.12898159212250943</v>
      </c>
      <c r="K141" s="210">
        <f>(K111-K113)/((K62+J62)/2)</f>
        <v>2.6397564343284361E-2</v>
      </c>
      <c r="L141" s="117">
        <f t="shared" si="187"/>
        <v>7.2699334653036046E-2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x14ac:dyDescent="0.2">
      <c r="A142" s="32"/>
      <c r="B142" s="116"/>
      <c r="C142" s="116"/>
      <c r="D142" s="116"/>
      <c r="E142" s="116"/>
      <c r="F142" s="116"/>
      <c r="G142" s="116"/>
      <c r="H142" s="116"/>
      <c r="I142" s="116"/>
      <c r="J142" s="116"/>
      <c r="K142" s="209"/>
      <c r="L142" s="116"/>
      <c r="M142" s="32" t="s">
        <v>247</v>
      </c>
      <c r="Q142" s="139">
        <f t="shared" ref="Q142:W142" si="190">(+E100+E94+E89+E88)/(E88+E94)</f>
        <v>3.2815434396413163</v>
      </c>
      <c r="R142" s="139">
        <f t="shared" si="190"/>
        <v>3.6592871754459746</v>
      </c>
      <c r="S142" s="139">
        <f t="shared" si="190"/>
        <v>2.8376092879593862</v>
      </c>
      <c r="T142" s="139">
        <f t="shared" si="190"/>
        <v>3.6307344195629292</v>
      </c>
      <c r="U142" s="139">
        <f t="shared" si="190"/>
        <v>4.5211407643809416</v>
      </c>
      <c r="V142" s="139">
        <f t="shared" si="190"/>
        <v>5.7108462551361159</v>
      </c>
      <c r="W142" s="139">
        <f t="shared" si="190"/>
        <v>2.0519720423905663</v>
      </c>
      <c r="X142" s="146">
        <f>AVERAGE(S142:W142)</f>
        <v>3.7504605538859876</v>
      </c>
    </row>
    <row r="143" spans="1:24" x14ac:dyDescent="0.2">
      <c r="A143" s="65" t="s">
        <v>4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209"/>
      <c r="L143" s="116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x14ac:dyDescent="0.2">
      <c r="A144" s="32" t="s">
        <v>44</v>
      </c>
      <c r="B144" s="116"/>
      <c r="C144" s="116">
        <f t="shared" ref="C144:E144" si="191">C77/((B12+C12)/2)</f>
        <v>42.113088257034448</v>
      </c>
      <c r="D144" s="116">
        <f t="shared" si="191"/>
        <v>39.571480353261755</v>
      </c>
      <c r="E144" s="116">
        <f t="shared" si="191"/>
        <v>26.787174763825515</v>
      </c>
      <c r="F144" s="209">
        <f t="shared" ref="F144:J144" si="192">F77/((E12+E13+F12+F13)/2)</f>
        <v>11.550987467353844</v>
      </c>
      <c r="G144" s="209">
        <f t="shared" si="192"/>
        <v>12.246095080949535</v>
      </c>
      <c r="H144" s="209">
        <f t="shared" si="192"/>
        <v>15.554338210545859</v>
      </c>
      <c r="I144" s="209">
        <f t="shared" si="192"/>
        <v>12.080521677025326</v>
      </c>
      <c r="J144" s="209">
        <f t="shared" si="192"/>
        <v>8.2893509515515369</v>
      </c>
      <c r="K144" s="209">
        <f>K77/((J12+J13+K12+K13)/2)</f>
        <v>8.1095290063614094</v>
      </c>
      <c r="L144" s="116">
        <f t="shared" ref="L144:L148" si="193">AVERAGE(G144:K144)</f>
        <v>11.255966985286733</v>
      </c>
      <c r="M144" s="32" t="s">
        <v>246</v>
      </c>
      <c r="N144" s="32"/>
      <c r="O144" s="32"/>
      <c r="P144" s="32"/>
      <c r="Q144" s="123">
        <f t="shared" ref="Q144:W144" si="194">E62/E38</f>
        <v>0.52703843852232668</v>
      </c>
      <c r="R144" s="123">
        <f t="shared" si="194"/>
        <v>0.52813381379834035</v>
      </c>
      <c r="S144" s="123">
        <f t="shared" si="194"/>
        <v>0.54856058741567337</v>
      </c>
      <c r="T144" s="123">
        <f t="shared" si="194"/>
        <v>0.57322345926365914</v>
      </c>
      <c r="U144" s="123">
        <f t="shared" si="194"/>
        <v>0.61541009491268273</v>
      </c>
      <c r="V144" s="123">
        <f t="shared" si="194"/>
        <v>0.60021265775407096</v>
      </c>
      <c r="W144" s="123">
        <f t="shared" si="194"/>
        <v>0.57381678907332512</v>
      </c>
      <c r="X144" s="140">
        <f>AVERAGE(S144:W144)</f>
        <v>0.5822447176838822</v>
      </c>
    </row>
    <row r="145" spans="1:24" x14ac:dyDescent="0.2">
      <c r="A145" s="32" t="s">
        <v>43</v>
      </c>
      <c r="B145" s="116"/>
      <c r="C145" s="116">
        <f t="shared" ref="C145:K145" si="195">C77/((B14+C14)/2)</f>
        <v>36.586083089906801</v>
      </c>
      <c r="D145" s="116">
        <f t="shared" si="195"/>
        <v>38.551577489657085</v>
      </c>
      <c r="E145" s="116">
        <f t="shared" si="195"/>
        <v>43.540870248558456</v>
      </c>
      <c r="F145" s="116">
        <f t="shared" si="195"/>
        <v>43.964353504261339</v>
      </c>
      <c r="G145" s="116">
        <f t="shared" si="195"/>
        <v>36.811418811315477</v>
      </c>
      <c r="H145" s="116">
        <f t="shared" si="195"/>
        <v>44.648853308405464</v>
      </c>
      <c r="I145" s="116">
        <f t="shared" si="195"/>
        <v>62.866149252796568</v>
      </c>
      <c r="J145" s="116">
        <f t="shared" si="195"/>
        <v>48.612027871302281</v>
      </c>
      <c r="K145" s="209">
        <f t="shared" si="195"/>
        <v>43.179664391516532</v>
      </c>
      <c r="L145" s="116">
        <f t="shared" si="193"/>
        <v>47.223622727067259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x14ac:dyDescent="0.2">
      <c r="A146" s="32" t="s">
        <v>47</v>
      </c>
      <c r="B146" s="116"/>
      <c r="C146" s="116">
        <f t="shared" ref="C146:K146" si="196">C77/((B17+C17-B48-C48)/2)</f>
        <v>134.95012409102992</v>
      </c>
      <c r="D146" s="116">
        <f t="shared" si="196"/>
        <v>51.620598859245085</v>
      </c>
      <c r="E146" s="116">
        <f t="shared" si="196"/>
        <v>39.511274497046038</v>
      </c>
      <c r="F146" s="116">
        <f t="shared" si="196"/>
        <v>41.341389699790255</v>
      </c>
      <c r="G146" s="116">
        <f t="shared" si="196"/>
        <v>27.263372179132752</v>
      </c>
      <c r="H146" s="116">
        <f t="shared" si="196"/>
        <v>18.958526262989</v>
      </c>
      <c r="I146" s="116">
        <f t="shared" si="196"/>
        <v>11.512736389646301</v>
      </c>
      <c r="J146" s="116">
        <f t="shared" si="196"/>
        <v>8.5396316164290731</v>
      </c>
      <c r="K146" s="209">
        <f t="shared" si="196"/>
        <v>8.7913112456886466</v>
      </c>
      <c r="L146" s="116">
        <f t="shared" si="193"/>
        <v>15.013115538777154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x14ac:dyDescent="0.2">
      <c r="A147" s="32" t="s">
        <v>45</v>
      </c>
      <c r="B147" s="116"/>
      <c r="C147" s="116">
        <f>C77/((B28+C28)/2)</f>
        <v>0.93831261646320052</v>
      </c>
      <c r="D147" s="116">
        <f t="shared" ref="D147:E147" si="197">D77/((B28+D28)/2)</f>
        <v>1.0201907693078964</v>
      </c>
      <c r="E147" s="116">
        <f t="shared" si="197"/>
        <v>1.084156719508006</v>
      </c>
      <c r="F147" s="209">
        <f t="shared" ref="F147:J147" si="198">F77/((E28+F28)/2)</f>
        <v>1.04564297976054</v>
      </c>
      <c r="G147" s="209">
        <f t="shared" si="198"/>
        <v>1.0110261723473686</v>
      </c>
      <c r="H147" s="209">
        <f t="shared" si="198"/>
        <v>1.069080084898075</v>
      </c>
      <c r="I147" s="209">
        <f t="shared" si="198"/>
        <v>1.1117135793048254</v>
      </c>
      <c r="J147" s="209">
        <f t="shared" si="198"/>
        <v>1.1206717407659537</v>
      </c>
      <c r="K147" s="209">
        <f>K77/((J28+K28)/2)</f>
        <v>1.0111717445205628</v>
      </c>
      <c r="L147" s="116">
        <f t="shared" si="193"/>
        <v>1.0647326643673571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x14ac:dyDescent="0.2">
      <c r="A148" s="32" t="s">
        <v>46</v>
      </c>
      <c r="B148" s="116"/>
      <c r="C148" s="116">
        <f t="shared" ref="C148:K148" si="199">C77/((B38+C38)/2)</f>
        <v>0.66372320912551919</v>
      </c>
      <c r="D148" s="116">
        <f t="shared" si="199"/>
        <v>0.71090314087659556</v>
      </c>
      <c r="E148" s="116">
        <f t="shared" si="199"/>
        <v>0.75637614652159479</v>
      </c>
      <c r="F148" s="116">
        <f t="shared" si="199"/>
        <v>0.73330858313159397</v>
      </c>
      <c r="G148" s="116">
        <f t="shared" si="199"/>
        <v>0.71568961807538412</v>
      </c>
      <c r="H148" s="116">
        <f t="shared" si="199"/>
        <v>0.76442401362758539</v>
      </c>
      <c r="I148" s="116">
        <f t="shared" si="199"/>
        <v>0.7821986479207429</v>
      </c>
      <c r="J148" s="116">
        <f t="shared" si="199"/>
        <v>0.77467993230323429</v>
      </c>
      <c r="K148" s="209">
        <f t="shared" si="199"/>
        <v>0.71747350259434184</v>
      </c>
      <c r="L148" s="116">
        <f t="shared" si="193"/>
        <v>0.75089314290425768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211"/>
      <c r="L149" s="116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x14ac:dyDescent="0.2">
      <c r="A150" s="65" t="s">
        <v>176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211"/>
      <c r="L150" s="116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x14ac:dyDescent="0.2">
      <c r="A151" s="32" t="s">
        <v>177</v>
      </c>
      <c r="B151" s="118">
        <f t="shared" ref="B151:J151" si="200">(+B100-B95+B94+B83)/(B94+B41)</f>
        <v>2.3092523967249314</v>
      </c>
      <c r="C151" s="118">
        <f t="shared" si="200"/>
        <v>1.7901614690120864</v>
      </c>
      <c r="D151" s="118">
        <f t="shared" si="200"/>
        <v>2.0071376180663316</v>
      </c>
      <c r="E151" s="118">
        <f t="shared" si="200"/>
        <v>2.3208318743372254</v>
      </c>
      <c r="F151" s="212">
        <f t="shared" si="200"/>
        <v>2.2939642263385647</v>
      </c>
      <c r="G151" s="212">
        <f t="shared" si="200"/>
        <v>1.9448936653633313</v>
      </c>
      <c r="H151" s="212">
        <f t="shared" si="200"/>
        <v>2.3339287935786937</v>
      </c>
      <c r="I151" s="212">
        <f t="shared" si="200"/>
        <v>2.6953316018763167</v>
      </c>
      <c r="J151" s="212">
        <f t="shared" si="200"/>
        <v>3.0975928597675781</v>
      </c>
      <c r="K151" s="212">
        <f>(+K100-K95+K94+K83)/(K94+K41)</f>
        <v>1.4863975082472327</v>
      </c>
      <c r="L151" s="116">
        <f>AVERAGE(G151:K151)</f>
        <v>2.3116288857666305</v>
      </c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x14ac:dyDescent="0.2">
      <c r="A152" s="32" t="s">
        <v>178</v>
      </c>
      <c r="B152" s="66">
        <f>B49/B24</f>
        <v>0</v>
      </c>
      <c r="C152" s="66">
        <f>C49/C24</f>
        <v>0</v>
      </c>
      <c r="D152" s="66">
        <f>D49/D24</f>
        <v>0</v>
      </c>
      <c r="E152" s="66">
        <f>E49/E24</f>
        <v>0</v>
      </c>
      <c r="F152" s="66">
        <f>F49/F24</f>
        <v>0</v>
      </c>
      <c r="G152" s="66">
        <f t="shared" ref="G152:K152" si="201">G49/G24</f>
        <v>0</v>
      </c>
      <c r="H152" s="66">
        <f t="shared" si="201"/>
        <v>0</v>
      </c>
      <c r="I152" s="66">
        <f t="shared" si="201"/>
        <v>0</v>
      </c>
      <c r="J152" s="66">
        <f t="shared" si="201"/>
        <v>0</v>
      </c>
      <c r="K152" s="210">
        <f t="shared" si="201"/>
        <v>0</v>
      </c>
      <c r="L152" s="117">
        <f t="shared" ref="L152:L153" si="202">AVERAGE(G152:K152)</f>
        <v>0</v>
      </c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x14ac:dyDescent="0.2">
      <c r="A153" s="32" t="s">
        <v>179</v>
      </c>
      <c r="B153" s="117">
        <f>B49/B60</f>
        <v>0</v>
      </c>
      <c r="C153" s="117">
        <f>C49/C60</f>
        <v>0</v>
      </c>
      <c r="D153" s="117">
        <f>D49/D60</f>
        <v>0</v>
      </c>
      <c r="E153" s="117">
        <f>E49/E60</f>
        <v>0</v>
      </c>
      <c r="F153" s="117">
        <f>F49/F60</f>
        <v>0</v>
      </c>
      <c r="G153" s="117">
        <f t="shared" ref="G153:K153" si="203">G49/G60</f>
        <v>0</v>
      </c>
      <c r="H153" s="117">
        <f t="shared" si="203"/>
        <v>0</v>
      </c>
      <c r="I153" s="117">
        <f t="shared" si="203"/>
        <v>0</v>
      </c>
      <c r="J153" s="117">
        <f t="shared" si="203"/>
        <v>0</v>
      </c>
      <c r="K153" s="213">
        <f t="shared" si="203"/>
        <v>0</v>
      </c>
      <c r="L153" s="117">
        <f t="shared" si="202"/>
        <v>0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211"/>
      <c r="L154" s="116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x14ac:dyDescent="0.2">
      <c r="A155" s="65" t="s">
        <v>116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211"/>
      <c r="L155" s="116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x14ac:dyDescent="0.2">
      <c r="A156" s="32" t="s">
        <v>79</v>
      </c>
      <c r="B156" s="66">
        <f>B50/(B$50+B$62)</f>
        <v>0.49828681044971351</v>
      </c>
      <c r="C156" s="66">
        <f>C50/(C$50+C$62)</f>
        <v>0.47151923355247877</v>
      </c>
      <c r="D156" s="66">
        <f>D50/(D$50+D$62)</f>
        <v>0.43515282561501611</v>
      </c>
      <c r="E156" s="66">
        <f>E50/(E$50+E$62)</f>
        <v>0.39197497047485125</v>
      </c>
      <c r="F156" s="210">
        <f t="shared" ref="F156:J156" si="204">(F50+F41)/(F$50+F$62+F41)</f>
        <v>0.39695851567723156</v>
      </c>
      <c r="G156" s="210">
        <f t="shared" si="204"/>
        <v>0.38431447380452227</v>
      </c>
      <c r="H156" s="210">
        <f t="shared" si="204"/>
        <v>0.35745389554269469</v>
      </c>
      <c r="I156" s="210">
        <f t="shared" si="204"/>
        <v>0.32210178085810304</v>
      </c>
      <c r="J156" s="210">
        <f t="shared" si="204"/>
        <v>0.3191953795942134</v>
      </c>
      <c r="K156" s="210">
        <f>(K50+K41)/(K$50+K$62+K41)</f>
        <v>0.36200594067940345</v>
      </c>
      <c r="L156" s="117">
        <f t="shared" ref="L156:L157" si="205">AVERAGE(G156:K156)</f>
        <v>0.34901429409578733</v>
      </c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x14ac:dyDescent="0.2">
      <c r="A157" s="32" t="s">
        <v>117</v>
      </c>
      <c r="B157" s="66">
        <f>B62/(B$50+B$62)</f>
        <v>0.50171318955028643</v>
      </c>
      <c r="C157" s="66">
        <f>C62/(C$50+C$62)</f>
        <v>0.52848076644752129</v>
      </c>
      <c r="D157" s="66">
        <f>D62/(D$50+D$62)</f>
        <v>0.56484717438498389</v>
      </c>
      <c r="E157" s="66">
        <f>E62/(E$50+E$62)</f>
        <v>0.6080250295251487</v>
      </c>
      <c r="F157" s="210">
        <f t="shared" ref="F157:J157" si="206">F62/(F$50+F$62+F$41)</f>
        <v>0.60304148432276838</v>
      </c>
      <c r="G157" s="210">
        <f t="shared" si="206"/>
        <v>0.61568552619547767</v>
      </c>
      <c r="H157" s="210">
        <f t="shared" si="206"/>
        <v>0.64254610445730531</v>
      </c>
      <c r="I157" s="210">
        <f t="shared" si="206"/>
        <v>0.67789821914189696</v>
      </c>
      <c r="J157" s="210">
        <f t="shared" si="206"/>
        <v>0.6808046204057866</v>
      </c>
      <c r="K157" s="210">
        <f>K62/(K$50+K$62+K$41)</f>
        <v>0.6379940593205965</v>
      </c>
      <c r="L157" s="117">
        <f t="shared" si="205"/>
        <v>0.65098570590421256</v>
      </c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117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x14ac:dyDescent="0.2">
      <c r="A159" s="65" t="s">
        <v>118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117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x14ac:dyDescent="0.2">
      <c r="A160" s="32" t="s">
        <v>119</v>
      </c>
      <c r="B160" s="66">
        <f>B$41/(B$41+B$50+B$62)</f>
        <v>2.8266058197829742E-2</v>
      </c>
      <c r="C160" s="66">
        <f>C$41/(C$41+C$50+C$62)</f>
        <v>2.9553547398757197E-2</v>
      </c>
      <c r="D160" s="66">
        <f>D$41/(D$41+D$50+D$62)</f>
        <v>3.0087464516507303E-2</v>
      </c>
      <c r="E160" s="66">
        <f>E$41/(E$41+E$50+E$62)</f>
        <v>2.7186164493497419E-2</v>
      </c>
      <c r="F160" s="66">
        <f>F$41/(F$41+F$50+F$62)</f>
        <v>3.0115593885322745E-2</v>
      </c>
      <c r="G160" s="66">
        <f t="shared" ref="G160:J160" si="207">G$41/(G$41+G$50+G$62)</f>
        <v>3.0415044519541898E-2</v>
      </c>
      <c r="H160" s="66">
        <f t="shared" si="207"/>
        <v>2.8884933602716451E-2</v>
      </c>
      <c r="I160" s="66">
        <f t="shared" si="207"/>
        <v>2.8072066836093069E-2</v>
      </c>
      <c r="J160" s="66">
        <f t="shared" si="207"/>
        <v>2.6523563072740019E-2</v>
      </c>
      <c r="K160" s="66">
        <f>K$41/(K$41+K$50+K$62)</f>
        <v>2.7641330167030704E-2</v>
      </c>
      <c r="L160" s="117">
        <f t="shared" ref="L160:L162" si="208">AVERAGE(G160:K160)</f>
        <v>2.8307387639624426E-2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x14ac:dyDescent="0.2">
      <c r="A161" s="32" t="s">
        <v>79</v>
      </c>
      <c r="B161" s="66">
        <f>B$50/(B$41+B$50+B$62)</f>
        <v>0.48420220646633094</v>
      </c>
      <c r="C161" s="66">
        <f>C$50/(C$41+C$50+C$62)</f>
        <v>0.4575841675342599</v>
      </c>
      <c r="D161" s="66">
        <f>D$50/(D$41+D$50+D$62)</f>
        <v>0.42206018041506643</v>
      </c>
      <c r="E161" s="66">
        <f>E$50/(E$41+E$50+E$62)</f>
        <v>0.38131867445018819</v>
      </c>
      <c r="F161" s="66">
        <f t="shared" ref="F161:J161" si="209">F$50/(F$41+F$50+F$62)</f>
        <v>0.3668429217919088</v>
      </c>
      <c r="G161" s="66">
        <f t="shared" si="209"/>
        <v>0.35389942928498042</v>
      </c>
      <c r="H161" s="66">
        <f t="shared" si="209"/>
        <v>0.32856896193997825</v>
      </c>
      <c r="I161" s="66">
        <f t="shared" si="209"/>
        <v>0.29402971402200995</v>
      </c>
      <c r="J161" s="66">
        <f t="shared" si="209"/>
        <v>0.29267181652147339</v>
      </c>
      <c r="K161" s="66">
        <f>K$50/(K$41+K$50+K$62)</f>
        <v>0.33436461051237276</v>
      </c>
      <c r="L161" s="117">
        <f t="shared" si="208"/>
        <v>0.32070690645616295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x14ac:dyDescent="0.2">
      <c r="A162" s="32" t="s">
        <v>117</v>
      </c>
      <c r="B162" s="66">
        <f>B$62/(B$41+B$50+B$62)</f>
        <v>0.48753173533583932</v>
      </c>
      <c r="C162" s="66">
        <f>C$62/(C$41+C$50+C$62)</f>
        <v>0.51286228506698284</v>
      </c>
      <c r="D162" s="66">
        <f>D$62/(D$41+D$50+D$62)</f>
        <v>0.54785235506842622</v>
      </c>
      <c r="E162" s="66">
        <f>E$62/(E$41+E$50+E$62)</f>
        <v>0.59149516105631439</v>
      </c>
      <c r="F162" s="66">
        <f>F$62/(F$41+F$50+F$62)</f>
        <v>0.60304148432276838</v>
      </c>
      <c r="G162" s="66">
        <f t="shared" ref="G162:K162" si="210">G$62/(G$41+G$50+G$62)</f>
        <v>0.61568552619547767</v>
      </c>
      <c r="H162" s="66">
        <f t="shared" si="210"/>
        <v>0.64254610445730531</v>
      </c>
      <c r="I162" s="66">
        <f t="shared" si="210"/>
        <v>0.67789821914189696</v>
      </c>
      <c r="J162" s="66">
        <f>J$62/(J$41+J$50+J$62)</f>
        <v>0.6808046204057866</v>
      </c>
      <c r="K162" s="66">
        <f t="shared" si="210"/>
        <v>0.6379940593205965</v>
      </c>
      <c r="L162" s="117">
        <f t="shared" si="208"/>
        <v>0.65098570590421256</v>
      </c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116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7" spans="1:24" x14ac:dyDescent="0.2">
      <c r="F167" s="147">
        <f>+F14/F77</f>
        <v>2.3281417735525303E-2</v>
      </c>
      <c r="G167" s="147">
        <f t="shared" ref="G167:K167" si="211">+G14/G77</f>
        <v>3.0583700082280119E-2</v>
      </c>
      <c r="H167" s="147">
        <f t="shared" si="211"/>
        <v>1.5237121357917242E-2</v>
      </c>
      <c r="I167" s="147">
        <f t="shared" si="211"/>
        <v>1.6950327663724767E-2</v>
      </c>
      <c r="J167" s="147">
        <f t="shared" si="211"/>
        <v>2.5009786809336597E-2</v>
      </c>
      <c r="K167" s="147">
        <f t="shared" si="211"/>
        <v>2.1465230663449245E-2</v>
      </c>
      <c r="L167" s="1">
        <f>AVERAGE(F167:K167)</f>
        <v>2.2087930718705545E-2</v>
      </c>
    </row>
    <row r="169" spans="1:24" x14ac:dyDescent="0.2">
      <c r="F169" s="147">
        <f>+F41/F50</f>
        <v>8.2093975640085484E-2</v>
      </c>
      <c r="G169" s="147">
        <f t="shared" ref="G169:K169" si="212">+G41/G50</f>
        <v>8.5942620989789553E-2</v>
      </c>
      <c r="H169" s="147">
        <f t="shared" si="212"/>
        <v>8.7911327449100463E-2</v>
      </c>
      <c r="I169" s="147">
        <f t="shared" si="212"/>
        <v>9.5473571198289503E-2</v>
      </c>
      <c r="J169" s="147">
        <f t="shared" si="212"/>
        <v>9.062561399995267E-2</v>
      </c>
      <c r="K169" s="147">
        <f t="shared" si="212"/>
        <v>8.2668228927319065E-2</v>
      </c>
      <c r="L169" s="1">
        <f>AVERAGE(F169:K169)</f>
        <v>8.7452556367422773E-2</v>
      </c>
    </row>
    <row r="171" spans="1:24" x14ac:dyDescent="0.2">
      <c r="F171" s="147">
        <f>+F42/F77</f>
        <v>2.4938738010296824E-2</v>
      </c>
      <c r="G171" s="147">
        <f t="shared" ref="G171:K171" si="213">+G42/G77</f>
        <v>1.3395130661587965E-2</v>
      </c>
      <c r="H171" s="147">
        <f t="shared" si="213"/>
        <v>1.6456454903808131E-2</v>
      </c>
      <c r="I171" s="147">
        <f t="shared" si="213"/>
        <v>1.3073641899114641E-2</v>
      </c>
      <c r="J171" s="147">
        <f t="shared" si="213"/>
        <v>4.2992360066404521E-2</v>
      </c>
      <c r="K171" s="147">
        <f t="shared" si="213"/>
        <v>2.4312421564451576E-2</v>
      </c>
      <c r="L171" s="1">
        <f>AVERAGE(F171:K171)</f>
        <v>2.2528124517610607E-2</v>
      </c>
    </row>
    <row r="172" spans="1:24" x14ac:dyDescent="0.2">
      <c r="F172" s="147">
        <f>+F43/F77</f>
        <v>3.5811703111319412E-2</v>
      </c>
      <c r="G172" s="147">
        <f t="shared" ref="G172:K172" si="214">+G43/G77</f>
        <v>4.2229333828257963E-2</v>
      </c>
      <c r="H172" s="147">
        <f t="shared" si="214"/>
        <v>4.2501393911598399E-2</v>
      </c>
      <c r="I172" s="147">
        <f t="shared" si="214"/>
        <v>2.341008001809174E-2</v>
      </c>
      <c r="J172" s="147">
        <f t="shared" si="214"/>
        <v>4.46277320546421E-2</v>
      </c>
      <c r="K172" s="147">
        <f t="shared" si="214"/>
        <v>4.7783152513833013E-2</v>
      </c>
      <c r="L172" s="1">
        <f>AVERAGE(F172:K172)</f>
        <v>3.9393899239623775E-2</v>
      </c>
    </row>
    <row r="174" spans="1:24" x14ac:dyDescent="0.2">
      <c r="F174" s="147">
        <f>+F26/F24</f>
        <v>0.4946475679302515</v>
      </c>
      <c r="G174" s="147">
        <f t="shared" ref="G174:K174" si="215">+G26/G24</f>
        <v>0.50786744672277639</v>
      </c>
      <c r="H174" s="147">
        <f t="shared" si="215"/>
        <v>0.52136406333932883</v>
      </c>
      <c r="I174" s="147">
        <f t="shared" si="215"/>
        <v>0.53623550236988393</v>
      </c>
      <c r="J174" s="147">
        <f t="shared" si="215"/>
        <v>0.50028259057660529</v>
      </c>
      <c r="K174" s="147">
        <f t="shared" si="215"/>
        <v>0.47742547386779666</v>
      </c>
      <c r="L174" s="1">
        <f>AVERAGE(F174:K174)</f>
        <v>0.50630377413444039</v>
      </c>
    </row>
  </sheetData>
  <mergeCells count="3">
    <mergeCell ref="M4:X4"/>
    <mergeCell ref="M5:X5"/>
    <mergeCell ref="M3:X3"/>
  </mergeCells>
  <phoneticPr fontId="6" type="noConversion"/>
  <printOptions horizontalCentered="1"/>
  <pageMargins left="0.75" right="0.75" top="1" bottom="1" header="0.5" footer="0.5"/>
  <pageSetup scale="80" fitToHeight="5" orientation="portrait" r:id="rId1"/>
  <headerFooter alignWithMargins="0"/>
  <rowBreaks count="2" manualBreakCount="2">
    <brk id="64" max="8" man="1"/>
    <brk id="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zoomScale="130" zoomScaleNormal="130" workbookViewId="0">
      <selection activeCell="F11" sqref="F11"/>
    </sheetView>
  </sheetViews>
  <sheetFormatPr defaultRowHeight="12.75" x14ac:dyDescent="0.2"/>
  <cols>
    <col min="1" max="1" width="32" customWidth="1"/>
    <col min="2" max="5" width="10.7109375" hidden="1" customWidth="1"/>
    <col min="6" max="11" width="10.7109375" customWidth="1"/>
    <col min="12" max="12" width="11.140625" customWidth="1"/>
  </cols>
  <sheetData>
    <row r="1" spans="1:12" x14ac:dyDescent="0.2">
      <c r="L1" s="148" t="str">
        <f>+Historical!L1</f>
        <v>Exhibit 1</v>
      </c>
    </row>
    <row r="2" spans="1:12" x14ac:dyDescent="0.2">
      <c r="L2" s="149" t="s">
        <v>257</v>
      </c>
    </row>
    <row r="3" spans="1:12" ht="18" x14ac:dyDescent="0.25">
      <c r="A3" s="84" t="str">
        <f>Assumptions!D3</f>
        <v>Mt. Wheeler Power, Inc.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 x14ac:dyDescent="0.25">
      <c r="A4" s="85" t="s">
        <v>266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 x14ac:dyDescent="0.25">
      <c r="A5" s="92" t="s">
        <v>109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 x14ac:dyDescent="0.25">
      <c r="A6" s="1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32"/>
    </row>
    <row r="8" spans="1:12" x14ac:dyDescent="0.2">
      <c r="A8" s="32"/>
      <c r="B8" s="32"/>
      <c r="C8" s="86"/>
      <c r="D8" s="125"/>
      <c r="E8" s="125"/>
      <c r="F8" s="126"/>
      <c r="G8" s="126"/>
      <c r="H8" s="126"/>
      <c r="I8" s="126"/>
      <c r="J8" s="126"/>
      <c r="K8" s="126"/>
      <c r="L8" s="130" t="s">
        <v>238</v>
      </c>
    </row>
    <row r="9" spans="1:12" x14ac:dyDescent="0.2">
      <c r="A9" s="60" t="s">
        <v>199</v>
      </c>
      <c r="B9" s="61">
        <v>2004</v>
      </c>
      <c r="C9" s="61">
        <v>2005</v>
      </c>
      <c r="D9" s="62">
        <v>2006</v>
      </c>
      <c r="E9" s="62">
        <v>2007</v>
      </c>
      <c r="F9" s="62">
        <v>2008</v>
      </c>
      <c r="G9" s="62">
        <f>+F9+1</f>
        <v>2009</v>
      </c>
      <c r="H9" s="62">
        <f t="shared" ref="H9:K9" si="0">+G9+1</f>
        <v>2010</v>
      </c>
      <c r="I9" s="62">
        <f t="shared" si="0"/>
        <v>2011</v>
      </c>
      <c r="J9" s="62">
        <f t="shared" si="0"/>
        <v>2012</v>
      </c>
      <c r="K9" s="62">
        <f t="shared" si="0"/>
        <v>2013</v>
      </c>
      <c r="L9" s="131" t="s">
        <v>5</v>
      </c>
    </row>
    <row r="10" spans="1:12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32"/>
    </row>
    <row r="11" spans="1:12" x14ac:dyDescent="0.2">
      <c r="A11" s="32" t="s">
        <v>200</v>
      </c>
      <c r="B11" s="69">
        <f>+Historical!B111</f>
        <v>2386442</v>
      </c>
      <c r="C11" s="69">
        <f>+Historical!C111</f>
        <v>1132163</v>
      </c>
      <c r="D11" s="69">
        <f>+Historical!D111</f>
        <v>1627679</v>
      </c>
      <c r="E11" s="69">
        <f>+Historical!E111</f>
        <v>2717787</v>
      </c>
      <c r="F11" s="69">
        <f>+Historical!F111</f>
        <v>2983166</v>
      </c>
      <c r="G11" s="69">
        <f>+Historical!G111</f>
        <v>137758</v>
      </c>
      <c r="H11" s="69">
        <f>+Historical!H111</f>
        <v>2083567</v>
      </c>
      <c r="I11" s="69">
        <f>+Historical!I111</f>
        <v>2719822</v>
      </c>
      <c r="J11" s="69">
        <f>+Historical!J111</f>
        <v>3412997</v>
      </c>
      <c r="K11" s="69">
        <f>+Historical!K111</f>
        <v>733054</v>
      </c>
      <c r="L11" s="132">
        <f>AVERAGE(G11:K11)</f>
        <v>1817439.6</v>
      </c>
    </row>
    <row r="12" spans="1:12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x14ac:dyDescent="0.2">
      <c r="A13" s="32" t="s">
        <v>203</v>
      </c>
      <c r="B13" s="32"/>
      <c r="C13" s="69"/>
      <c r="D13" s="69"/>
      <c r="E13" s="69"/>
      <c r="F13" s="69"/>
      <c r="G13" s="69"/>
      <c r="H13" s="69"/>
      <c r="I13" s="69"/>
      <c r="J13" s="32"/>
      <c r="K13" s="32"/>
      <c r="L13" s="32"/>
    </row>
    <row r="14" spans="1:12" x14ac:dyDescent="0.2">
      <c r="A14" s="32" t="s">
        <v>204</v>
      </c>
      <c r="B14" s="32"/>
      <c r="C14" s="69"/>
      <c r="D14" s="69"/>
      <c r="E14" s="69">
        <v>1728846</v>
      </c>
      <c r="F14" s="69">
        <v>1774223</v>
      </c>
      <c r="G14" s="69">
        <v>1824512</v>
      </c>
      <c r="H14" s="69">
        <v>1886213</v>
      </c>
      <c r="I14" s="69">
        <v>1966791</v>
      </c>
      <c r="J14" s="69">
        <v>2004931</v>
      </c>
      <c r="K14" s="132">
        <v>2030572</v>
      </c>
      <c r="L14" s="132">
        <f t="shared" ref="L14:L15" si="1">AVERAGE(G14:K14)</f>
        <v>1942603.8</v>
      </c>
    </row>
    <row r="15" spans="1:12" x14ac:dyDescent="0.2">
      <c r="A15" s="32" t="s">
        <v>205</v>
      </c>
      <c r="B15" s="32"/>
      <c r="C15" s="69"/>
      <c r="D15" s="69"/>
      <c r="E15" s="69">
        <v>-414286</v>
      </c>
      <c r="F15" s="69">
        <v>-515706</v>
      </c>
      <c r="G15" s="69">
        <v>-487446</v>
      </c>
      <c r="H15" s="69">
        <v>-698421</v>
      </c>
      <c r="I15" s="69">
        <v>-117676</v>
      </c>
      <c r="J15" s="69">
        <v>-78474</v>
      </c>
      <c r="K15" s="132">
        <v>-107685</v>
      </c>
      <c r="L15" s="132">
        <f t="shared" si="1"/>
        <v>-297940.40000000002</v>
      </c>
    </row>
    <row r="16" spans="1:12" x14ac:dyDescent="0.2">
      <c r="A16" s="32" t="s">
        <v>231</v>
      </c>
      <c r="B16" s="32"/>
      <c r="C16" s="69"/>
      <c r="D16" s="69"/>
      <c r="E16" s="69"/>
      <c r="F16" s="69"/>
      <c r="G16" s="69"/>
      <c r="H16" s="69">
        <v>-4322856</v>
      </c>
      <c r="I16" s="69"/>
      <c r="J16" s="69"/>
      <c r="K16" s="132"/>
      <c r="L16" s="32"/>
    </row>
    <row r="17" spans="1:12" x14ac:dyDescent="0.2">
      <c r="A17" s="32" t="s">
        <v>232</v>
      </c>
      <c r="B17" s="32"/>
      <c r="C17" s="69"/>
      <c r="D17" s="69"/>
      <c r="E17" s="69"/>
      <c r="F17" s="69"/>
      <c r="G17" s="69">
        <v>1000000</v>
      </c>
      <c r="H17" s="69">
        <v>5000000</v>
      </c>
      <c r="I17" s="69"/>
      <c r="J17" s="69"/>
      <c r="K17" s="132"/>
      <c r="L17" s="32"/>
    </row>
    <row r="18" spans="1:12" x14ac:dyDescent="0.2">
      <c r="A18" s="32" t="s">
        <v>233</v>
      </c>
      <c r="B18" s="32"/>
      <c r="C18" s="69"/>
      <c r="D18" s="69"/>
      <c r="E18" s="69"/>
      <c r="F18" s="69"/>
      <c r="G18" s="69">
        <v>836458</v>
      </c>
      <c r="H18" s="69"/>
      <c r="I18" s="69"/>
      <c r="J18" s="69"/>
      <c r="K18" s="132"/>
      <c r="L18" s="32"/>
    </row>
    <row r="19" spans="1:12" x14ac:dyDescent="0.2">
      <c r="A19" s="32" t="s">
        <v>206</v>
      </c>
      <c r="B19" s="32"/>
      <c r="C19" s="69"/>
      <c r="D19" s="69"/>
      <c r="E19" s="69"/>
      <c r="F19" s="69"/>
      <c r="G19" s="69"/>
      <c r="H19" s="69"/>
      <c r="I19" s="69"/>
      <c r="J19" s="69">
        <v>-58814</v>
      </c>
      <c r="K19" s="132">
        <v>1262</v>
      </c>
      <c r="L19" s="132">
        <f t="shared" ref="L19:L25" si="2">AVERAGE(G19:K19)</f>
        <v>-28776</v>
      </c>
    </row>
    <row r="20" spans="1:12" x14ac:dyDescent="0.2">
      <c r="A20" s="32" t="s">
        <v>208</v>
      </c>
      <c r="B20" s="32"/>
      <c r="C20" s="69"/>
      <c r="D20" s="69"/>
      <c r="E20" s="69">
        <v>100722</v>
      </c>
      <c r="F20" s="69">
        <v>103531</v>
      </c>
      <c r="G20" s="69">
        <v>-1877</v>
      </c>
      <c r="H20" s="69">
        <v>2410</v>
      </c>
      <c r="I20" s="69">
        <v>169</v>
      </c>
      <c r="J20" s="69">
        <v>-2516</v>
      </c>
      <c r="K20" s="132">
        <v>2532</v>
      </c>
      <c r="L20" s="132">
        <f t="shared" si="2"/>
        <v>143.6</v>
      </c>
    </row>
    <row r="21" spans="1:12" x14ac:dyDescent="0.2">
      <c r="A21" s="32" t="s">
        <v>207</v>
      </c>
      <c r="B21" s="32"/>
      <c r="C21" s="69"/>
      <c r="D21" s="69"/>
      <c r="E21" s="69">
        <v>-570010</v>
      </c>
      <c r="F21" s="69">
        <v>438086</v>
      </c>
      <c r="G21" s="69">
        <v>-654722</v>
      </c>
      <c r="H21" s="69">
        <v>-247414</v>
      </c>
      <c r="I21" s="69">
        <v>-79107</v>
      </c>
      <c r="J21" s="69">
        <v>-122260</v>
      </c>
      <c r="K21" s="132">
        <v>-63677</v>
      </c>
      <c r="L21" s="132">
        <f t="shared" si="2"/>
        <v>-233436</v>
      </c>
    </row>
    <row r="22" spans="1:12" x14ac:dyDescent="0.2">
      <c r="A22" s="32" t="s">
        <v>209</v>
      </c>
      <c r="B22" s="32"/>
      <c r="C22" s="69"/>
      <c r="D22" s="69"/>
      <c r="E22" s="69">
        <v>22700</v>
      </c>
      <c r="F22" s="69">
        <v>-33093</v>
      </c>
      <c r="G22" s="69">
        <v>-207012</v>
      </c>
      <c r="H22" s="69">
        <v>448676</v>
      </c>
      <c r="I22" s="69">
        <v>-67038</v>
      </c>
      <c r="J22" s="69">
        <v>-299611</v>
      </c>
      <c r="K22" s="132">
        <v>115053</v>
      </c>
      <c r="L22" s="132">
        <f t="shared" si="2"/>
        <v>-1986.4</v>
      </c>
    </row>
    <row r="23" spans="1:12" x14ac:dyDescent="0.2">
      <c r="A23" s="32" t="s">
        <v>210</v>
      </c>
      <c r="B23" s="32"/>
      <c r="C23" s="69"/>
      <c r="D23" s="69"/>
      <c r="E23" s="69">
        <v>-85379</v>
      </c>
      <c r="F23" s="69">
        <v>-154476</v>
      </c>
      <c r="G23" s="69">
        <v>-1226638</v>
      </c>
      <c r="H23" s="69">
        <v>-826032</v>
      </c>
      <c r="I23" s="69">
        <v>-129555</v>
      </c>
      <c r="J23" s="69">
        <v>-245807</v>
      </c>
      <c r="K23" s="132">
        <v>-610976</v>
      </c>
      <c r="L23" s="132">
        <f t="shared" si="2"/>
        <v>-607801.59999999998</v>
      </c>
    </row>
    <row r="24" spans="1:12" x14ac:dyDescent="0.2">
      <c r="A24" s="32" t="s">
        <v>211</v>
      </c>
      <c r="B24" s="127"/>
      <c r="C24" s="76"/>
      <c r="D24" s="76"/>
      <c r="E24" s="76">
        <v>285321</v>
      </c>
      <c r="F24" s="76">
        <v>562927</v>
      </c>
      <c r="G24" s="76">
        <v>-302677</v>
      </c>
      <c r="H24" s="76">
        <v>357473</v>
      </c>
      <c r="I24" s="76">
        <v>-556287</v>
      </c>
      <c r="J24" s="76">
        <v>1780064</v>
      </c>
      <c r="K24" s="133">
        <v>-489646</v>
      </c>
      <c r="L24" s="133">
        <f t="shared" si="2"/>
        <v>157785.4</v>
      </c>
    </row>
    <row r="25" spans="1:12" x14ac:dyDescent="0.2">
      <c r="A25" s="32" t="s">
        <v>212</v>
      </c>
      <c r="B25" s="69">
        <f t="shared" ref="B25:H25" si="3">+B11+SUM(B13:B24)</f>
        <v>2386442</v>
      </c>
      <c r="C25" s="69">
        <f t="shared" si="3"/>
        <v>1132163</v>
      </c>
      <c r="D25" s="69">
        <f t="shared" si="3"/>
        <v>1627679</v>
      </c>
      <c r="E25" s="69">
        <f t="shared" si="3"/>
        <v>3785701</v>
      </c>
      <c r="F25" s="69">
        <f t="shared" si="3"/>
        <v>5158658</v>
      </c>
      <c r="G25" s="69">
        <f t="shared" si="3"/>
        <v>918356</v>
      </c>
      <c r="H25" s="69">
        <f t="shared" si="3"/>
        <v>3683616</v>
      </c>
      <c r="I25" s="69">
        <f>+I11+SUM(I13:I24)</f>
        <v>3737119</v>
      </c>
      <c r="J25" s="69">
        <f>+J11+SUM(J13:J24)</f>
        <v>6390510</v>
      </c>
      <c r="K25" s="69">
        <f>+K11+SUM(K13:K24)</f>
        <v>1610489</v>
      </c>
      <c r="L25" s="132">
        <f t="shared" si="2"/>
        <v>3268018</v>
      </c>
    </row>
    <row r="26" spans="1:12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132"/>
      <c r="L26" s="32"/>
    </row>
    <row r="27" spans="1:12" x14ac:dyDescent="0.2">
      <c r="A27" s="32" t="s">
        <v>213</v>
      </c>
      <c r="B27" s="69"/>
      <c r="C27" s="69"/>
      <c r="D27" s="69"/>
      <c r="E27" s="69"/>
      <c r="F27" s="69"/>
      <c r="G27" s="69"/>
      <c r="H27" s="69"/>
      <c r="I27" s="69"/>
      <c r="J27" s="69"/>
      <c r="K27" s="132"/>
      <c r="L27" s="32"/>
    </row>
    <row r="28" spans="1:12" x14ac:dyDescent="0.2">
      <c r="A28" s="32" t="s">
        <v>214</v>
      </c>
      <c r="B28" s="69"/>
      <c r="C28" s="69"/>
      <c r="D28" s="69"/>
      <c r="E28" s="69">
        <v>-3023665</v>
      </c>
      <c r="F28" s="69">
        <v>-3500883</v>
      </c>
      <c r="G28" s="69">
        <v>-1587960</v>
      </c>
      <c r="H28" s="69">
        <v>-1556750</v>
      </c>
      <c r="I28" s="69">
        <v>-1342636</v>
      </c>
      <c r="J28" s="69">
        <v>-5670525</v>
      </c>
      <c r="K28" s="132">
        <v>-6077727</v>
      </c>
      <c r="L28" s="132">
        <f t="shared" ref="L28:L29" si="4">AVERAGE(G28:K28)</f>
        <v>-3247119.6</v>
      </c>
    </row>
    <row r="29" spans="1:12" x14ac:dyDescent="0.2">
      <c r="A29" s="32" t="s">
        <v>215</v>
      </c>
      <c r="B29" s="69"/>
      <c r="C29" s="69"/>
      <c r="D29" s="69"/>
      <c r="E29" s="69">
        <v>-38270</v>
      </c>
      <c r="F29" s="69">
        <v>-76988</v>
      </c>
      <c r="G29" s="69">
        <v>96765</v>
      </c>
      <c r="H29" s="69">
        <v>-24191</v>
      </c>
      <c r="I29" s="69">
        <v>-99249</v>
      </c>
      <c r="J29" s="69">
        <v>754639</v>
      </c>
      <c r="K29" s="132">
        <v>71779</v>
      </c>
      <c r="L29" s="132">
        <f t="shared" si="4"/>
        <v>159948.6</v>
      </c>
    </row>
    <row r="30" spans="1:12" x14ac:dyDescent="0.2">
      <c r="A30" s="32" t="s">
        <v>234</v>
      </c>
      <c r="B30" s="69"/>
      <c r="C30" s="69"/>
      <c r="D30" s="69"/>
      <c r="E30" s="69"/>
      <c r="F30" s="69"/>
      <c r="G30" s="69">
        <v>646173</v>
      </c>
      <c r="H30" s="69"/>
      <c r="I30" s="69"/>
      <c r="J30" s="69"/>
      <c r="K30" s="132"/>
      <c r="L30" s="32"/>
    </row>
    <row r="31" spans="1:12" x14ac:dyDescent="0.2">
      <c r="A31" s="32" t="s">
        <v>216</v>
      </c>
      <c r="B31" s="76"/>
      <c r="C31" s="76"/>
      <c r="D31" s="76"/>
      <c r="E31" s="76">
        <v>404473</v>
      </c>
      <c r="F31" s="76">
        <v>407205</v>
      </c>
      <c r="G31" s="76">
        <v>320091</v>
      </c>
      <c r="H31" s="76">
        <v>1280873</v>
      </c>
      <c r="I31" s="76">
        <v>413279</v>
      </c>
      <c r="J31" s="76">
        <v>795044</v>
      </c>
      <c r="K31" s="133">
        <v>68166</v>
      </c>
      <c r="L31" s="133">
        <f t="shared" ref="L31:L32" si="5">AVERAGE(G31:K31)</f>
        <v>575490.6</v>
      </c>
    </row>
    <row r="32" spans="1:12" x14ac:dyDescent="0.2">
      <c r="A32" s="32" t="s">
        <v>217</v>
      </c>
      <c r="B32" s="69">
        <f t="shared" ref="B32:H32" si="6">SUM(B28:B31)</f>
        <v>0</v>
      </c>
      <c r="C32" s="69">
        <f t="shared" si="6"/>
        <v>0</v>
      </c>
      <c r="D32" s="69">
        <f t="shared" si="6"/>
        <v>0</v>
      </c>
      <c r="E32" s="69">
        <f t="shared" si="6"/>
        <v>-2657462</v>
      </c>
      <c r="F32" s="69">
        <f t="shared" si="6"/>
        <v>-3170666</v>
      </c>
      <c r="G32" s="69">
        <f>SUM(G28:G31)</f>
        <v>-524931</v>
      </c>
      <c r="H32" s="69">
        <f t="shared" si="6"/>
        <v>-300068</v>
      </c>
      <c r="I32" s="69">
        <f>SUM(I28:I31)</f>
        <v>-1028606</v>
      </c>
      <c r="J32" s="69">
        <f>SUM(J28:J31)</f>
        <v>-4120842</v>
      </c>
      <c r="K32" s="69">
        <f>SUM(K28:K31)</f>
        <v>-5937782</v>
      </c>
      <c r="L32" s="132">
        <f t="shared" si="5"/>
        <v>-2382445.7999999998</v>
      </c>
    </row>
    <row r="33" spans="1:12" x14ac:dyDescent="0.2">
      <c r="A33" s="32"/>
      <c r="B33" s="69"/>
      <c r="C33" s="69"/>
      <c r="D33" s="69"/>
      <c r="E33" s="69"/>
      <c r="F33" s="69"/>
      <c r="G33" s="69"/>
      <c r="H33" s="69"/>
      <c r="I33" s="69"/>
      <c r="J33" s="69"/>
      <c r="K33" s="132"/>
      <c r="L33" s="32"/>
    </row>
    <row r="34" spans="1:12" x14ac:dyDescent="0.2">
      <c r="A34" s="32" t="s">
        <v>218</v>
      </c>
      <c r="B34" s="69"/>
      <c r="C34" s="69"/>
      <c r="D34" s="69"/>
      <c r="E34" s="69"/>
      <c r="F34" s="69"/>
      <c r="G34" s="69"/>
      <c r="H34" s="69"/>
      <c r="I34" s="69"/>
      <c r="J34" s="69"/>
      <c r="K34" s="132"/>
      <c r="L34" s="32"/>
    </row>
    <row r="35" spans="1:12" x14ac:dyDescent="0.2">
      <c r="A35" s="32" t="s">
        <v>219</v>
      </c>
      <c r="B35" s="69"/>
      <c r="C35" s="69"/>
      <c r="D35" s="69"/>
      <c r="E35" s="69">
        <v>0</v>
      </c>
      <c r="F35" s="69">
        <v>1400000</v>
      </c>
      <c r="G35" s="69"/>
      <c r="H35" s="119"/>
      <c r="I35" s="69"/>
      <c r="J35" s="69">
        <v>2000000</v>
      </c>
      <c r="K35" s="132">
        <v>4000000</v>
      </c>
      <c r="L35" s="132">
        <f t="shared" ref="L35:L42" si="7">AVERAGE(G35:K35)</f>
        <v>3000000</v>
      </c>
    </row>
    <row r="36" spans="1:12" x14ac:dyDescent="0.2">
      <c r="A36" s="32" t="s">
        <v>235</v>
      </c>
      <c r="B36" s="69"/>
      <c r="C36" s="69"/>
      <c r="D36" s="69"/>
      <c r="E36" s="69"/>
      <c r="F36" s="69"/>
      <c r="G36" s="69"/>
      <c r="H36" s="119">
        <v>190251</v>
      </c>
      <c r="I36" s="69"/>
      <c r="J36" s="69"/>
      <c r="K36" s="132"/>
      <c r="L36" s="132">
        <f t="shared" si="7"/>
        <v>190251</v>
      </c>
    </row>
    <row r="37" spans="1:12" x14ac:dyDescent="0.2">
      <c r="A37" s="32" t="s">
        <v>220</v>
      </c>
      <c r="B37" s="69"/>
      <c r="C37" s="69"/>
      <c r="D37" s="69"/>
      <c r="E37" s="69">
        <v>-1053490</v>
      </c>
      <c r="F37" s="69">
        <v>-992782</v>
      </c>
      <c r="G37" s="69">
        <v>-1152382</v>
      </c>
      <c r="H37" s="119">
        <v>-1108205</v>
      </c>
      <c r="I37" s="69">
        <v>-1043887</v>
      </c>
      <c r="J37" s="69">
        <v>-1057056</v>
      </c>
      <c r="K37" s="132">
        <v>-1093111</v>
      </c>
      <c r="L37" s="132">
        <f t="shared" si="7"/>
        <v>-1090928.2</v>
      </c>
    </row>
    <row r="38" spans="1:12" x14ac:dyDescent="0.2">
      <c r="A38" s="32" t="s">
        <v>221</v>
      </c>
      <c r="B38" s="69"/>
      <c r="C38" s="69"/>
      <c r="D38" s="69"/>
      <c r="E38" s="69"/>
      <c r="F38" s="69"/>
      <c r="G38" s="69"/>
      <c r="H38" s="119">
        <v>-27953</v>
      </c>
      <c r="I38" s="69">
        <v>-13936</v>
      </c>
      <c r="J38" s="69">
        <v>-14739</v>
      </c>
      <c r="K38" s="132">
        <v>-15587</v>
      </c>
      <c r="L38" s="132">
        <f t="shared" si="7"/>
        <v>-18053.75</v>
      </c>
    </row>
    <row r="39" spans="1:12" x14ac:dyDescent="0.2">
      <c r="A39" s="32" t="s">
        <v>222</v>
      </c>
      <c r="B39" s="69"/>
      <c r="C39" s="69"/>
      <c r="D39" s="69"/>
      <c r="E39" s="69">
        <v>-508442</v>
      </c>
      <c r="F39" s="69">
        <v>-1255185</v>
      </c>
      <c r="G39" s="69">
        <v>-780120</v>
      </c>
      <c r="H39" s="119">
        <v>-1071568</v>
      </c>
      <c r="I39" s="69">
        <v>-986668</v>
      </c>
      <c r="J39" s="69">
        <v>-1107682</v>
      </c>
      <c r="K39" s="132">
        <v>-469204</v>
      </c>
      <c r="L39" s="132">
        <f t="shared" si="7"/>
        <v>-883048.4</v>
      </c>
    </row>
    <row r="40" spans="1:12" x14ac:dyDescent="0.2">
      <c r="A40" s="32" t="s">
        <v>236</v>
      </c>
      <c r="B40" s="69"/>
      <c r="C40" s="69"/>
      <c r="D40" s="69"/>
      <c r="E40" s="69"/>
      <c r="F40" s="69"/>
      <c r="G40" s="69"/>
      <c r="H40" s="119">
        <v>-677144</v>
      </c>
      <c r="I40" s="69"/>
      <c r="J40" s="69"/>
      <c r="K40" s="132"/>
      <c r="L40" s="132">
        <f t="shared" si="7"/>
        <v>-677144</v>
      </c>
    </row>
    <row r="41" spans="1:12" x14ac:dyDescent="0.2">
      <c r="A41" s="32" t="s">
        <v>223</v>
      </c>
      <c r="B41" s="76"/>
      <c r="C41" s="76"/>
      <c r="D41" s="76"/>
      <c r="E41" s="76">
        <v>4278</v>
      </c>
      <c r="F41" s="76">
        <v>-57624</v>
      </c>
      <c r="G41" s="76">
        <v>54168</v>
      </c>
      <c r="H41" s="128">
        <v>30067</v>
      </c>
      <c r="I41" s="76">
        <v>56599</v>
      </c>
      <c r="J41" s="76">
        <v>14275</v>
      </c>
      <c r="K41" s="133">
        <v>33844</v>
      </c>
      <c r="L41" s="133">
        <f t="shared" si="7"/>
        <v>37790.6</v>
      </c>
    </row>
    <row r="42" spans="1:12" x14ac:dyDescent="0.2">
      <c r="A42" s="32" t="s">
        <v>224</v>
      </c>
      <c r="B42" s="69">
        <f t="shared" ref="B42:H42" si="8">SUM(B35:B41)</f>
        <v>0</v>
      </c>
      <c r="C42" s="69">
        <f t="shared" si="8"/>
        <v>0</v>
      </c>
      <c r="D42" s="69">
        <f t="shared" si="8"/>
        <v>0</v>
      </c>
      <c r="E42" s="69">
        <f t="shared" si="8"/>
        <v>-1557654</v>
      </c>
      <c r="F42" s="69">
        <f t="shared" si="8"/>
        <v>-905591</v>
      </c>
      <c r="G42" s="69">
        <f t="shared" si="8"/>
        <v>-1878334</v>
      </c>
      <c r="H42" s="69">
        <f t="shared" si="8"/>
        <v>-2664552</v>
      </c>
      <c r="I42" s="69">
        <f>SUM(I35:I41)</f>
        <v>-1987892</v>
      </c>
      <c r="J42" s="69">
        <f>SUM(J35:J41)</f>
        <v>-165202</v>
      </c>
      <c r="K42" s="69">
        <f>SUM(K35:K41)</f>
        <v>2455942</v>
      </c>
      <c r="L42" s="132">
        <f t="shared" si="7"/>
        <v>-848007.6</v>
      </c>
    </row>
    <row r="43" spans="1:12" x14ac:dyDescent="0.2">
      <c r="A43" s="32"/>
      <c r="B43" s="69"/>
      <c r="C43" s="69"/>
      <c r="D43" s="69"/>
      <c r="E43" s="69"/>
      <c r="F43" s="69"/>
      <c r="G43" s="69"/>
      <c r="H43" s="69"/>
      <c r="I43" s="69"/>
      <c r="J43" s="69"/>
      <c r="K43" s="132"/>
      <c r="L43" s="32"/>
    </row>
    <row r="44" spans="1:12" x14ac:dyDescent="0.2">
      <c r="A44" s="32" t="s">
        <v>225</v>
      </c>
      <c r="B44" s="69">
        <f t="shared" ref="B44:H44" si="9">+B42+B32+B25</f>
        <v>2386442</v>
      </c>
      <c r="C44" s="69">
        <f t="shared" si="9"/>
        <v>1132163</v>
      </c>
      <c r="D44" s="69">
        <f t="shared" si="9"/>
        <v>1627679</v>
      </c>
      <c r="E44" s="69">
        <f t="shared" si="9"/>
        <v>-429415</v>
      </c>
      <c r="F44" s="69">
        <f t="shared" si="9"/>
        <v>1082401</v>
      </c>
      <c r="G44" s="69">
        <f t="shared" si="9"/>
        <v>-1484909</v>
      </c>
      <c r="H44" s="69">
        <f t="shared" si="9"/>
        <v>718996</v>
      </c>
      <c r="I44" s="69">
        <f>+I42+I32+I25</f>
        <v>720621</v>
      </c>
      <c r="J44" s="69">
        <f>+J42+J32+J25</f>
        <v>2104466</v>
      </c>
      <c r="K44" s="132">
        <v>-1871351</v>
      </c>
      <c r="L44" s="132">
        <f>AVERAGE(G44:K44)</f>
        <v>37564.6</v>
      </c>
    </row>
    <row r="45" spans="1:12" x14ac:dyDescent="0.2">
      <c r="A45" s="32"/>
      <c r="B45" s="69"/>
      <c r="C45" s="69"/>
      <c r="D45" s="69"/>
      <c r="E45" s="69"/>
      <c r="F45" s="69"/>
      <c r="G45" s="69"/>
      <c r="H45" s="69"/>
      <c r="I45" s="69"/>
      <c r="J45" s="69"/>
      <c r="K45" s="132"/>
      <c r="L45" s="32"/>
    </row>
    <row r="46" spans="1:12" x14ac:dyDescent="0.2">
      <c r="A46" s="32" t="s">
        <v>226</v>
      </c>
      <c r="B46" s="69"/>
      <c r="C46" s="69">
        <f t="shared" ref="C46:I46" si="10">+B48</f>
        <v>0</v>
      </c>
      <c r="D46" s="69">
        <f t="shared" si="10"/>
        <v>0</v>
      </c>
      <c r="E46" s="69">
        <f>+D48</f>
        <v>2562151</v>
      </c>
      <c r="F46" s="69">
        <f>+E48</f>
        <v>2132736</v>
      </c>
      <c r="G46" s="69">
        <f t="shared" si="10"/>
        <v>3215137</v>
      </c>
      <c r="H46" s="69">
        <f>+G48-150648</f>
        <v>1579580</v>
      </c>
      <c r="I46" s="69">
        <f t="shared" si="10"/>
        <v>2298576</v>
      </c>
      <c r="J46" s="69">
        <f>+I48</f>
        <v>3019197</v>
      </c>
      <c r="K46" s="69">
        <f>+J48</f>
        <v>5123663</v>
      </c>
      <c r="L46" s="132">
        <f>AVERAGE(G46:K46)</f>
        <v>3047230.6</v>
      </c>
    </row>
    <row r="47" spans="1:12" x14ac:dyDescent="0.2">
      <c r="A47" s="32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32"/>
    </row>
    <row r="48" spans="1:12" x14ac:dyDescent="0.2">
      <c r="A48" s="32" t="s">
        <v>227</v>
      </c>
      <c r="B48" s="69"/>
      <c r="C48" s="69"/>
      <c r="D48" s="69">
        <v>2562151</v>
      </c>
      <c r="E48" s="69">
        <f t="shared" ref="E48:I48" si="11">+E46+E44</f>
        <v>2132736</v>
      </c>
      <c r="F48" s="69">
        <f t="shared" si="11"/>
        <v>3215137</v>
      </c>
      <c r="G48" s="69">
        <f t="shared" si="11"/>
        <v>1730228</v>
      </c>
      <c r="H48" s="69">
        <f t="shared" si="11"/>
        <v>2298576</v>
      </c>
      <c r="I48" s="69">
        <f t="shared" si="11"/>
        <v>3019197</v>
      </c>
      <c r="J48" s="69">
        <f>+J46+J44</f>
        <v>5123663</v>
      </c>
      <c r="K48" s="69">
        <f>+K46+K44</f>
        <v>3252312</v>
      </c>
      <c r="L48" s="132">
        <f>AVERAGE(G48:K48)</f>
        <v>3084795.2</v>
      </c>
    </row>
    <row r="49" spans="1:12" x14ac:dyDescent="0.2">
      <c r="A49" s="32"/>
      <c r="B49" s="69"/>
      <c r="C49" s="69"/>
      <c r="D49" s="69"/>
      <c r="E49" s="69"/>
      <c r="F49" s="69"/>
      <c r="G49" s="69"/>
      <c r="H49" s="69"/>
      <c r="I49" s="69"/>
      <c r="J49" s="69"/>
      <c r="K49" s="132"/>
      <c r="L49" s="32"/>
    </row>
    <row r="50" spans="1:12" x14ac:dyDescent="0.2">
      <c r="A50" s="32" t="s">
        <v>228</v>
      </c>
      <c r="B50" s="69"/>
      <c r="C50" s="69"/>
      <c r="D50" s="69"/>
      <c r="E50" s="69"/>
      <c r="F50" s="69"/>
      <c r="G50" s="69"/>
      <c r="H50" s="69"/>
      <c r="I50" s="69"/>
      <c r="J50" s="69"/>
      <c r="K50" s="132"/>
      <c r="L50" s="32"/>
    </row>
    <row r="51" spans="1:12" x14ac:dyDescent="0.2">
      <c r="A51" s="32" t="s">
        <v>229</v>
      </c>
      <c r="B51" s="69"/>
      <c r="C51" s="69"/>
      <c r="D51" s="69"/>
      <c r="E51" s="69">
        <v>1024659</v>
      </c>
      <c r="F51" s="69">
        <v>968785</v>
      </c>
      <c r="G51" s="69">
        <v>954191</v>
      </c>
      <c r="H51" s="69">
        <v>888338</v>
      </c>
      <c r="I51" s="69">
        <v>818897</v>
      </c>
      <c r="J51" s="69">
        <v>761059</v>
      </c>
      <c r="K51" s="132">
        <v>873411</v>
      </c>
      <c r="L51" s="132">
        <f>AVERAGE(G51:K51)</f>
        <v>859179.2</v>
      </c>
    </row>
    <row r="52" spans="1:12" x14ac:dyDescent="0.2">
      <c r="A52" s="32" t="s">
        <v>230</v>
      </c>
      <c r="B52" s="69"/>
      <c r="C52" s="69"/>
      <c r="D52" s="69"/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132"/>
      <c r="L52" s="32"/>
    </row>
    <row r="53" spans="1:12" x14ac:dyDescent="0.2">
      <c r="A53" s="32"/>
      <c r="B53" s="69"/>
      <c r="C53" s="69"/>
      <c r="D53" s="69"/>
      <c r="E53" s="69"/>
      <c r="F53" s="69"/>
      <c r="G53" s="69"/>
      <c r="H53" s="69"/>
      <c r="I53" s="69"/>
      <c r="J53" s="69"/>
      <c r="K53" s="132"/>
      <c r="L53" s="32"/>
    </row>
    <row r="54" spans="1:12" x14ac:dyDescent="0.2">
      <c r="A54" s="32" t="s">
        <v>237</v>
      </c>
      <c r="B54" s="69"/>
      <c r="C54" s="69"/>
      <c r="D54" s="69"/>
      <c r="E54" s="69"/>
      <c r="F54" s="69"/>
      <c r="G54" s="69"/>
      <c r="H54" s="69">
        <v>190251</v>
      </c>
      <c r="I54" s="69"/>
      <c r="J54" s="69"/>
      <c r="K54" s="132"/>
      <c r="L54" s="32"/>
    </row>
    <row r="55" spans="1:12" x14ac:dyDescent="0.2">
      <c r="A55" s="32"/>
      <c r="B55" s="69"/>
      <c r="C55" s="69"/>
      <c r="D55" s="69"/>
      <c r="E55" s="69"/>
      <c r="F55" s="69"/>
      <c r="G55" s="69"/>
      <c r="H55" s="69"/>
      <c r="I55" s="69"/>
      <c r="J55" s="69"/>
      <c r="K55" s="132"/>
      <c r="L55" s="32"/>
    </row>
    <row r="56" spans="1:12" x14ac:dyDescent="0.2">
      <c r="A56" s="32"/>
      <c r="B56" s="69"/>
      <c r="C56" s="69"/>
      <c r="D56" s="69"/>
      <c r="E56" s="69"/>
      <c r="F56" s="69"/>
      <c r="G56" s="69"/>
      <c r="H56" s="69"/>
      <c r="I56" s="69"/>
      <c r="J56" s="69"/>
      <c r="K56" s="32"/>
      <c r="L56" s="32"/>
    </row>
    <row r="57" spans="1:12" x14ac:dyDescent="0.2">
      <c r="A57" s="32"/>
      <c r="B57" s="69"/>
      <c r="C57" s="69"/>
      <c r="D57" s="69"/>
      <c r="E57" s="69"/>
      <c r="F57" s="69"/>
      <c r="G57" s="69"/>
      <c r="H57" s="69"/>
      <c r="I57" s="69"/>
      <c r="J57" s="69"/>
      <c r="K57" s="32"/>
      <c r="L57" s="32"/>
    </row>
    <row r="58" spans="1:12" x14ac:dyDescent="0.2">
      <c r="A58" s="32"/>
      <c r="B58" s="69"/>
      <c r="C58" s="69"/>
      <c r="D58" s="69"/>
      <c r="E58" s="69"/>
      <c r="F58" s="69"/>
      <c r="G58" s="69"/>
      <c r="H58" s="69"/>
      <c r="I58" s="69"/>
      <c r="J58" s="69"/>
      <c r="K58" s="32"/>
      <c r="L58" s="32"/>
    </row>
    <row r="59" spans="1:12" x14ac:dyDescent="0.2">
      <c r="A59" s="32"/>
      <c r="B59" s="69"/>
      <c r="C59" s="69"/>
      <c r="D59" s="69"/>
      <c r="E59" s="69"/>
      <c r="F59" s="69"/>
      <c r="G59" s="69"/>
      <c r="H59" s="69"/>
      <c r="I59" s="69"/>
      <c r="J59" s="69"/>
      <c r="K59" s="32"/>
      <c r="L59" s="32"/>
    </row>
    <row r="60" spans="1:12" x14ac:dyDescent="0.2">
      <c r="A60" s="32"/>
      <c r="B60" s="69"/>
      <c r="C60" s="69"/>
      <c r="D60" s="69"/>
      <c r="E60" s="69"/>
      <c r="F60" s="69"/>
      <c r="G60" s="69"/>
      <c r="H60" s="69"/>
      <c r="I60" s="69"/>
      <c r="J60" s="69"/>
      <c r="K60" s="32"/>
      <c r="L60" s="32"/>
    </row>
    <row r="61" spans="1:12" x14ac:dyDescent="0.2">
      <c r="A61" s="32"/>
      <c r="B61" s="69"/>
      <c r="C61" s="69"/>
      <c r="D61" s="69"/>
      <c r="E61" s="69"/>
      <c r="F61" s="69"/>
      <c r="G61" s="69"/>
      <c r="H61" s="69"/>
      <c r="I61" s="69"/>
      <c r="J61" s="69"/>
      <c r="K61" s="32"/>
      <c r="L61" s="32"/>
    </row>
    <row r="62" spans="1:12" x14ac:dyDescent="0.2">
      <c r="A62" s="32"/>
      <c r="B62" s="69"/>
      <c r="C62" s="69"/>
      <c r="D62" s="69"/>
      <c r="E62" s="69"/>
      <c r="F62" s="69"/>
      <c r="G62" s="69"/>
      <c r="H62" s="69"/>
      <c r="I62" s="69"/>
      <c r="J62" s="69"/>
      <c r="K62" s="32"/>
      <c r="L62" s="32"/>
    </row>
    <row r="63" spans="1:12" x14ac:dyDescent="0.2">
      <c r="A63" s="32"/>
      <c r="B63" s="69"/>
      <c r="C63" s="69"/>
      <c r="D63" s="69"/>
      <c r="E63" s="69"/>
      <c r="F63" s="69"/>
      <c r="G63" s="69"/>
      <c r="H63" s="69"/>
      <c r="I63" s="69"/>
      <c r="J63" s="69"/>
      <c r="K63" s="32"/>
      <c r="L63" s="32"/>
    </row>
    <row r="64" spans="1:12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2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2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1:12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1:12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2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</row>
    <row r="168" spans="1:12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1:12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1:12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1:12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1:12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1:12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1:12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1:12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1:12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12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1:12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1:12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</row>
    <row r="195" spans="1:12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12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12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12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</row>
    <row r="200" spans="1:12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</row>
    <row r="201" spans="1:12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spans="1:12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</row>
    <row r="203" spans="1:12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</row>
    <row r="204" spans="1:12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1:12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</row>
    <row r="206" spans="1:12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12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</row>
    <row r="208" spans="1:12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</row>
    <row r="209" spans="1:12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</row>
    <row r="210" spans="1:12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</row>
    <row r="211" spans="1:12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1:12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</row>
    <row r="213" spans="1:12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</row>
    <row r="214" spans="1:12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12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</row>
    <row r="216" spans="1:12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</row>
    <row r="217" spans="1:12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</row>
    <row r="218" spans="1:12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</row>
    <row r="219" spans="1:12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</row>
    <row r="220" spans="1:12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</row>
    <row r="221" spans="1:12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</row>
    <row r="222" spans="1:12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</row>
    <row r="224" spans="1:12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</row>
    <row r="225" spans="1:12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</row>
    <row r="226" spans="1:12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</row>
    <row r="227" spans="1:12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</row>
    <row r="228" spans="1:12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</row>
    <row r="229" spans="1:12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</row>
    <row r="230" spans="1:12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1:12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  <row r="232" spans="1:12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</row>
    <row r="233" spans="1:12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1:12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</row>
    <row r="236" spans="1:12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1:12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</row>
    <row r="238" spans="1:12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</row>
    <row r="239" spans="1:12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</row>
    <row r="240" spans="1:12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</row>
    <row r="241" spans="1:12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</row>
    <row r="242" spans="1:12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12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12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12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246" spans="1:12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</row>
    <row r="247" spans="1:12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1:12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12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</row>
    <row r="250" spans="1:12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</row>
    <row r="251" spans="1:12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1:12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1:12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</row>
    <row r="254" spans="1:12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</row>
    <row r="255" spans="1:12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</row>
    <row r="256" spans="1:12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</row>
    <row r="257" spans="1:12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1:12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</row>
    <row r="259" spans="1:12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</row>
    <row r="260" spans="1:12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1:12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1:12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1:12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1:12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</row>
    <row r="265" spans="1:12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</row>
    <row r="266" spans="1:12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</row>
    <row r="267" spans="1:12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</row>
    <row r="268" spans="1:12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</row>
    <row r="269" spans="1:12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</row>
    <row r="270" spans="1:12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</row>
    <row r="271" spans="1:12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</row>
    <row r="272" spans="1:12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</row>
    <row r="273" spans="1:12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4" spans="1:12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</row>
    <row r="275" spans="1:12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  <row r="276" spans="1:12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</row>
    <row r="277" spans="1:12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</row>
    <row r="278" spans="1:12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</row>
    <row r="279" spans="1:12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</row>
    <row r="280" spans="1:12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</row>
    <row r="281" spans="1:12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</row>
    <row r="282" spans="1:12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</row>
    <row r="283" spans="1:12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</row>
    <row r="284" spans="1:12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</row>
    <row r="285" spans="1:12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</row>
    <row r="286" spans="1:12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</row>
    <row r="287" spans="1:12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</row>
    <row r="288" spans="1:12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</row>
    <row r="289" spans="1:12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</row>
    <row r="290" spans="1:12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</row>
    <row r="291" spans="1:12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</row>
    <row r="292" spans="1:12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</row>
    <row r="293" spans="1:12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</row>
    <row r="294" spans="1:12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</row>
    <row r="295" spans="1:12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</row>
    <row r="296" spans="1:12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</row>
    <row r="297" spans="1:12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</row>
    <row r="298" spans="1:12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</row>
    <row r="299" spans="1:12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</row>
    <row r="300" spans="1:12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</row>
    <row r="301" spans="1:12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</row>
    <row r="302" spans="1:12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</row>
    <row r="303" spans="1:12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</row>
    <row r="304" spans="1:12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</row>
    <row r="305" spans="1:12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</row>
    <row r="306" spans="1:12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</row>
    <row r="307" spans="1:12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</row>
    <row r="308" spans="1:12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</row>
    <row r="309" spans="1:12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</row>
    <row r="310" spans="1:12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</row>
    <row r="311" spans="1:12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</row>
    <row r="312" spans="1:12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</row>
    <row r="313" spans="1:12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</row>
    <row r="314" spans="1:12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1:12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12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</row>
    <row r="318" spans="1:12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</row>
    <row r="319" spans="1:12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</row>
    <row r="320" spans="1:12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</row>
    <row r="321" spans="1:12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</row>
    <row r="322" spans="1:12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</row>
    <row r="323" spans="1:12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</row>
    <row r="324" spans="1:12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</row>
    <row r="325" spans="1:12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</row>
    <row r="326" spans="1:12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</row>
    <row r="327" spans="1:12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</row>
    <row r="328" spans="1:12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</row>
    <row r="329" spans="1:12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</row>
    <row r="330" spans="1:12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</row>
    <row r="331" spans="1:12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</row>
    <row r="332" spans="1:12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</row>
    <row r="333" spans="1:12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</row>
    <row r="334" spans="1:12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</row>
    <row r="335" spans="1:12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</row>
    <row r="336" spans="1:12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</row>
    <row r="337" spans="1:12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</row>
    <row r="338" spans="1:12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</row>
    <row r="339" spans="1:12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</row>
    <row r="340" spans="1:12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1:12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</row>
    <row r="342" spans="1:12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</row>
    <row r="343" spans="1:12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</row>
    <row r="344" spans="1:12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</row>
    <row r="345" spans="1:12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</row>
    <row r="346" spans="1:12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</row>
    <row r="347" spans="1:12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</row>
    <row r="348" spans="1:12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</row>
    <row r="349" spans="1:12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</row>
    <row r="350" spans="1:12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</row>
    <row r="351" spans="1:12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</row>
    <row r="352" spans="1:12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</row>
    <row r="353" spans="1:12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</row>
    <row r="354" spans="1:12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</row>
    <row r="355" spans="1:12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</row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318"/>
  <sheetViews>
    <sheetView showGridLines="0" topLeftCell="A226" zoomScale="130" zoomScaleNormal="130" workbookViewId="0">
      <selection activeCell="C264" sqref="C264"/>
    </sheetView>
  </sheetViews>
  <sheetFormatPr defaultColWidth="13.7109375" defaultRowHeight="12.75" x14ac:dyDescent="0.2"/>
  <cols>
    <col min="1" max="1" width="28.5703125" style="32" customWidth="1"/>
    <col min="2" max="8" width="11.140625" customWidth="1"/>
    <col min="9" max="9" width="11.7109375" hidden="1" customWidth="1"/>
    <col min="10" max="10" width="9.42578125" style="1" customWidth="1"/>
    <col min="11" max="17" width="13.7109375" customWidth="1"/>
    <col min="18" max="25" width="12.7109375" customWidth="1"/>
  </cols>
  <sheetData>
    <row r="1" spans="1:11" x14ac:dyDescent="0.2">
      <c r="J1" s="86" t="s">
        <v>175</v>
      </c>
    </row>
    <row r="2" spans="1:11" s="7" customFormat="1" x14ac:dyDescent="0.2">
      <c r="B2" s="7" t="s">
        <v>123</v>
      </c>
      <c r="J2" s="86" t="s">
        <v>263</v>
      </c>
    </row>
    <row r="3" spans="1:11" s="7" customFormat="1" ht="18" x14ac:dyDescent="0.25">
      <c r="A3" s="84" t="str">
        <f>Assumptions!$D$3</f>
        <v>Mt. Wheeler Power, Inc.</v>
      </c>
      <c r="B3" s="34"/>
      <c r="C3" s="34"/>
      <c r="D3" s="34"/>
      <c r="E3" s="34"/>
      <c r="F3" s="41"/>
      <c r="G3" s="34"/>
      <c r="H3" s="34"/>
      <c r="I3" s="34"/>
      <c r="J3" s="35"/>
    </row>
    <row r="4" spans="1:11" s="7" customFormat="1" ht="15.75" x14ac:dyDescent="0.25">
      <c r="A4" s="85" t="s">
        <v>58</v>
      </c>
      <c r="B4" s="34"/>
      <c r="C4" s="34"/>
      <c r="D4" s="34"/>
      <c r="E4" s="34"/>
      <c r="F4" s="34"/>
      <c r="G4" s="34"/>
      <c r="H4" s="34"/>
      <c r="I4" s="34"/>
      <c r="J4" s="35"/>
    </row>
    <row r="5" spans="1:11" s="7" customFormat="1" x14ac:dyDescent="0.2">
      <c r="A5" s="204">
        <f ca="1">NOW()</f>
        <v>41759.387993634256</v>
      </c>
      <c r="B5" s="34"/>
      <c r="C5" s="34"/>
      <c r="D5" s="34"/>
      <c r="E5" s="34"/>
      <c r="F5" s="34"/>
      <c r="G5" s="34"/>
      <c r="H5" s="34"/>
      <c r="I5" s="34"/>
      <c r="J5" s="35"/>
    </row>
    <row r="6" spans="1:11" s="7" customFormat="1" x14ac:dyDescent="0.2">
      <c r="A6" s="34"/>
      <c r="B6" s="34"/>
      <c r="C6" s="34"/>
      <c r="D6" s="34"/>
      <c r="E6" s="34"/>
      <c r="F6" s="34"/>
      <c r="G6" s="34"/>
      <c r="H6" s="34"/>
      <c r="I6" s="34"/>
      <c r="J6" s="35"/>
    </row>
    <row r="7" spans="1:11" s="7" customFormat="1" x14ac:dyDescent="0.2">
      <c r="J7" s="205" t="s">
        <v>5</v>
      </c>
    </row>
    <row r="8" spans="1:11" s="7" customFormat="1" x14ac:dyDescent="0.2">
      <c r="A8" s="32"/>
      <c r="B8" s="156" t="s">
        <v>22</v>
      </c>
      <c r="C8" s="157" t="s">
        <v>22</v>
      </c>
      <c r="D8" s="86" t="s">
        <v>63</v>
      </c>
      <c r="E8" s="86" t="s">
        <v>63</v>
      </c>
      <c r="F8" s="86" t="s">
        <v>63</v>
      </c>
      <c r="G8" s="86" t="s">
        <v>63</v>
      </c>
      <c r="H8" s="86" t="s">
        <v>63</v>
      </c>
      <c r="I8" s="86" t="s">
        <v>63</v>
      </c>
      <c r="J8" s="205" t="s">
        <v>261</v>
      </c>
    </row>
    <row r="9" spans="1:11" s="7" customFormat="1" x14ac:dyDescent="0.2">
      <c r="A9" s="88" t="s">
        <v>1</v>
      </c>
      <c r="B9" s="94">
        <f>Historical!J9</f>
        <v>2012</v>
      </c>
      <c r="C9" s="158">
        <f t="shared" ref="C9:G9" si="0">B9+1</f>
        <v>2013</v>
      </c>
      <c r="D9" s="94">
        <f t="shared" si="0"/>
        <v>2014</v>
      </c>
      <c r="E9" s="94">
        <f t="shared" si="0"/>
        <v>2015</v>
      </c>
      <c r="F9" s="94">
        <f t="shared" si="0"/>
        <v>2016</v>
      </c>
      <c r="G9" s="94">
        <f t="shared" si="0"/>
        <v>2017</v>
      </c>
      <c r="H9" s="94">
        <f>G9+1</f>
        <v>2018</v>
      </c>
      <c r="I9" s="94">
        <f>H9+1</f>
        <v>2019</v>
      </c>
      <c r="J9" s="206" t="s">
        <v>262</v>
      </c>
    </row>
    <row r="10" spans="1:11" s="7" customFormat="1" ht="7.5" customHeight="1" x14ac:dyDescent="0.2">
      <c r="A10" s="81"/>
      <c r="B10" s="90"/>
      <c r="C10" s="159"/>
      <c r="D10" s="90"/>
      <c r="E10" s="90"/>
      <c r="F10" s="90"/>
      <c r="G10" s="90"/>
      <c r="H10" s="90"/>
      <c r="I10" s="90"/>
      <c r="J10" s="91"/>
      <c r="K10" s="36"/>
    </row>
    <row r="11" spans="1:11" s="7" customFormat="1" x14ac:dyDescent="0.2">
      <c r="A11" s="65" t="str">
        <f>Historical!A11</f>
        <v>Current Assets:</v>
      </c>
      <c r="B11" s="81"/>
      <c r="C11" s="160"/>
      <c r="D11" s="32"/>
      <c r="E11" s="32"/>
      <c r="F11" s="32"/>
      <c r="G11" s="32"/>
      <c r="H11" s="32"/>
      <c r="I11" s="32"/>
      <c r="J11" s="66"/>
    </row>
    <row r="12" spans="1:11" s="7" customFormat="1" x14ac:dyDescent="0.2">
      <c r="A12" s="32" t="str">
        <f>Historical!A12</f>
        <v>Cash &amp; Equivalents</v>
      </c>
      <c r="B12" s="75">
        <f>Historical!J12</f>
        <v>5123662</v>
      </c>
      <c r="C12" s="161">
        <f>Historical!K12+Historical!K13</f>
        <v>3252311</v>
      </c>
      <c r="D12" s="69">
        <f>D81*Assumptions!$D$38</f>
        <v>2884468.4897002787</v>
      </c>
      <c r="E12" s="69">
        <f>E81*Assumptions!$D$38</f>
        <v>2939760.4275410757</v>
      </c>
      <c r="F12" s="69">
        <f>F81*Assumptions!$D$38</f>
        <v>2996112.2481301525</v>
      </c>
      <c r="G12" s="69">
        <f>G81*Assumptions!$D$38</f>
        <v>3053544.268198736</v>
      </c>
      <c r="H12" s="69">
        <f>H81*Assumptions!$D$38</f>
        <v>3112077.1939263833</v>
      </c>
      <c r="I12" s="69">
        <f>I81*Assumptions!$D$38</f>
        <v>3171732.1284062602</v>
      </c>
      <c r="J12" s="66">
        <f>RATE(5,,-C12,H12)</f>
        <v>-8.7763429412733296E-3</v>
      </c>
    </row>
    <row r="13" spans="1:11" s="7" customFormat="1" x14ac:dyDescent="0.2">
      <c r="A13" s="32" t="s">
        <v>49</v>
      </c>
      <c r="B13" s="75">
        <v>0</v>
      </c>
      <c r="C13" s="161">
        <v>0</v>
      </c>
      <c r="D13" s="69">
        <f t="shared" ref="D13:I13" ca="1" si="1">N66</f>
        <v>0</v>
      </c>
      <c r="E13" s="162">
        <f t="shared" ca="1" si="1"/>
        <v>0</v>
      </c>
      <c r="F13" s="162">
        <f t="shared" ca="1" si="1"/>
        <v>0</v>
      </c>
      <c r="G13" s="162">
        <f t="shared" ca="1" si="1"/>
        <v>0</v>
      </c>
      <c r="H13" s="162">
        <f t="shared" ca="1" si="1"/>
        <v>0</v>
      </c>
      <c r="I13" s="163" t="e">
        <f t="shared" si="1"/>
        <v>#REF!</v>
      </c>
      <c r="J13" s="66"/>
    </row>
    <row r="14" spans="1:11" s="7" customFormat="1" x14ac:dyDescent="0.2">
      <c r="A14" s="32" t="str">
        <f>Historical!A14</f>
        <v>Accounts Receivable, net</v>
      </c>
      <c r="B14" s="75">
        <f>Historical!J14</f>
        <v>844068</v>
      </c>
      <c r="C14" s="161">
        <f>Historical!K14</f>
        <v>729015</v>
      </c>
      <c r="D14" s="69">
        <f>D81*Assumptions!$D$40</f>
        <v>764543.2819294678</v>
      </c>
      <c r="E14" s="69">
        <f>E81*Assumptions!$D$40</f>
        <v>779198.69583743368</v>
      </c>
      <c r="F14" s="69">
        <f>F81*Assumptions!$D$40</f>
        <v>794135.03714596713</v>
      </c>
      <c r="G14" s="69">
        <f>G81*Assumptions!$D$40</f>
        <v>809357.69090968929</v>
      </c>
      <c r="H14" s="69">
        <f>H81*Assumptions!$D$40</f>
        <v>824872.14540851419</v>
      </c>
      <c r="I14" s="69">
        <f>I81*Assumptions!$D$40</f>
        <v>840683.99412635947</v>
      </c>
      <c r="J14" s="66">
        <f>RATE(5,,-C14,H14)</f>
        <v>2.5014560880702211E-2</v>
      </c>
    </row>
    <row r="15" spans="1:11" s="7" customFormat="1" x14ac:dyDescent="0.2">
      <c r="A15" s="32" t="str">
        <f>Historical!A15</f>
        <v>Material and Supplies</v>
      </c>
      <c r="B15" s="75">
        <f>Historical!J15</f>
        <v>3395055</v>
      </c>
      <c r="C15" s="161">
        <f>Historical!K15</f>
        <v>4005054</v>
      </c>
      <c r="D15" s="69">
        <f>C38*Assumptions!$D$41</f>
        <v>3729345.6563999997</v>
      </c>
      <c r="E15" s="69">
        <f ca="1">D38*Assumptions!$D$41</f>
        <v>3858278.2190242349</v>
      </c>
      <c r="F15" s="69">
        <f ca="1">E38*Assumptions!$D$41</f>
        <v>3934592.7645835453</v>
      </c>
      <c r="G15" s="69">
        <f ca="1">F38*Assumptions!$D$41</f>
        <v>4007813.5897191307</v>
      </c>
      <c r="H15" s="69">
        <f ca="1">G38*Assumptions!$D$41</f>
        <v>4082217.6459366651</v>
      </c>
      <c r="I15" s="69">
        <f ca="1">H38*Assumptions!$D$41</f>
        <v>4158163.8869874165</v>
      </c>
      <c r="J15" s="66">
        <f ca="1">RATE(5,,-C15,H15)</f>
        <v>3.8239563047423918E-3</v>
      </c>
    </row>
    <row r="16" spans="1:11" s="7" customFormat="1" x14ac:dyDescent="0.2">
      <c r="A16" s="32" t="str">
        <f>Historical!A16</f>
        <v>Other Current Assets</v>
      </c>
      <c r="B16" s="76">
        <f>Historical!J16</f>
        <v>163977</v>
      </c>
      <c r="C16" s="164">
        <f>Historical!K16</f>
        <v>164954</v>
      </c>
      <c r="D16" s="165">
        <f>C38*Assumptions!$D$42</f>
        <v>164954</v>
      </c>
      <c r="E16" s="166">
        <f ca="1">E38*Assumptions!$D$42</f>
        <v>174032.35706384768</v>
      </c>
      <c r="F16" s="166">
        <f ca="1">F38*Assumptions!$D$42</f>
        <v>177271.01314515996</v>
      </c>
      <c r="G16" s="166">
        <f ca="1">G38*Assumptions!$D$42</f>
        <v>180562.00513680998</v>
      </c>
      <c r="H16" s="166">
        <f ca="1">H38*Assumptions!$D$42</f>
        <v>183921.21004847772</v>
      </c>
      <c r="I16" s="167" t="e">
        <f>I38*Assumptions!$D$42</f>
        <v>#REF!</v>
      </c>
      <c r="J16" s="68">
        <f ca="1">RATE(5,,-C16,H16)</f>
        <v>2.2006817495193995E-2</v>
      </c>
    </row>
    <row r="17" spans="1:16" s="7" customFormat="1" x14ac:dyDescent="0.2">
      <c r="A17" s="32" t="str">
        <f>Historical!A17</f>
        <v>Total Current Assets</v>
      </c>
      <c r="B17" s="75">
        <f>SUM(B11:B16)</f>
        <v>9526762</v>
      </c>
      <c r="C17" s="161">
        <f>SUM(C11:C16)</f>
        <v>8151334</v>
      </c>
      <c r="D17" s="69">
        <f t="shared" ref="D17:I17" ca="1" si="2">SUM(D12:D16)</f>
        <v>7543311.4280297458</v>
      </c>
      <c r="E17" s="69">
        <f t="shared" ca="1" si="2"/>
        <v>7751269.6994665926</v>
      </c>
      <c r="F17" s="69">
        <f t="shared" ca="1" si="2"/>
        <v>7902111.0630048253</v>
      </c>
      <c r="G17" s="69">
        <f t="shared" ca="1" si="2"/>
        <v>8051277.5539643662</v>
      </c>
      <c r="H17" s="69">
        <f t="shared" ca="1" si="2"/>
        <v>8203088.1953200409</v>
      </c>
      <c r="I17" s="69" t="e">
        <f t="shared" si="2"/>
        <v>#REF!</v>
      </c>
      <c r="J17" s="66">
        <f ca="1">RATE(5,,-C17,H17)</f>
        <v>1.2666210309107476E-3</v>
      </c>
    </row>
    <row r="18" spans="1:16" s="7" customFormat="1" x14ac:dyDescent="0.2">
      <c r="A18" s="32"/>
      <c r="B18" s="75"/>
      <c r="C18" s="161"/>
      <c r="D18" s="69"/>
      <c r="E18" s="69"/>
      <c r="F18" s="69"/>
      <c r="G18" s="69"/>
      <c r="H18" s="69"/>
      <c r="I18" s="69"/>
      <c r="J18" s="66"/>
    </row>
    <row r="19" spans="1:16" s="7" customFormat="1" x14ac:dyDescent="0.2">
      <c r="A19" s="65" t="str">
        <f>Historical!A19</f>
        <v>Plant &amp; Equipment:</v>
      </c>
      <c r="B19" s="75"/>
      <c r="C19" s="161"/>
      <c r="D19" s="69"/>
      <c r="E19" s="69"/>
      <c r="F19" s="69"/>
      <c r="G19" s="69"/>
      <c r="H19" s="69"/>
      <c r="I19" s="69"/>
      <c r="J19" s="66"/>
    </row>
    <row r="20" spans="1:16" s="7" customFormat="1" x14ac:dyDescent="0.2">
      <c r="A20" s="32" t="str">
        <f>Historical!A20</f>
        <v>Plant in Service</v>
      </c>
      <c r="B20" s="71">
        <f>Historical!J20</f>
        <v>60267323</v>
      </c>
      <c r="C20" s="168">
        <f>Historical!K20</f>
        <v>64391091</v>
      </c>
      <c r="D20" s="69">
        <f t="shared" ref="D20:I20" si="3">D24</f>
        <v>69523417.804073438</v>
      </c>
      <c r="E20" s="69">
        <f t="shared" si="3"/>
        <v>71002323.708049417</v>
      </c>
      <c r="F20" s="69">
        <f t="shared" si="3"/>
        <v>72512688.978407219</v>
      </c>
      <c r="G20" s="69">
        <f t="shared" si="3"/>
        <v>74055182.820490122</v>
      </c>
      <c r="H20" s="69">
        <f t="shared" si="3"/>
        <v>75630488.675013661</v>
      </c>
      <c r="I20" s="69">
        <f t="shared" si="3"/>
        <v>77239304.520881251</v>
      </c>
      <c r="J20" s="66">
        <f>RATE(5,,-C20,H20)</f>
        <v>3.2700113128322286E-2</v>
      </c>
    </row>
    <row r="21" spans="1:16" s="7" customFormat="1" x14ac:dyDescent="0.2">
      <c r="A21" s="32" t="str">
        <f>Historical!A21</f>
        <v xml:space="preserve">  Construction Work in Progress</v>
      </c>
      <c r="B21" s="71">
        <f>Historical!J21</f>
        <v>2965747</v>
      </c>
      <c r="C21" s="168">
        <f>Historical!K21</f>
        <v>3680933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6"/>
    </row>
    <row r="22" spans="1:16" s="7" customFormat="1" x14ac:dyDescent="0.2">
      <c r="A22" s="32" t="str">
        <f>Historical!A22</f>
        <v>Electric Plant Acquisition Adjustment</v>
      </c>
      <c r="B22" s="71">
        <f>Historical!J22</f>
        <v>0</v>
      </c>
      <c r="C22" s="71">
        <f>Historical!K22</f>
        <v>0</v>
      </c>
      <c r="D22" s="169">
        <f t="shared" ref="D22:I22" si="4">C22</f>
        <v>0</v>
      </c>
      <c r="E22" s="75">
        <f t="shared" si="4"/>
        <v>0</v>
      </c>
      <c r="F22" s="75">
        <f t="shared" si="4"/>
        <v>0</v>
      </c>
      <c r="G22" s="75">
        <f t="shared" si="4"/>
        <v>0</v>
      </c>
      <c r="H22" s="75">
        <f t="shared" si="4"/>
        <v>0</v>
      </c>
      <c r="I22" s="75">
        <f t="shared" si="4"/>
        <v>0</v>
      </c>
      <c r="J22" s="72"/>
    </row>
    <row r="23" spans="1:16" s="7" customFormat="1" x14ac:dyDescent="0.2">
      <c r="A23" s="32" t="str">
        <f>Historical!A23</f>
        <v>Electric Plan Held for Future Use</v>
      </c>
      <c r="B23" s="73">
        <f>Historical!J23</f>
        <v>3292</v>
      </c>
      <c r="C23" s="170">
        <f>Historical!K23</f>
        <v>3292</v>
      </c>
      <c r="D23" s="171"/>
      <c r="E23" s="76"/>
      <c r="F23" s="76"/>
      <c r="G23" s="76"/>
      <c r="H23" s="76"/>
      <c r="I23" s="76"/>
      <c r="J23" s="68"/>
    </row>
    <row r="24" spans="1:16" s="7" customFormat="1" x14ac:dyDescent="0.2">
      <c r="A24" s="32" t="str">
        <f>Historical!A24</f>
        <v>Total Plant &amp; Equipment:</v>
      </c>
      <c r="B24" s="75">
        <f>SUM(B19:B23)</f>
        <v>63236362</v>
      </c>
      <c r="C24" s="75">
        <f>SUM(C19:C23)</f>
        <v>68075316</v>
      </c>
      <c r="D24" s="172">
        <f>C24*(1+Assumptions!$D$45)+0</f>
        <v>69523417.804073438</v>
      </c>
      <c r="E24" s="162">
        <f>D24*(1+Assumptions!$D$45)+0</f>
        <v>71002323.708049417</v>
      </c>
      <c r="F24" s="162">
        <f>E24*(1+Assumptions!$D$45)+0</f>
        <v>72512688.978407219</v>
      </c>
      <c r="G24" s="162">
        <f>F24*(1+Assumptions!$D$45)+0</f>
        <v>74055182.820490122</v>
      </c>
      <c r="H24" s="162">
        <f>G24*(1+Assumptions!$D$45)+0</f>
        <v>75630488.675013661</v>
      </c>
      <c r="I24" s="69">
        <f>H24*(1+Assumptions!$D$45)+0</f>
        <v>77239304.520881251</v>
      </c>
      <c r="J24" s="66">
        <f>RATE(5,,-C24,H24)</f>
        <v>2.1272054088936326E-2</v>
      </c>
    </row>
    <row r="25" spans="1:16" s="7" customFormat="1" ht="7.5" customHeight="1" x14ac:dyDescent="0.2">
      <c r="A25" s="32"/>
      <c r="B25" s="75"/>
      <c r="C25" s="161"/>
      <c r="D25" s="69"/>
      <c r="E25" s="69"/>
      <c r="F25" s="69"/>
      <c r="G25" s="69"/>
      <c r="H25" s="69"/>
      <c r="I25" s="69"/>
      <c r="J25" s="66"/>
    </row>
    <row r="26" spans="1:16" s="7" customFormat="1" x14ac:dyDescent="0.2">
      <c r="A26" s="32" t="str">
        <f>Historical!A26</f>
        <v>Accumulated Depreciation &amp; Amort.</v>
      </c>
      <c r="B26" s="75">
        <f>Historical!J26</f>
        <v>31636051</v>
      </c>
      <c r="C26" s="161">
        <f>Historical!K26</f>
        <v>32500890</v>
      </c>
      <c r="D26" s="69">
        <f>D24*Assumptions!$D$51</f>
        <v>32495245.481623925</v>
      </c>
      <c r="E26" s="69">
        <f>E24*Assumptions!$D$51</f>
        <v>33186486.101142295</v>
      </c>
      <c r="F26" s="69">
        <f>F24*Assumptions!$D$51</f>
        <v>33892430.828507535</v>
      </c>
      <c r="G26" s="69">
        <f>G24*Assumptions!$D$51</f>
        <v>34613392.45029708</v>
      </c>
      <c r="H26" s="69">
        <f>H24*Assumptions!$D$51</f>
        <v>35349690.406701386</v>
      </c>
      <c r="I26" s="69">
        <f>I24*Assumptions!$D$51</f>
        <v>36101650.933059894</v>
      </c>
      <c r="J26" s="66">
        <f>RATE(5,,-C26,H26)</f>
        <v>1.6946420858478885E-2</v>
      </c>
      <c r="L26" s="7">
        <f>D26-C26</f>
        <v>-5644.5183760747313</v>
      </c>
      <c r="M26" s="7">
        <f>E26-D26</f>
        <v>691240.61951836944</v>
      </c>
      <c r="N26" s="7">
        <f>F26-E26</f>
        <v>705944.72736524045</v>
      </c>
      <c r="O26" s="7">
        <f>G26-F26</f>
        <v>720961.62178954482</v>
      </c>
      <c r="P26" s="7">
        <f>H26-G26</f>
        <v>736297.95640430599</v>
      </c>
    </row>
    <row r="27" spans="1:16" s="7" customFormat="1" ht="7.5" customHeight="1" x14ac:dyDescent="0.2">
      <c r="A27" s="32"/>
      <c r="B27" s="75"/>
      <c r="C27" s="161"/>
      <c r="D27" s="69"/>
      <c r="E27" s="69"/>
      <c r="F27" s="69"/>
      <c r="G27" s="69"/>
      <c r="H27" s="69"/>
      <c r="I27" s="69"/>
      <c r="J27" s="66"/>
    </row>
    <row r="28" spans="1:16" s="7" customFormat="1" x14ac:dyDescent="0.2">
      <c r="A28" s="32" t="str">
        <f>Historical!A28</f>
        <v>Net Plant &amp; Equipment</v>
      </c>
      <c r="B28" s="75">
        <f t="shared" ref="B28:H28" si="5">B24-B26</f>
        <v>31600311</v>
      </c>
      <c r="C28" s="161">
        <f t="shared" si="5"/>
        <v>35574426</v>
      </c>
      <c r="D28" s="69">
        <f t="shared" si="5"/>
        <v>37028172.322449513</v>
      </c>
      <c r="E28" s="69">
        <f t="shared" si="5"/>
        <v>37815837.606907122</v>
      </c>
      <c r="F28" s="69">
        <f t="shared" si="5"/>
        <v>38620258.149899684</v>
      </c>
      <c r="G28" s="69">
        <f t="shared" si="5"/>
        <v>39441790.370193042</v>
      </c>
      <c r="H28" s="69">
        <f t="shared" si="5"/>
        <v>40280798.268312275</v>
      </c>
      <c r="I28" s="69">
        <f t="shared" ref="I28" si="6">I24-I26</f>
        <v>41137653.587821357</v>
      </c>
      <c r="J28" s="66">
        <f>RATE(5,,-C28,H28)</f>
        <v>2.5160899449008397E-2</v>
      </c>
    </row>
    <row r="29" spans="1:16" s="7" customFormat="1" ht="7.5" customHeight="1" x14ac:dyDescent="0.2">
      <c r="A29" s="32"/>
      <c r="B29" s="75"/>
      <c r="C29" s="161"/>
      <c r="D29" s="69"/>
      <c r="E29" s="69"/>
      <c r="F29" s="69"/>
      <c r="G29" s="69"/>
      <c r="H29" s="69"/>
      <c r="I29" s="69"/>
      <c r="J29" s="66"/>
    </row>
    <row r="30" spans="1:16" s="7" customFormat="1" ht="12.75" customHeight="1" x14ac:dyDescent="0.2">
      <c r="A30" s="65" t="str">
        <f>Historical!A30</f>
        <v>Other Assets:</v>
      </c>
      <c r="B30" s="75"/>
      <c r="C30" s="161"/>
      <c r="D30" s="69"/>
      <c r="E30" s="69"/>
      <c r="F30" s="69"/>
      <c r="G30" s="69"/>
      <c r="H30" s="69"/>
      <c r="I30" s="69"/>
      <c r="J30" s="66"/>
    </row>
    <row r="31" spans="1:16" s="7" customFormat="1" x14ac:dyDescent="0.2">
      <c r="A31" s="32" t="str">
        <f>Historical!A31</f>
        <v>Regulatory Assets</v>
      </c>
      <c r="B31" s="75">
        <f>Historical!J31</f>
        <v>0</v>
      </c>
      <c r="C31" s="161">
        <f>Historical!K31</f>
        <v>0</v>
      </c>
      <c r="D31" s="69">
        <f>C31*(1+Assumptions!$D$53)</f>
        <v>0</v>
      </c>
      <c r="E31" s="69">
        <f>D31*(1+Assumptions!$D$53)</f>
        <v>0</v>
      </c>
      <c r="F31" s="69">
        <f>E31*(1+Assumptions!$D$53)</f>
        <v>0</v>
      </c>
      <c r="G31" s="69">
        <f>F31*(1+Assumptions!$D$53)</f>
        <v>0</v>
      </c>
      <c r="H31" s="69">
        <f>G31*(1+Assumptions!$D$53)</f>
        <v>0</v>
      </c>
      <c r="I31" s="69">
        <f>H31*(1+Assumptions!$D$53)</f>
        <v>0</v>
      </c>
      <c r="J31" s="66"/>
    </row>
    <row r="32" spans="1:16" s="7" customFormat="1" x14ac:dyDescent="0.2">
      <c r="A32" s="32" t="str">
        <f>Historical!A32</f>
        <v>Notes Receivable</v>
      </c>
      <c r="B32" s="75">
        <f>Historical!J32</f>
        <v>0</v>
      </c>
      <c r="C32" s="161">
        <f>Historical!K32</f>
        <v>0</v>
      </c>
      <c r="D32" s="69"/>
      <c r="E32" s="69"/>
      <c r="F32" s="69"/>
      <c r="G32" s="69"/>
      <c r="H32" s="69"/>
      <c r="I32" s="69"/>
      <c r="J32" s="66"/>
    </row>
    <row r="33" spans="1:10" s="7" customFormat="1" x14ac:dyDescent="0.2">
      <c r="A33" s="32" t="str">
        <f>Historical!A33</f>
        <v>Investment in Associated Organizations</v>
      </c>
      <c r="B33" s="75">
        <f>Historical!J33</f>
        <v>4794519</v>
      </c>
      <c r="C33" s="161">
        <f>Historical!K33</f>
        <v>4845731</v>
      </c>
      <c r="D33" s="69">
        <f t="shared" ref="D33:H34" si="7">C33</f>
        <v>4845731</v>
      </c>
      <c r="E33" s="69">
        <f t="shared" si="7"/>
        <v>4845731</v>
      </c>
      <c r="F33" s="69">
        <f t="shared" si="7"/>
        <v>4845731</v>
      </c>
      <c r="G33" s="69">
        <f t="shared" si="7"/>
        <v>4845731</v>
      </c>
      <c r="H33" s="69">
        <f t="shared" si="7"/>
        <v>4845731</v>
      </c>
      <c r="I33" s="69"/>
      <c r="J33" s="66"/>
    </row>
    <row r="34" spans="1:10" s="7" customFormat="1" x14ac:dyDescent="0.2">
      <c r="A34" s="32" t="str">
        <f>Historical!A34</f>
        <v>Energy Conservation &amp; Develop Loans</v>
      </c>
      <c r="B34" s="75">
        <f>Historical!J34</f>
        <v>94332</v>
      </c>
      <c r="C34" s="161">
        <f>Historical!K34</f>
        <v>82638</v>
      </c>
      <c r="D34" s="69">
        <f t="shared" si="7"/>
        <v>82638</v>
      </c>
      <c r="E34" s="69">
        <f t="shared" si="7"/>
        <v>82638</v>
      </c>
      <c r="F34" s="69">
        <f t="shared" si="7"/>
        <v>82638</v>
      </c>
      <c r="G34" s="69">
        <f t="shared" si="7"/>
        <v>82638</v>
      </c>
      <c r="H34" s="69">
        <f t="shared" si="7"/>
        <v>82638</v>
      </c>
      <c r="I34" s="69">
        <f>H34</f>
        <v>82638</v>
      </c>
      <c r="J34" s="66"/>
    </row>
    <row r="35" spans="1:10" s="7" customFormat="1" x14ac:dyDescent="0.2">
      <c r="A35" s="32" t="str">
        <f>Historical!A35</f>
        <v>Other Non-Current Assets</v>
      </c>
      <c r="B35" s="75">
        <f>Historical!J35</f>
        <v>2619</v>
      </c>
      <c r="C35" s="164">
        <f>Historical!K35</f>
        <v>87</v>
      </c>
      <c r="D35" s="165">
        <f>Assumptions!$D$55</f>
        <v>836458</v>
      </c>
      <c r="E35" s="165">
        <f>Assumptions!$D$55</f>
        <v>836458</v>
      </c>
      <c r="F35" s="165">
        <f>Assumptions!$D$55</f>
        <v>836458</v>
      </c>
      <c r="G35" s="165">
        <f>Assumptions!$D$55</f>
        <v>836458</v>
      </c>
      <c r="H35" s="165">
        <f>Assumptions!$D$55</f>
        <v>836458</v>
      </c>
      <c r="I35" s="165">
        <f>Assumptions!$D$55</f>
        <v>836458</v>
      </c>
      <c r="J35" s="68"/>
    </row>
    <row r="36" spans="1:10" s="7" customFormat="1" x14ac:dyDescent="0.2">
      <c r="A36" s="32" t="str">
        <f>Historical!A36</f>
        <v>Total Other Assets</v>
      </c>
      <c r="B36" s="77">
        <f>SUM(B31:B35)</f>
        <v>4891470</v>
      </c>
      <c r="C36" s="173">
        <f t="shared" ref="C36:H36" si="8">SUM(C31:C35)</f>
        <v>4928456</v>
      </c>
      <c r="D36" s="165">
        <f t="shared" si="8"/>
        <v>5764827</v>
      </c>
      <c r="E36" s="165">
        <f t="shared" si="8"/>
        <v>5764827</v>
      </c>
      <c r="F36" s="165">
        <f t="shared" si="8"/>
        <v>5764827</v>
      </c>
      <c r="G36" s="165">
        <f t="shared" si="8"/>
        <v>5764827</v>
      </c>
      <c r="H36" s="165">
        <f t="shared" si="8"/>
        <v>5764827</v>
      </c>
      <c r="I36" s="165">
        <f t="shared" ref="I36" si="9">SUM(I31:I35)</f>
        <v>919096</v>
      </c>
      <c r="J36" s="68">
        <f>RATE(5,,-C36,H36)</f>
        <v>3.1846461150579139E-2</v>
      </c>
    </row>
    <row r="37" spans="1:10" s="7" customFormat="1" x14ac:dyDescent="0.2">
      <c r="A37" s="32" t="str">
        <f>Historical!A37</f>
        <v>Total Non-Current Assets</v>
      </c>
      <c r="B37" s="76">
        <f t="shared" ref="B37:H37" si="10">B28+B36</f>
        <v>36491781</v>
      </c>
      <c r="C37" s="173">
        <f t="shared" si="10"/>
        <v>40502882</v>
      </c>
      <c r="D37" s="165">
        <f t="shared" si="10"/>
        <v>42792999.322449513</v>
      </c>
      <c r="E37" s="165">
        <f t="shared" si="10"/>
        <v>43580664.606907122</v>
      </c>
      <c r="F37" s="165">
        <f t="shared" si="10"/>
        <v>44385085.149899684</v>
      </c>
      <c r="G37" s="165">
        <f t="shared" si="10"/>
        <v>45206617.370193042</v>
      </c>
      <c r="H37" s="165">
        <f t="shared" si="10"/>
        <v>46045625.268312275</v>
      </c>
      <c r="I37" s="165">
        <f t="shared" ref="I37" si="11">I28+I36</f>
        <v>42056749.587821357</v>
      </c>
      <c r="J37" s="68">
        <f>RATE(5,,-C37,H37)</f>
        <v>2.5983767324571663E-2</v>
      </c>
    </row>
    <row r="38" spans="1:10" s="7" customFormat="1" ht="13.5" thickBot="1" x14ac:dyDescent="0.25">
      <c r="A38" s="32" t="str">
        <f>Historical!A38</f>
        <v>Total Assets</v>
      </c>
      <c r="B38" s="78">
        <f>B37+B17</f>
        <v>46018543</v>
      </c>
      <c r="C38" s="174">
        <f>C37+C17</f>
        <v>48654216</v>
      </c>
      <c r="D38" s="175">
        <f t="shared" ref="D38:I38" ca="1" si="12">D17+D37</f>
        <v>50336310.750479259</v>
      </c>
      <c r="E38" s="175">
        <f t="shared" ca="1" si="12"/>
        <v>51331934.306373715</v>
      </c>
      <c r="F38" s="175">
        <f t="shared" ca="1" si="12"/>
        <v>52287196.212904513</v>
      </c>
      <c r="G38" s="175">
        <f t="shared" ca="1" si="12"/>
        <v>53257894.924157411</v>
      </c>
      <c r="H38" s="175">
        <f t="shared" ca="1" si="12"/>
        <v>54248713.463632315</v>
      </c>
      <c r="I38" s="175" t="e">
        <f t="shared" si="12"/>
        <v>#REF!</v>
      </c>
      <c r="J38" s="68">
        <f ca="1">RATE(5,,-C38,H38)</f>
        <v>2.2006817495194089E-2</v>
      </c>
    </row>
    <row r="39" spans="1:10" s="7" customFormat="1" ht="13.5" thickTop="1" x14ac:dyDescent="0.2">
      <c r="A39" s="32"/>
      <c r="B39" s="75"/>
      <c r="C39" s="161"/>
      <c r="D39" s="69"/>
      <c r="E39" s="69"/>
      <c r="F39" s="69"/>
      <c r="G39" s="69"/>
      <c r="H39" s="69"/>
      <c r="I39" s="69"/>
      <c r="J39" s="176"/>
    </row>
    <row r="40" spans="1:10" s="7" customFormat="1" x14ac:dyDescent="0.2">
      <c r="A40" s="65" t="str">
        <f>Historical!A40</f>
        <v>Current Liabilities:</v>
      </c>
      <c r="B40" s="75"/>
      <c r="C40" s="161"/>
      <c r="D40" s="69"/>
      <c r="E40" s="69"/>
      <c r="F40" s="69"/>
      <c r="G40" s="69"/>
      <c r="H40" s="69"/>
      <c r="I40" s="69"/>
      <c r="J40" s="66"/>
    </row>
    <row r="41" spans="1:10" s="7" customFormat="1" x14ac:dyDescent="0.2">
      <c r="A41" s="32" t="str">
        <f>Historical!A41</f>
        <v>Current Portion of LTD</v>
      </c>
      <c r="B41" s="75">
        <f>Historical!J41</f>
        <v>1076087</v>
      </c>
      <c r="C41" s="161">
        <f>Historical!K41</f>
        <v>1209584</v>
      </c>
      <c r="D41" s="69">
        <f>C50*Assumptions!$D$57</f>
        <v>1279587.2648261802</v>
      </c>
      <c r="E41" s="69">
        <f ca="1">(D50+D53)*Assumptions!$D$57</f>
        <v>1364356.0000204355</v>
      </c>
      <c r="F41" s="69">
        <f ca="1">(E50+E53)*Assumptions!$D$57</f>
        <v>1387043.1873465716</v>
      </c>
      <c r="G41" s="69">
        <f ca="1">(F50+F53)*Assumptions!$D$57</f>
        <v>1420844.3190549926</v>
      </c>
      <c r="H41" s="69">
        <f ca="1">(G50+G53)*Assumptions!$D$57</f>
        <v>1464834.5192303616</v>
      </c>
      <c r="I41" s="69">
        <f>H50*Assumptions!$D$57</f>
        <v>809742.9456784639</v>
      </c>
      <c r="J41" s="66">
        <f ca="1">RATE(5,,-C41,H41)</f>
        <v>3.9035788037150528E-2</v>
      </c>
    </row>
    <row r="42" spans="1:10" s="7" customFormat="1" x14ac:dyDescent="0.2">
      <c r="A42" s="32" t="str">
        <f>Historical!A42</f>
        <v>Acounts Payable</v>
      </c>
      <c r="B42" s="75">
        <f>Historical!J42</f>
        <v>1450971</v>
      </c>
      <c r="C42" s="161">
        <f>Historical!K42</f>
        <v>825713</v>
      </c>
      <c r="D42" s="69">
        <f>D81*Assumptions!$D$58</f>
        <v>779779.98363710509</v>
      </c>
      <c r="E42" s="69">
        <f>E81*Assumptions!$D$58</f>
        <v>794727.46756307466</v>
      </c>
      <c r="F42" s="69">
        <f>F81*Assumptions!$D$58</f>
        <v>809961.4775353719</v>
      </c>
      <c r="G42" s="69">
        <f>G81*Assumptions!$D$58</f>
        <v>825487.50592820742</v>
      </c>
      <c r="H42" s="69">
        <f>H81*Assumptions!$D$58</f>
        <v>841311.15039827733</v>
      </c>
      <c r="I42" s="69">
        <f>I81*Assumptions!$D$58</f>
        <v>857438.11590290815</v>
      </c>
      <c r="J42" s="66">
        <f>RATE(5,,-C42,H42)</f>
        <v>3.7498758020388708E-3</v>
      </c>
    </row>
    <row r="43" spans="1:10" s="7" customFormat="1" x14ac:dyDescent="0.2">
      <c r="A43" s="32" t="str">
        <f>Historical!A43</f>
        <v>Acounts Payable, Affiliates</v>
      </c>
      <c r="B43" s="75">
        <f>Historical!J43</f>
        <v>1506164</v>
      </c>
      <c r="C43" s="161">
        <f>Historical!K43</f>
        <v>1622840</v>
      </c>
      <c r="D43" s="69">
        <f>D81*Assumptions!$D$59</f>
        <v>1532518.1085777583</v>
      </c>
      <c r="E43" s="69">
        <f>E81*Assumptions!$D$59</f>
        <v>1561894.7151525738</v>
      </c>
      <c r="F43" s="69">
        <f>F81*Assumptions!$D$59</f>
        <v>1591834.4374315501</v>
      </c>
      <c r="G43" s="69">
        <f>G81*Assumptions!$D$59</f>
        <v>1622348.0696939884</v>
      </c>
      <c r="H43" s="69">
        <f>H81*Assumptions!$D$59</f>
        <v>1653446.6131330875</v>
      </c>
      <c r="I43" s="69">
        <f>I81*Assumptions!$D$59</f>
        <v>1685141.2798222462</v>
      </c>
      <c r="J43" s="66">
        <f>RATE(5,,-C43,H43)</f>
        <v>3.7438437257770497E-3</v>
      </c>
    </row>
    <row r="44" spans="1:10" s="7" customFormat="1" x14ac:dyDescent="0.2">
      <c r="A44" s="32" t="str">
        <f>Historical!A44</f>
        <v>Customer Deposits</v>
      </c>
      <c r="B44" s="75">
        <f>Historical!J44</f>
        <v>498862</v>
      </c>
      <c r="C44" s="161">
        <f>Historical!K44</f>
        <v>453053</v>
      </c>
      <c r="D44" s="69">
        <f>C44</f>
        <v>453053</v>
      </c>
      <c r="E44" s="69">
        <f>D44</f>
        <v>453053</v>
      </c>
      <c r="F44" s="69">
        <f t="shared" ref="F44:G44" si="13">E44</f>
        <v>453053</v>
      </c>
      <c r="G44" s="69">
        <f t="shared" si="13"/>
        <v>453053</v>
      </c>
      <c r="H44" s="69">
        <f>G44</f>
        <v>453053</v>
      </c>
      <c r="I44" s="69">
        <f>H44</f>
        <v>453053</v>
      </c>
      <c r="J44" s="66">
        <f>RATE(5,,-C44,H44)</f>
        <v>1.6228100385537995E-16</v>
      </c>
    </row>
    <row r="45" spans="1:10" s="7" customFormat="1" x14ac:dyDescent="0.2">
      <c r="A45" s="32" t="str">
        <f>Historical!A45</f>
        <v>Rate-Refund Obligation</v>
      </c>
      <c r="B45" s="75">
        <f>Historical!J45</f>
        <v>0</v>
      </c>
      <c r="C45" s="161">
        <f>Historical!K45</f>
        <v>0</v>
      </c>
      <c r="D45" s="69">
        <f>C45*Assumptions!E20</f>
        <v>0</v>
      </c>
      <c r="E45" s="69">
        <f>D45*Assumptions!F20</f>
        <v>0</v>
      </c>
      <c r="F45" s="69">
        <f>E45*Assumptions!G20</f>
        <v>0</v>
      </c>
      <c r="G45" s="69">
        <f>F45*Assumptions!H20</f>
        <v>0</v>
      </c>
      <c r="H45" s="69">
        <f>G45*Assumptions!I20</f>
        <v>0</v>
      </c>
      <c r="I45" s="69">
        <f>H45*Assumptions!J20</f>
        <v>0</v>
      </c>
      <c r="J45" s="66"/>
    </row>
    <row r="46" spans="1:10" s="7" customFormat="1" x14ac:dyDescent="0.2">
      <c r="A46" s="32" t="str">
        <f>Historical!A46</f>
        <v>Accrued Compensated Absences</v>
      </c>
      <c r="B46" s="75">
        <f>Historical!J46</f>
        <v>526734</v>
      </c>
      <c r="C46" s="161">
        <f>Historical!K46</f>
        <v>574126</v>
      </c>
      <c r="D46" s="69"/>
      <c r="E46" s="69"/>
      <c r="F46" s="69"/>
      <c r="G46" s="69"/>
      <c r="H46" s="69"/>
      <c r="I46" s="69"/>
      <c r="J46" s="66"/>
    </row>
    <row r="47" spans="1:10" s="7" customFormat="1" x14ac:dyDescent="0.2">
      <c r="A47" s="32" t="str">
        <f>Historical!A47</f>
        <v xml:space="preserve">Other </v>
      </c>
      <c r="B47" s="76">
        <f>Historical!J47</f>
        <v>95104</v>
      </c>
      <c r="C47" s="164">
        <f>Historical!K47</f>
        <v>112457</v>
      </c>
      <c r="D47" s="165">
        <f ca="1">D38*Assumptions!$D$62</f>
        <v>755044.66125718888</v>
      </c>
      <c r="E47" s="165">
        <f ca="1">E38*Assumptions!$D$62</f>
        <v>769979.01459560567</v>
      </c>
      <c r="F47" s="165">
        <f ca="1">F38*Assumptions!$D$62</f>
        <v>784307.94319356768</v>
      </c>
      <c r="G47" s="165">
        <f ca="1">G38*Assumptions!$D$62</f>
        <v>798868.42386236112</v>
      </c>
      <c r="H47" s="165">
        <f ca="1">H38*Assumptions!$D$62</f>
        <v>813730.70195448468</v>
      </c>
      <c r="I47" s="165" t="e">
        <f>I38*Assumptions!$D$62</f>
        <v>#REF!</v>
      </c>
      <c r="J47" s="68">
        <f ca="1">RATE(5,,-C47,H47)</f>
        <v>0.48558957012836107</v>
      </c>
    </row>
    <row r="48" spans="1:10" s="7" customFormat="1" x14ac:dyDescent="0.2">
      <c r="A48" s="32" t="str">
        <f>Historical!A48</f>
        <v>Total Current Liabilities</v>
      </c>
      <c r="B48" s="75">
        <f t="shared" ref="B48:H48" si="14">SUM(B40:B47)</f>
        <v>5153922</v>
      </c>
      <c r="C48" s="161">
        <f t="shared" si="14"/>
        <v>4797773</v>
      </c>
      <c r="D48" s="69">
        <f t="shared" ca="1" si="14"/>
        <v>4799983.018298232</v>
      </c>
      <c r="E48" s="69">
        <f t="shared" ca="1" si="14"/>
        <v>4944010.1973316893</v>
      </c>
      <c r="F48" s="69">
        <f t="shared" ca="1" si="14"/>
        <v>5026200.0455070622</v>
      </c>
      <c r="G48" s="69">
        <f t="shared" ca="1" si="14"/>
        <v>5120601.3185395496</v>
      </c>
      <c r="H48" s="69">
        <f t="shared" ca="1" si="14"/>
        <v>5226375.9847162114</v>
      </c>
      <c r="I48" s="69" t="e">
        <f t="shared" ref="I48" si="15">SUM(I40:I47)</f>
        <v>#REF!</v>
      </c>
      <c r="J48" s="66">
        <f ca="1">RATE(5,,-C48,H48)</f>
        <v>1.7260522106262829E-2</v>
      </c>
    </row>
    <row r="49" spans="1:21" s="7" customFormat="1" x14ac:dyDescent="0.2">
      <c r="A49" s="32"/>
      <c r="B49" s="75"/>
      <c r="C49" s="161"/>
      <c r="D49" s="69"/>
      <c r="E49" s="69"/>
      <c r="F49" s="69"/>
      <c r="G49" s="69"/>
      <c r="H49" s="69"/>
      <c r="I49" s="69"/>
      <c r="J49" s="66"/>
    </row>
    <row r="50" spans="1:21" s="7" customFormat="1" x14ac:dyDescent="0.2">
      <c r="A50" s="32" t="str">
        <f>Historical!A50</f>
        <v>Long-Term Debt</v>
      </c>
      <c r="B50" s="75">
        <f>Historical!J50</f>
        <v>11873983</v>
      </c>
      <c r="C50" s="161">
        <f>Historical!K50</f>
        <v>14631788</v>
      </c>
      <c r="D50" s="69">
        <f>C50*(1+Assumptions!$D$64)</f>
        <v>13352200.73517382</v>
      </c>
      <c r="E50" s="69">
        <f>D50*(1+Assumptions!$D$64)</f>
        <v>12184516.647751888</v>
      </c>
      <c r="F50" s="69">
        <f>E50*(1+Assumptions!$D$64)</f>
        <v>11118949.518804565</v>
      </c>
      <c r="G50" s="69">
        <f>F50*(1+Assumptions!$D$64)</f>
        <v>10146568.959264781</v>
      </c>
      <c r="H50" s="69">
        <f>G50*(1+Assumptions!$D$64)</f>
        <v>9259225.5654187351</v>
      </c>
      <c r="I50" s="69">
        <f>H50*(1+Assumptions!$D$64)</f>
        <v>8449482.6197402719</v>
      </c>
      <c r="J50" s="66">
        <f>RATE(5,,-C50,H50)</f>
        <v>-8.7452556367422662E-2</v>
      </c>
    </row>
    <row r="51" spans="1:21" s="7" customFormat="1" x14ac:dyDescent="0.2">
      <c r="A51" s="32" t="str">
        <f>Historical!A51</f>
        <v>Deferred Income Taxes</v>
      </c>
      <c r="B51" s="75">
        <f>Historical!J51</f>
        <v>0</v>
      </c>
      <c r="C51" s="161">
        <f>Historical!K51</f>
        <v>0</v>
      </c>
      <c r="D51" s="69">
        <f>D20*Assumptions!$D$65</f>
        <v>0</v>
      </c>
      <c r="E51" s="69">
        <f>E20*Assumptions!$D$65</f>
        <v>0</v>
      </c>
      <c r="F51" s="69">
        <f>F20*Assumptions!$D$65</f>
        <v>0</v>
      </c>
      <c r="G51" s="69">
        <f>G20*Assumptions!$D$65</f>
        <v>0</v>
      </c>
      <c r="H51" s="69">
        <f>H20*Assumptions!$D$65</f>
        <v>0</v>
      </c>
      <c r="I51" s="69">
        <f>I20*Assumptions!$D$65</f>
        <v>0</v>
      </c>
      <c r="J51" s="66"/>
    </row>
    <row r="52" spans="1:21" s="7" customFormat="1" x14ac:dyDescent="0.2">
      <c r="A52" s="32" t="str">
        <f>Historical!A52</f>
        <v>Other Deferred Credits</v>
      </c>
      <c r="B52" s="75">
        <f>Historical!J52</f>
        <v>1369726</v>
      </c>
      <c r="C52" s="161">
        <f>Historical!K52</f>
        <v>1306049</v>
      </c>
      <c r="D52" s="69">
        <f>C52+Assumptions!$D$66</f>
        <v>1306049.0570308019</v>
      </c>
      <c r="E52" s="69">
        <f>D52+Assumptions!$D$66</f>
        <v>1306049.1140616038</v>
      </c>
      <c r="F52" s="69">
        <f>E52+Assumptions!$D$66</f>
        <v>1306049.1710924057</v>
      </c>
      <c r="G52" s="69">
        <f>F52+Assumptions!$D$66</f>
        <v>1306049.2281232076</v>
      </c>
      <c r="H52" s="69">
        <f>G52+Assumptions!$D$66</f>
        <v>1306049.2851540095</v>
      </c>
      <c r="I52" s="69">
        <f>H52+Assumptions!$D$66</f>
        <v>1306049.3421848114</v>
      </c>
      <c r="J52" s="66">
        <f>RATE(5,,-C52,H52)</f>
        <v>4.3666659554334985E-8</v>
      </c>
    </row>
    <row r="53" spans="1:21" s="7" customFormat="1" x14ac:dyDescent="0.2">
      <c r="A53" s="32" t="s">
        <v>2</v>
      </c>
      <c r="B53" s="76">
        <v>0</v>
      </c>
      <c r="C53" s="161">
        <v>0</v>
      </c>
      <c r="D53" s="166">
        <f t="shared" ref="D53:I53" ca="1" si="16">N67</f>
        <v>2248898.3830701229</v>
      </c>
      <c r="E53" s="166">
        <f t="shared" ca="1" si="16"/>
        <v>3676005.2737868247</v>
      </c>
      <c r="F53" s="166">
        <f t="shared" ca="1" si="16"/>
        <v>5128080.6208026307</v>
      </c>
      <c r="G53" s="166">
        <f t="shared" ca="1" si="16"/>
        <v>6603479.068236229</v>
      </c>
      <c r="H53" s="166">
        <f t="shared" ca="1" si="16"/>
        <v>8125695.9518902451</v>
      </c>
      <c r="I53" s="167" t="e">
        <f t="shared" si="16"/>
        <v>#REF!</v>
      </c>
      <c r="J53" s="68"/>
      <c r="L53" s="7">
        <v>3037921.5037935162</v>
      </c>
      <c r="M53" s="7">
        <v>8370769.4766781786</v>
      </c>
      <c r="N53" s="7">
        <v>13081620.529493634</v>
      </c>
      <c r="O53" s="7">
        <v>20592463.36250205</v>
      </c>
      <c r="P53" s="7">
        <v>28031238.290550627</v>
      </c>
      <c r="Q53" s="7">
        <v>30717985.695488729</v>
      </c>
      <c r="R53" s="7">
        <v>30512541.736346092</v>
      </c>
      <c r="S53" s="7">
        <v>30331849.217543766</v>
      </c>
      <c r="T53" s="7">
        <v>30279810.223097302</v>
      </c>
      <c r="U53" s="7">
        <v>30250418.783671677</v>
      </c>
    </row>
    <row r="54" spans="1:21" s="7" customFormat="1" x14ac:dyDescent="0.2">
      <c r="A54" s="32" t="str">
        <f>Historical!A53</f>
        <v>Total LTD &amp; Deferrals</v>
      </c>
      <c r="B54" s="75">
        <f>SUM(B50:B53)</f>
        <v>13243709</v>
      </c>
      <c r="C54" s="177">
        <f t="shared" ref="C54:H54" si="17">SUM(C50:C53)</f>
        <v>15937837</v>
      </c>
      <c r="D54" s="69">
        <f t="shared" ca="1" si="17"/>
        <v>16907148.175274745</v>
      </c>
      <c r="E54" s="69">
        <f t="shared" ca="1" si="17"/>
        <v>17166571.035600316</v>
      </c>
      <c r="F54" s="69">
        <f t="shared" ca="1" si="17"/>
        <v>17553079.310699601</v>
      </c>
      <c r="G54" s="69">
        <f t="shared" ca="1" si="17"/>
        <v>18056097.255624216</v>
      </c>
      <c r="H54" s="69">
        <f t="shared" ca="1" si="17"/>
        <v>18690970.802462988</v>
      </c>
      <c r="I54" s="69" t="e">
        <f t="shared" ref="I54" si="18">SUM(I50:I53)</f>
        <v>#REF!</v>
      </c>
      <c r="J54" s="66">
        <f ca="1">RATE(5,,-C54,H54)</f>
        <v>3.2382170680421991E-2</v>
      </c>
      <c r="L54" s="37">
        <f>L53/M53</f>
        <v>0.36292022044777089</v>
      </c>
      <c r="M54" s="37">
        <f t="shared" ref="M54:U54" si="19">M53/N53</f>
        <v>0.63988780730992478</v>
      </c>
      <c r="N54" s="37">
        <f t="shared" si="19"/>
        <v>0.63526253752208572</v>
      </c>
      <c r="O54" s="37">
        <f t="shared" si="19"/>
        <v>0.73462553273801678</v>
      </c>
      <c r="P54" s="37">
        <f t="shared" si="19"/>
        <v>0.91253503951814519</v>
      </c>
      <c r="Q54" s="37">
        <f t="shared" si="19"/>
        <v>1.006733098832534</v>
      </c>
      <c r="R54" s="37">
        <f t="shared" si="19"/>
        <v>1.0059571876909441</v>
      </c>
      <c r="S54" s="37">
        <f t="shared" si="19"/>
        <v>1.0017186037185519</v>
      </c>
      <c r="T54" s="37">
        <f t="shared" si="19"/>
        <v>1.0009716043812753</v>
      </c>
      <c r="U54" s="37" t="e">
        <f t="shared" si="19"/>
        <v>#DIV/0!</v>
      </c>
    </row>
    <row r="55" spans="1:21" s="7" customFormat="1" ht="7.5" customHeight="1" x14ac:dyDescent="0.2">
      <c r="A55" s="32"/>
      <c r="B55" s="75"/>
      <c r="C55" s="161"/>
      <c r="D55" s="69"/>
      <c r="E55" s="69"/>
      <c r="F55" s="69"/>
      <c r="G55" s="69"/>
      <c r="H55" s="69"/>
      <c r="I55" s="69"/>
      <c r="J55" s="66"/>
    </row>
    <row r="56" spans="1:21" s="7" customFormat="1" x14ac:dyDescent="0.2">
      <c r="A56" s="32" t="str">
        <f>Historical!A55</f>
        <v>Total Liabilities</v>
      </c>
      <c r="B56" s="75">
        <f>Historical!J55</f>
        <v>18397631</v>
      </c>
      <c r="C56" s="161">
        <f>Historical!K55</f>
        <v>20735610</v>
      </c>
      <c r="D56" s="69">
        <f t="shared" ref="D56:I56" ca="1" si="20">D48+D54</f>
        <v>21707131.193572976</v>
      </c>
      <c r="E56" s="69">
        <f t="shared" ca="1" si="20"/>
        <v>22110581.232932005</v>
      </c>
      <c r="F56" s="69">
        <f t="shared" ca="1" si="20"/>
        <v>22579279.356206663</v>
      </c>
      <c r="G56" s="69">
        <f t="shared" ca="1" si="20"/>
        <v>23176698.574163765</v>
      </c>
      <c r="H56" s="69">
        <f t="shared" ca="1" si="20"/>
        <v>23917346.787179198</v>
      </c>
      <c r="I56" s="69" t="e">
        <f t="shared" si="20"/>
        <v>#REF!</v>
      </c>
      <c r="J56" s="66">
        <f ca="1">RATE(5,,-C56,H56)</f>
        <v>2.896176436276246E-2</v>
      </c>
      <c r="L56" s="37">
        <f>1-L54</f>
        <v>0.63707977955222916</v>
      </c>
      <c r="M56" s="37">
        <f t="shared" ref="M56:T56" si="21">1-M54</f>
        <v>0.36011219269007522</v>
      </c>
      <c r="N56" s="37">
        <f t="shared" si="21"/>
        <v>0.36473746247791428</v>
      </c>
      <c r="O56" s="37">
        <f t="shared" si="21"/>
        <v>0.26537446726198322</v>
      </c>
      <c r="P56" s="37">
        <f t="shared" si="21"/>
        <v>8.7464960481854814E-2</v>
      </c>
      <c r="Q56" s="37">
        <f t="shared" si="21"/>
        <v>-6.7330988325340346E-3</v>
      </c>
      <c r="R56" s="37">
        <f t="shared" si="21"/>
        <v>-5.9571876909441102E-3</v>
      </c>
      <c r="S56" s="37">
        <f t="shared" si="21"/>
        <v>-1.7186037185519254E-3</v>
      </c>
      <c r="T56" s="37">
        <f t="shared" si="21"/>
        <v>-9.7160438127530391E-4</v>
      </c>
    </row>
    <row r="57" spans="1:21" s="7" customFormat="1" ht="7.5" customHeight="1" x14ac:dyDescent="0.2">
      <c r="A57" s="32"/>
      <c r="B57" s="75"/>
      <c r="C57" s="161"/>
      <c r="D57" s="69"/>
      <c r="E57" s="69"/>
      <c r="F57" s="69"/>
      <c r="G57" s="69"/>
      <c r="H57" s="69"/>
      <c r="I57" s="69"/>
      <c r="J57" s="66"/>
    </row>
    <row r="58" spans="1:21" s="7" customFormat="1" x14ac:dyDescent="0.2">
      <c r="A58" s="32" t="str">
        <f>Historical!A57</f>
        <v>Preferred Stock</v>
      </c>
      <c r="B58" s="75">
        <f>Historical!D57</f>
        <v>0</v>
      </c>
      <c r="C58" s="161">
        <f>Historical!E57</f>
        <v>0</v>
      </c>
      <c r="D58" s="69">
        <f t="shared" ref="D58:I58" si="22">C58</f>
        <v>0</v>
      </c>
      <c r="E58" s="69">
        <f t="shared" si="22"/>
        <v>0</v>
      </c>
      <c r="F58" s="69">
        <f t="shared" si="22"/>
        <v>0</v>
      </c>
      <c r="G58" s="69">
        <f t="shared" si="22"/>
        <v>0</v>
      </c>
      <c r="H58" s="69">
        <f t="shared" si="22"/>
        <v>0</v>
      </c>
      <c r="I58" s="69">
        <f t="shared" si="22"/>
        <v>0</v>
      </c>
      <c r="J58" s="66"/>
    </row>
    <row r="59" spans="1:21" s="7" customFormat="1" ht="7.5" customHeight="1" x14ac:dyDescent="0.2">
      <c r="A59" s="32"/>
      <c r="B59" s="75"/>
      <c r="C59" s="161"/>
      <c r="D59" s="69"/>
      <c r="E59" s="69"/>
      <c r="F59" s="69"/>
      <c r="G59" s="69"/>
      <c r="H59" s="69"/>
      <c r="I59" s="69"/>
      <c r="J59" s="66"/>
    </row>
    <row r="60" spans="1:21" s="7" customFormat="1" x14ac:dyDescent="0.2">
      <c r="A60" s="65" t="str">
        <f>Historical!A59</f>
        <v>Common Equity:</v>
      </c>
      <c r="B60" s="75"/>
      <c r="C60" s="161"/>
      <c r="D60" s="69"/>
      <c r="E60" s="69"/>
      <c r="F60" s="69"/>
      <c r="G60" s="69"/>
      <c r="H60" s="69"/>
      <c r="I60" s="69"/>
      <c r="J60" s="66"/>
    </row>
    <row r="61" spans="1:21" s="7" customFormat="1" x14ac:dyDescent="0.2">
      <c r="A61" s="32" t="str">
        <f>Historical!A60</f>
        <v>Patrons Capital</v>
      </c>
      <c r="B61" s="75">
        <f>Historical!J60</f>
        <v>27620912</v>
      </c>
      <c r="C61" s="161">
        <f>Historical!K60</f>
        <v>27918606</v>
      </c>
      <c r="D61" s="69">
        <f>C61+Assumptions!$D$71</f>
        <v>27918606</v>
      </c>
      <c r="E61" s="69">
        <f>D61+Assumptions!$D$71</f>
        <v>27918606</v>
      </c>
      <c r="F61" s="69">
        <f>E61+Assumptions!$D$71</f>
        <v>27918606</v>
      </c>
      <c r="G61" s="69">
        <f>F61+Assumptions!$D$71</f>
        <v>27918606</v>
      </c>
      <c r="H61" s="69">
        <f>G61+Assumptions!$D$71</f>
        <v>27918606</v>
      </c>
      <c r="I61" s="69">
        <f>H61+Assumptions!$D$71</f>
        <v>27918606</v>
      </c>
      <c r="J61" s="66">
        <f>RATE(5,,-C61,H61)</f>
        <v>2.041841429298256E-16</v>
      </c>
    </row>
    <row r="62" spans="1:21" s="7" customFormat="1" x14ac:dyDescent="0.2">
      <c r="A62" s="32" t="str">
        <f>Historical!A61</f>
        <v>Retained Earnings</v>
      </c>
      <c r="B62" s="76">
        <f>Historical!E61</f>
        <v>0</v>
      </c>
      <c r="C62" s="173">
        <f>Historical!F61</f>
        <v>0</v>
      </c>
      <c r="D62" s="166">
        <f t="shared" ref="D62:I62" ca="1" si="23">C62+(IF(D112&gt;D114,(D112-D114+D115),D112))</f>
        <v>710573.55439520604</v>
      </c>
      <c r="E62" s="166">
        <f t="shared" ca="1" si="23"/>
        <v>1302747.0705018186</v>
      </c>
      <c r="F62" s="166">
        <f t="shared" ca="1" si="23"/>
        <v>1789310.8496868513</v>
      </c>
      <c r="G62" s="166">
        <f t="shared" ca="1" si="23"/>
        <v>2162590.3387434948</v>
      </c>
      <c r="H62" s="166">
        <f t="shared" ca="1" si="23"/>
        <v>2412760.6580594173</v>
      </c>
      <c r="I62" s="167" t="e">
        <f t="shared" ca="1" si="23"/>
        <v>#REF!</v>
      </c>
      <c r="J62" s="68"/>
    </row>
    <row r="63" spans="1:21" s="7" customFormat="1" x14ac:dyDescent="0.2">
      <c r="A63" s="32" t="str">
        <f>Historical!A62</f>
        <v>Total Patronage Equity</v>
      </c>
      <c r="B63" s="77">
        <f>SUM(B60:B62)</f>
        <v>27620912</v>
      </c>
      <c r="C63" s="173">
        <f>SUM(C60:C62)</f>
        <v>27918606</v>
      </c>
      <c r="D63" s="165">
        <f t="shared" ref="D63:I63" ca="1" si="24">SUM(D61:D62)</f>
        <v>28629179.554395206</v>
      </c>
      <c r="E63" s="165">
        <f t="shared" ca="1" si="24"/>
        <v>29221353.070501819</v>
      </c>
      <c r="F63" s="165">
        <f t="shared" ca="1" si="24"/>
        <v>29707916.84968685</v>
      </c>
      <c r="G63" s="165">
        <f t="shared" ca="1" si="24"/>
        <v>30081196.338743493</v>
      </c>
      <c r="H63" s="165">
        <f t="shared" ca="1" si="24"/>
        <v>30331366.658059418</v>
      </c>
      <c r="I63" s="165" t="e">
        <f t="shared" ca="1" si="24"/>
        <v>#REF!</v>
      </c>
      <c r="J63" s="141">
        <f ca="1">RATE(5,,-C63,H63)</f>
        <v>1.6715980722418387E-2</v>
      </c>
    </row>
    <row r="64" spans="1:21" s="7" customFormat="1" ht="13.5" thickBot="1" x14ac:dyDescent="0.25">
      <c r="A64" s="32" t="str">
        <f>Historical!A63</f>
        <v>Total Liabilities &amp; Equity</v>
      </c>
      <c r="B64" s="178">
        <f t="shared" ref="B64:H64" si="25">B56+B58+B63</f>
        <v>46018543</v>
      </c>
      <c r="C64" s="174">
        <f t="shared" si="25"/>
        <v>48654216</v>
      </c>
      <c r="D64" s="175">
        <f t="shared" ca="1" si="25"/>
        <v>50336310.747968182</v>
      </c>
      <c r="E64" s="175">
        <f t="shared" ca="1" si="25"/>
        <v>51331934.303433821</v>
      </c>
      <c r="F64" s="175">
        <f t="shared" ca="1" si="25"/>
        <v>52287196.205893517</v>
      </c>
      <c r="G64" s="175">
        <f t="shared" ca="1" si="25"/>
        <v>53257894.912907258</v>
      </c>
      <c r="H64" s="175">
        <f t="shared" ca="1" si="25"/>
        <v>54248713.44523862</v>
      </c>
      <c r="I64" s="175" t="e">
        <f t="shared" ref="I64" ca="1" si="26">I56+I58+I63</f>
        <v>#REF!</v>
      </c>
      <c r="J64" s="142">
        <f ca="1">RATE(5,,-C64,H64)</f>
        <v>2.2006817425889294E-2</v>
      </c>
    </row>
    <row r="65" spans="1:23" s="7" customFormat="1" ht="13.5" thickTop="1" x14ac:dyDescent="0.2">
      <c r="A65" s="32"/>
      <c r="B65" s="75">
        <f>B64-B38</f>
        <v>0</v>
      </c>
      <c r="C65" s="75">
        <f>C64-C38</f>
        <v>0</v>
      </c>
      <c r="D65" s="75">
        <f t="shared" ref="D65:J65" ca="1" si="27">D64-D38</f>
        <v>-2.5110766291618347E-3</v>
      </c>
      <c r="E65" s="75">
        <f t="shared" ca="1" si="27"/>
        <v>-2.9398947954177856E-3</v>
      </c>
      <c r="F65" s="75">
        <f t="shared" ca="1" si="27"/>
        <v>-7.0109963417053223E-3</v>
      </c>
      <c r="G65" s="75">
        <f t="shared" ca="1" si="27"/>
        <v>-1.1250153183937073E-2</v>
      </c>
      <c r="H65" s="75">
        <f t="shared" ca="1" si="27"/>
        <v>-1.839369535446167E-2</v>
      </c>
      <c r="I65" s="75" t="e">
        <f t="shared" ca="1" si="27"/>
        <v>#REF!</v>
      </c>
      <c r="J65" s="75">
        <f t="shared" ca="1" si="27"/>
        <v>-6.9304794542146553E-11</v>
      </c>
    </row>
    <row r="66" spans="1:23" s="7" customFormat="1" x14ac:dyDescent="0.2">
      <c r="A66" s="156"/>
      <c r="B66" s="32"/>
      <c r="C66" s="32"/>
      <c r="D66" s="69"/>
      <c r="E66" s="69"/>
      <c r="F66" s="69"/>
      <c r="G66" s="69"/>
      <c r="H66" s="69"/>
      <c r="I66" s="69"/>
      <c r="J66" s="32"/>
      <c r="M66" s="7">
        <f>IF(C38&lt;C64,(((C64-C38)*0.05)+C13),0)</f>
        <v>0</v>
      </c>
      <c r="N66" s="7">
        <f ca="1">IF(D38&lt;D64,(((D64-D38)*0.05)+D13),0)</f>
        <v>0</v>
      </c>
      <c r="O66" s="7">
        <f ca="1">IF(E38&lt;E64,(((E64-E38)*0.05)+E13),0)</f>
        <v>0</v>
      </c>
      <c r="P66" s="7">
        <f ca="1">IF(F38&lt;F64,(((F64-F38)*0.05)+F13),0)</f>
        <v>0</v>
      </c>
      <c r="Q66" s="7">
        <f ca="1">IF(G38&lt;G64,(((G64-G38)*0.05)+G13),0)</f>
        <v>0</v>
      </c>
      <c r="R66" s="7">
        <f t="shared" ref="R66" ca="1" si="28">IF(H38&lt;H64,(((H64-H38)*0.05)+H13),0)</f>
        <v>0</v>
      </c>
      <c r="S66" s="7" t="e">
        <f>IF(#REF!&lt;#REF!,(((#REF!-#REF!)*0.05)+#REF!),0)</f>
        <v>#REF!</v>
      </c>
      <c r="T66" s="7" t="e">
        <f>IF(#REF!&lt;#REF!,(((#REF!-#REF!)*0.05)+#REF!),0)</f>
        <v>#REF!</v>
      </c>
      <c r="U66" s="7" t="e">
        <f>IF(#REF!&lt;#REF!,(((#REF!-#REF!)*0.05)+#REF!),0)</f>
        <v>#REF!</v>
      </c>
      <c r="V66" s="7" t="e">
        <f>IF(#REF!&lt;#REF!,(((#REF!-#REF!)*0.05)+#REF!),0)</f>
        <v>#REF!</v>
      </c>
      <c r="W66" s="10"/>
    </row>
    <row r="67" spans="1:23" s="7" customFormat="1" x14ac:dyDescent="0.2">
      <c r="A67" s="156"/>
      <c r="B67" s="32"/>
      <c r="C67" s="32"/>
      <c r="D67" s="32"/>
      <c r="E67" s="32"/>
      <c r="F67" s="32"/>
      <c r="G67" s="32"/>
      <c r="H67" s="32"/>
      <c r="I67" s="32"/>
      <c r="J67" s="32"/>
      <c r="M67" s="7">
        <f>IF(C38&gt;C64,(((C38-C64)*0.05)+C53),0)</f>
        <v>0</v>
      </c>
      <c r="N67" s="7">
        <f ca="1">IF(D38&gt;D64,(((D38-D64)*0.05)+D53),0)</f>
        <v>2248898.3831956768</v>
      </c>
      <c r="O67" s="7">
        <f ca="1">IF(E38&gt;E64,(((E38-E64)*0.05)+E53),0)</f>
        <v>3676005.2739338195</v>
      </c>
      <c r="P67" s="7">
        <f ca="1">IF(F38&gt;F64,(((F38-F64)*0.05)+F53),0)</f>
        <v>5128080.6211531805</v>
      </c>
      <c r="Q67" s="7">
        <f ca="1">IF(G38&gt;G64,(((G38-G64)*0.05)+G53),0)</f>
        <v>6603479.0687987367</v>
      </c>
      <c r="R67" s="7">
        <f t="shared" ref="R67" ca="1" si="29">IF(H38&gt;H64,(((H38-H64)*0.05)+H53),0)</f>
        <v>8125695.9528099298</v>
      </c>
      <c r="S67" s="7" t="e">
        <f>IF(#REF!&gt;#REF!,(((#REF!-#REF!)*0.05)+#REF!),0)</f>
        <v>#REF!</v>
      </c>
      <c r="T67" s="7" t="e">
        <f>IF(#REF!&gt;#REF!,(((#REF!-#REF!)*0.05)+#REF!),0)</f>
        <v>#REF!</v>
      </c>
      <c r="U67" s="7" t="e">
        <f>IF(#REF!&gt;#REF!,(((#REF!-#REF!)*0.05)+#REF!),0)</f>
        <v>#REF!</v>
      </c>
      <c r="V67" s="7" t="e">
        <f>IF(#REF!&gt;#REF!,(((#REF!-#REF!)*0.05)+#REF!),0)</f>
        <v>#REF!</v>
      </c>
      <c r="W67" s="10"/>
    </row>
    <row r="68" spans="1:23" s="7" customForma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66"/>
    </row>
    <row r="69" spans="1:23" s="7" customFormat="1" x14ac:dyDescent="0.2">
      <c r="B69" s="36"/>
      <c r="J69" s="86" t="str">
        <f>J1</f>
        <v>Exhibit 2</v>
      </c>
    </row>
    <row r="70" spans="1:23" s="7" customFormat="1" x14ac:dyDescent="0.2">
      <c r="B70" s="36"/>
      <c r="J70" s="86" t="s">
        <v>264</v>
      </c>
    </row>
    <row r="71" spans="1:23" s="7" customFormat="1" ht="18" x14ac:dyDescent="0.25">
      <c r="A71" s="84" t="str">
        <f>A3</f>
        <v>Mt. Wheeler Power, Inc.</v>
      </c>
      <c r="B71" s="49"/>
      <c r="C71" s="34"/>
      <c r="D71" s="34"/>
      <c r="E71" s="34"/>
      <c r="F71" s="34"/>
      <c r="G71" s="34"/>
      <c r="H71" s="34"/>
      <c r="I71" s="34"/>
      <c r="J71" s="35"/>
    </row>
    <row r="72" spans="1:23" s="7" customFormat="1" ht="15.75" x14ac:dyDescent="0.25">
      <c r="A72" s="85" t="s">
        <v>60</v>
      </c>
      <c r="B72" s="49"/>
      <c r="C72" s="34"/>
      <c r="D72" s="34"/>
      <c r="E72" s="34"/>
      <c r="F72" s="34"/>
      <c r="G72" s="34"/>
      <c r="H72" s="34"/>
      <c r="I72" s="34"/>
      <c r="J72" s="35"/>
    </row>
    <row r="73" spans="1:23" s="7" customFormat="1" x14ac:dyDescent="0.2">
      <c r="A73" s="204">
        <f ca="1">A5</f>
        <v>41759.387993634256</v>
      </c>
      <c r="B73" s="49"/>
      <c r="C73" s="34"/>
      <c r="D73" s="34"/>
      <c r="E73" s="34"/>
      <c r="F73" s="34"/>
      <c r="G73" s="34"/>
      <c r="H73" s="34"/>
      <c r="I73" s="34"/>
      <c r="J73" s="35"/>
    </row>
    <row r="74" spans="1:23" s="7" customFormat="1" x14ac:dyDescent="0.2">
      <c r="A74" s="27"/>
      <c r="B74" s="36"/>
      <c r="J74" s="10"/>
    </row>
    <row r="75" spans="1:23" s="7" customFormat="1" x14ac:dyDescent="0.2">
      <c r="A75" s="32"/>
      <c r="B75" s="81"/>
      <c r="C75" s="32"/>
      <c r="D75" s="32"/>
      <c r="E75" s="32"/>
      <c r="F75" s="32"/>
      <c r="G75" s="32"/>
      <c r="H75" s="32"/>
      <c r="I75" s="32"/>
      <c r="J75" s="66"/>
    </row>
    <row r="76" spans="1:23" s="7" customFormat="1" x14ac:dyDescent="0.2">
      <c r="A76" s="32"/>
      <c r="B76" s="156" t="s">
        <v>22</v>
      </c>
      <c r="C76" s="157" t="s">
        <v>22</v>
      </c>
      <c r="D76" s="86" t="s">
        <v>63</v>
      </c>
      <c r="E76" s="86" t="s">
        <v>63</v>
      </c>
      <c r="F76" s="86" t="s">
        <v>63</v>
      </c>
      <c r="G76" s="86" t="s">
        <v>63</v>
      </c>
      <c r="H76" s="86" t="s">
        <v>63</v>
      </c>
      <c r="I76" s="86" t="s">
        <v>63</v>
      </c>
      <c r="J76" s="87" t="s">
        <v>6</v>
      </c>
    </row>
    <row r="77" spans="1:23" s="7" customFormat="1" x14ac:dyDescent="0.2">
      <c r="A77" s="88" t="s">
        <v>1</v>
      </c>
      <c r="B77" s="94">
        <f t="shared" ref="B77:H77" si="30">B9</f>
        <v>2012</v>
      </c>
      <c r="C77" s="158">
        <f t="shared" si="30"/>
        <v>2013</v>
      </c>
      <c r="D77" s="94">
        <f t="shared" si="30"/>
        <v>2014</v>
      </c>
      <c r="E77" s="94">
        <f t="shared" si="30"/>
        <v>2015</v>
      </c>
      <c r="F77" s="94">
        <f t="shared" si="30"/>
        <v>2016</v>
      </c>
      <c r="G77" s="94">
        <f t="shared" si="30"/>
        <v>2017</v>
      </c>
      <c r="H77" s="94">
        <f t="shared" si="30"/>
        <v>2018</v>
      </c>
      <c r="I77" s="94">
        <f t="shared" ref="I77" si="31">I9</f>
        <v>2019</v>
      </c>
      <c r="J77" s="95" t="s">
        <v>36</v>
      </c>
    </row>
    <row r="78" spans="1:23" s="7" customFormat="1" x14ac:dyDescent="0.2">
      <c r="A78" s="32"/>
      <c r="B78" s="81"/>
      <c r="C78" s="160"/>
      <c r="D78" s="32"/>
      <c r="E78" s="32"/>
      <c r="F78" s="32"/>
      <c r="G78" s="32"/>
      <c r="H78" s="32"/>
      <c r="I78" s="32"/>
      <c r="J78" s="66"/>
    </row>
    <row r="79" spans="1:23" s="7" customFormat="1" x14ac:dyDescent="0.2">
      <c r="A79" s="32" t="str">
        <f>Historical!A75</f>
        <v>Operating Revenues</v>
      </c>
      <c r="B79" s="75">
        <f>Historical!J75</f>
        <v>33749508</v>
      </c>
      <c r="C79" s="161">
        <f>Historical!K75</f>
        <v>33962598</v>
      </c>
      <c r="D79" s="69">
        <f>C79*(1+Assumptions!D12)</f>
        <v>34613621.876403347</v>
      </c>
      <c r="E79" s="69">
        <f>D79*(1+Assumptions!$D$12)</f>
        <v>35277125.130492911</v>
      </c>
      <c r="F79" s="69">
        <f>E79*(1+Assumptions!$D$12)</f>
        <v>35953346.977561831</v>
      </c>
      <c r="G79" s="69">
        <f>F79*(1+Assumptions!$D$12)</f>
        <v>36642531.218384832</v>
      </c>
      <c r="H79" s="69">
        <f>G79*(1+Assumptions!$D$12)</f>
        <v>37344926.327116601</v>
      </c>
      <c r="I79" s="69">
        <f>H79*(1+Assumptions!$D$12)</f>
        <v>38060785.540875122</v>
      </c>
      <c r="J79" s="66">
        <f>RATE(5,,-C79,H79)</f>
        <v>1.9168847930990045E-2</v>
      </c>
    </row>
    <row r="80" spans="1:23" s="7" customFormat="1" x14ac:dyDescent="0.2">
      <c r="A80" s="32" t="s">
        <v>134</v>
      </c>
      <c r="B80" s="76">
        <f>Historical!E76</f>
        <v>0</v>
      </c>
      <c r="C80" s="161">
        <f>Historical!F76</f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8"/>
    </row>
    <row r="81" spans="1:10" s="7" customFormat="1" x14ac:dyDescent="0.2">
      <c r="A81" s="32" t="str">
        <f>Historical!A77</f>
        <v>Total Revenues</v>
      </c>
      <c r="B81" s="75">
        <f t="shared" ref="B81:H81" si="32">SUM(B78:B80)</f>
        <v>33749508</v>
      </c>
      <c r="C81" s="177">
        <f t="shared" si="32"/>
        <v>33962598</v>
      </c>
      <c r="D81" s="74">
        <f t="shared" si="32"/>
        <v>34613621.876403347</v>
      </c>
      <c r="E81" s="74">
        <f t="shared" si="32"/>
        <v>35277125.130492911</v>
      </c>
      <c r="F81" s="74">
        <f t="shared" si="32"/>
        <v>35953346.977561831</v>
      </c>
      <c r="G81" s="74">
        <f t="shared" si="32"/>
        <v>36642531.218384832</v>
      </c>
      <c r="H81" s="74">
        <f t="shared" si="32"/>
        <v>37344926.327116601</v>
      </c>
      <c r="I81" s="74">
        <f t="shared" ref="I81" si="33">SUM(I78:I80)</f>
        <v>38060785.540875122</v>
      </c>
      <c r="J81" s="66">
        <f>RATE(5,,-C81,H81)</f>
        <v>1.9168847930990045E-2</v>
      </c>
    </row>
    <row r="82" spans="1:10" s="7" customFormat="1" x14ac:dyDescent="0.2">
      <c r="A82" s="32"/>
      <c r="B82" s="75"/>
      <c r="C82" s="161"/>
      <c r="D82" s="75"/>
      <c r="E82" s="75"/>
      <c r="F82" s="75"/>
      <c r="G82" s="75"/>
      <c r="H82" s="75"/>
      <c r="I82" s="75"/>
      <c r="J82" s="66"/>
    </row>
    <row r="83" spans="1:10" s="7" customFormat="1" x14ac:dyDescent="0.2">
      <c r="A83" s="32" t="s">
        <v>32</v>
      </c>
      <c r="B83" s="75"/>
      <c r="C83" s="161"/>
      <c r="D83" s="69"/>
      <c r="E83" s="69"/>
      <c r="F83" s="69"/>
      <c r="G83" s="69"/>
      <c r="H83" s="69"/>
      <c r="I83" s="69"/>
      <c r="J83" s="66"/>
    </row>
    <row r="84" spans="1:10" s="7" customFormat="1" x14ac:dyDescent="0.2">
      <c r="A84" s="105" t="str">
        <f>Historical!A80</f>
        <v>Cost of Purchased Power</v>
      </c>
      <c r="B84" s="180">
        <f>Historical!J80+1100000</f>
        <v>23881862</v>
      </c>
      <c r="C84" s="181">
        <f>Historical!K80-1100000</f>
        <v>24196082</v>
      </c>
      <c r="D84" s="69">
        <f>C84*(1+Assumptions!$D$16)</f>
        <v>24692101.680999998</v>
      </c>
      <c r="E84" s="69">
        <f>D84*(1+Assumptions!$D$16)</f>
        <v>25198289.765460499</v>
      </c>
      <c r="F84" s="69">
        <f>E84*(1+Assumptions!$D$16)</f>
        <v>25714854.705652438</v>
      </c>
      <c r="G84" s="69">
        <f>F84*(1+Assumptions!$D$16)</f>
        <v>26242009.227118313</v>
      </c>
      <c r="H84" s="69">
        <f>G84*(1+Assumptions!$D$16)</f>
        <v>26779970.416274238</v>
      </c>
      <c r="I84" s="69">
        <f>H84*(1+Assumptions!$D$16)</f>
        <v>27328959.809807859</v>
      </c>
      <c r="J84" s="66">
        <f t="shared" ref="J84:J94" si="34">RATE(5,,-C84,H84)</f>
        <v>2.0499999999999827E-2</v>
      </c>
    </row>
    <row r="85" spans="1:10" s="7" customFormat="1" x14ac:dyDescent="0.2">
      <c r="A85" s="105" t="str">
        <f>Historical!A81</f>
        <v>Administrative and General Expenses</v>
      </c>
      <c r="B85" s="75">
        <f>Historical!J81</f>
        <v>1874958</v>
      </c>
      <c r="C85" s="161">
        <f>Historical!K81</f>
        <v>1846492</v>
      </c>
      <c r="D85" s="69">
        <f>C85*(1+Assumptions!$D$17)</f>
        <v>1913433.3626557342</v>
      </c>
      <c r="E85" s="69">
        <f>D85*(1+Assumptions!$D$17)</f>
        <v>1982801.5682299356</v>
      </c>
      <c r="F85" s="69">
        <f>E85*(1+Assumptions!$D$17)</f>
        <v>2054684.5977005416</v>
      </c>
      <c r="G85" s="69">
        <f>F85*(1+Assumptions!$D$17)</f>
        <v>2129173.6216431437</v>
      </c>
      <c r="H85" s="69">
        <f>G85*(1+Assumptions!$D$17)</f>
        <v>2206363.1158643137</v>
      </c>
      <c r="I85" s="69">
        <f>H85*(1+Assumptions!$D$17)</f>
        <v>2286350.981227017</v>
      </c>
      <c r="J85" s="66">
        <f t="shared" si="34"/>
        <v>3.6253264382263235E-2</v>
      </c>
    </row>
    <row r="86" spans="1:10" s="7" customFormat="1" x14ac:dyDescent="0.2">
      <c r="A86" s="105" t="str">
        <f>Historical!A82</f>
        <v xml:space="preserve">   Operating and Maintenance</v>
      </c>
      <c r="B86" s="75">
        <f>Historical!J82</f>
        <v>1734877</v>
      </c>
      <c r="C86" s="161">
        <f>Historical!K82</f>
        <v>1912439</v>
      </c>
      <c r="D86" s="69">
        <f>C86*(1+Assumptions!$D$18)</f>
        <v>1990726.5495303196</v>
      </c>
      <c r="E86" s="69">
        <f>D86*(1+Assumptions!$D$18)</f>
        <v>2072218.8760033092</v>
      </c>
      <c r="F86" s="69">
        <f>E86*(1+Assumptions!$D$18)</f>
        <v>2157047.1700784522</v>
      </c>
      <c r="G86" s="69">
        <f>F86*(1+Assumptions!$D$18)</f>
        <v>2245347.9928324083</v>
      </c>
      <c r="H86" s="69">
        <f>G86*(1+Assumptions!$D$18)</f>
        <v>2337263.4956022594</v>
      </c>
      <c r="I86" s="69">
        <f>H86*(1+Assumptions!$D$18)</f>
        <v>2432941.648828255</v>
      </c>
      <c r="J86" s="66">
        <f t="shared" si="34"/>
        <v>4.0935972091303251E-2</v>
      </c>
    </row>
    <row r="87" spans="1:10" s="7" customFormat="1" x14ac:dyDescent="0.2">
      <c r="A87" s="105" t="str">
        <f>Historical!A83</f>
        <v xml:space="preserve">   Depreciation and amortization</v>
      </c>
      <c r="B87" s="75">
        <f>Historical!J83</f>
        <v>1719670</v>
      </c>
      <c r="C87" s="161">
        <f>Historical!K83</f>
        <v>1730622</v>
      </c>
      <c r="D87" s="69">
        <f>C87*(1+Assumptions!$D$19)</f>
        <v>1765234.44</v>
      </c>
      <c r="E87" s="69">
        <f>D87*(1+Assumptions!$D$19)</f>
        <v>1800539.1288000001</v>
      </c>
      <c r="F87" s="69">
        <f>E87*(1+Assumptions!$D$19)</f>
        <v>1836549.9113760001</v>
      </c>
      <c r="G87" s="69">
        <f>F87*(1+Assumptions!$D$19)</f>
        <v>1873280.9096035203</v>
      </c>
      <c r="H87" s="69">
        <f>G87*(1+Assumptions!$D$19)</f>
        <v>1910746.5277955907</v>
      </c>
      <c r="I87" s="69">
        <f>H87*(1+Assumptions!$D$19)</f>
        <v>1948961.4583515024</v>
      </c>
      <c r="J87" s="66">
        <f t="shared" si="34"/>
        <v>2.0000000000000132E-2</v>
      </c>
    </row>
    <row r="88" spans="1:10" s="7" customFormat="1" x14ac:dyDescent="0.2">
      <c r="A88" s="105" t="str">
        <f>Historical!A84</f>
        <v xml:space="preserve">   Sales Expense</v>
      </c>
      <c r="B88" s="75">
        <f>Historical!J84</f>
        <v>67379</v>
      </c>
      <c r="C88" s="161">
        <f>Historical!K84</f>
        <v>56233</v>
      </c>
      <c r="D88" s="69">
        <f>C88*(1+Assumptions!$D$20)</f>
        <v>58482.32</v>
      </c>
      <c r="E88" s="69">
        <f>D88*(1+Assumptions!$D$20)</f>
        <v>60821.612800000003</v>
      </c>
      <c r="F88" s="69">
        <f>E88*(1+Assumptions!$D$20)</f>
        <v>63254.477312000003</v>
      </c>
      <c r="G88" s="69">
        <f>F88*(1+Assumptions!$D$20)</f>
        <v>65784.656404480003</v>
      </c>
      <c r="H88" s="69">
        <f>G88*(1+Assumptions!$D$20)</f>
        <v>68416.042660659208</v>
      </c>
      <c r="I88" s="69">
        <f>H88*(1+Assumptions!$D$20)</f>
        <v>71152.684367085574</v>
      </c>
      <c r="J88" s="66">
        <f t="shared" si="34"/>
        <v>4.0000000000177754E-2</v>
      </c>
    </row>
    <row r="89" spans="1:10" s="7" customFormat="1" x14ac:dyDescent="0.2">
      <c r="A89" s="105" t="str">
        <f>Historical!A85</f>
        <v xml:space="preserve">   Transmission</v>
      </c>
      <c r="B89" s="75">
        <f>Historical!J85</f>
        <v>230733</v>
      </c>
      <c r="C89" s="161">
        <f>Historical!K85</f>
        <v>250065</v>
      </c>
      <c r="D89" s="69">
        <f>C89*(1+Assumptions!$D$21)</f>
        <v>262568.25</v>
      </c>
      <c r="E89" s="69">
        <f>D89*(1+Assumptions!$D$21)</f>
        <v>275696.66250000003</v>
      </c>
      <c r="F89" s="69">
        <f>E89*(1+Assumptions!$D$21)</f>
        <v>289481.49562500004</v>
      </c>
      <c r="G89" s="69">
        <f>F89*(1+Assumptions!$D$21)</f>
        <v>303955.57040625007</v>
      </c>
      <c r="H89" s="69">
        <f>G89*(1+Assumptions!$D$21)</f>
        <v>319153.34892656258</v>
      </c>
      <c r="I89" s="69">
        <f>H89*(1+Assumptions!$D$21)</f>
        <v>335111.01637289074</v>
      </c>
      <c r="J89" s="66">
        <f t="shared" si="34"/>
        <v>5.0000000000017385E-2</v>
      </c>
    </row>
    <row r="90" spans="1:10" s="7" customFormat="1" x14ac:dyDescent="0.2">
      <c r="A90" s="105" t="str">
        <f>Historical!A86</f>
        <v xml:space="preserve">   Consumer Accounts </v>
      </c>
      <c r="B90" s="75">
        <f>Historical!J86</f>
        <v>1012095</v>
      </c>
      <c r="C90" s="161">
        <f>Historical!K86</f>
        <v>1063531</v>
      </c>
      <c r="D90" s="69">
        <f>C90*(1+Assumptions!$D$22)</f>
        <v>1084801.6200000001</v>
      </c>
      <c r="E90" s="69">
        <f>D90*(1+Assumptions!$D$22)</f>
        <v>1106497.6524</v>
      </c>
      <c r="F90" s="69">
        <f>E90*(1+Assumptions!$D$22)</f>
        <v>1128627.6054480001</v>
      </c>
      <c r="G90" s="69">
        <f>F90*(1+Assumptions!$D$22)</f>
        <v>1151200.1575569601</v>
      </c>
      <c r="H90" s="69">
        <f>G90*(1+Assumptions!$D$22)</f>
        <v>1174224.1607080994</v>
      </c>
      <c r="I90" s="69">
        <f>H90*(1+Assumptions!$D$22)</f>
        <v>1197708.6439222614</v>
      </c>
      <c r="J90" s="66">
        <f t="shared" si="34"/>
        <v>1.9999999999999948E-2</v>
      </c>
    </row>
    <row r="91" spans="1:10" s="7" customFormat="1" x14ac:dyDescent="0.2">
      <c r="A91" s="105" t="str">
        <f>Historical!A87</f>
        <v xml:space="preserve">    Customer Service &amp; Information</v>
      </c>
      <c r="B91" s="75">
        <f>Historical!J87</f>
        <v>85333</v>
      </c>
      <c r="C91" s="161">
        <f>Historical!K87</f>
        <v>86005</v>
      </c>
      <c r="D91" s="69">
        <f>C91*(1+Assumptions!$D$23)</f>
        <v>87725.1</v>
      </c>
      <c r="E91" s="69">
        <f>D91*(1+Assumptions!$D$23)</f>
        <v>89479.602000000014</v>
      </c>
      <c r="F91" s="69">
        <f>E91*(1+Assumptions!$D$23)</f>
        <v>91269.194040000017</v>
      </c>
      <c r="G91" s="69">
        <f>F91*(1+Assumptions!$D$23)</f>
        <v>93094.577920800017</v>
      </c>
      <c r="H91" s="69">
        <f>G91*(1+Assumptions!$D$23)</f>
        <v>94956.469479216015</v>
      </c>
      <c r="I91" s="69">
        <f>H91*(1+Assumptions!$D$23)</f>
        <v>96855.598868800342</v>
      </c>
      <c r="J91" s="66">
        <f t="shared" si="34"/>
        <v>2.0000000000000046E-2</v>
      </c>
    </row>
    <row r="92" spans="1:10" s="7" customFormat="1" x14ac:dyDescent="0.2">
      <c r="A92" s="105" t="str">
        <f>Historical!A88</f>
        <v xml:space="preserve">    Other Interest</v>
      </c>
      <c r="B92" s="75">
        <f>Historical!J88</f>
        <v>300</v>
      </c>
      <c r="C92" s="161">
        <f>Historical!K88</f>
        <v>251</v>
      </c>
      <c r="D92" s="69">
        <f>C92*(1+Assumptions!$D$24)</f>
        <v>256.02</v>
      </c>
      <c r="E92" s="69">
        <f>D92*(1+Assumptions!$D$24)</f>
        <v>261.1404</v>
      </c>
      <c r="F92" s="69">
        <f>E92*(1+Assumptions!$D$24)</f>
        <v>266.36320799999999</v>
      </c>
      <c r="G92" s="69">
        <f>F92*(1+Assumptions!$D$24)</f>
        <v>271.69047216000001</v>
      </c>
      <c r="H92" s="69">
        <f>G92*(1+Assumptions!$D$24)</f>
        <v>277.12428160320002</v>
      </c>
      <c r="I92" s="69">
        <f>H92*(1+Assumptions!$D$24)</f>
        <v>282.66676723526405</v>
      </c>
      <c r="J92" s="66">
        <f t="shared" si="34"/>
        <v>2.0000000000000018E-2</v>
      </c>
    </row>
    <row r="93" spans="1:10" s="7" customFormat="1" x14ac:dyDescent="0.2">
      <c r="A93" s="105" t="str">
        <f>Historical!A89</f>
        <v xml:space="preserve">   Taxes, other than income taxes</v>
      </c>
      <c r="B93" s="76">
        <f>Historical!J89</f>
        <v>397414</v>
      </c>
      <c r="C93" s="161">
        <f>Historical!K89</f>
        <v>430958</v>
      </c>
      <c r="D93" s="69">
        <f>C93*(1+Assumptions!$D$25)</f>
        <v>439577.16000000003</v>
      </c>
      <c r="E93" s="69">
        <f>D93*(1+Assumptions!$D$25)</f>
        <v>448368.70320000005</v>
      </c>
      <c r="F93" s="69">
        <f>E93*(1+Assumptions!$D$25)</f>
        <v>457336.07726400008</v>
      </c>
      <c r="G93" s="69">
        <f>F93*(1+Assumptions!$D$25)</f>
        <v>466482.7988092801</v>
      </c>
      <c r="H93" s="69">
        <f>G93*(1+Assumptions!$D$25)</f>
        <v>475812.45478546573</v>
      </c>
      <c r="I93" s="69">
        <f>H93*(1+Assumptions!$D$25)</f>
        <v>485328.70388117502</v>
      </c>
      <c r="J93" s="68">
        <f t="shared" si="34"/>
        <v>2.0000000000000163E-2</v>
      </c>
    </row>
    <row r="94" spans="1:10" s="7" customFormat="1" x14ac:dyDescent="0.2">
      <c r="A94" s="105" t="str">
        <f>Historical!A90</f>
        <v>Total Operating Expenses</v>
      </c>
      <c r="B94" s="75">
        <f t="shared" ref="B94:H94" si="35">SUM(B84:B93)</f>
        <v>31004621</v>
      </c>
      <c r="C94" s="177">
        <f t="shared" si="35"/>
        <v>31572678</v>
      </c>
      <c r="D94" s="74">
        <f t="shared" si="35"/>
        <v>32294906.503186055</v>
      </c>
      <c r="E94" s="74">
        <f t="shared" si="35"/>
        <v>33034974.711793751</v>
      </c>
      <c r="F94" s="74">
        <f t="shared" si="35"/>
        <v>33793371.597704433</v>
      </c>
      <c r="G94" s="74">
        <f t="shared" si="35"/>
        <v>34570601.202767327</v>
      </c>
      <c r="H94" s="74">
        <f t="shared" si="35"/>
        <v>35367183.156378008</v>
      </c>
      <c r="I94" s="74">
        <f t="shared" ref="I94" si="36">SUM(I84:I93)</f>
        <v>36183653.212394074</v>
      </c>
      <c r="J94" s="182">
        <f t="shared" si="34"/>
        <v>2.2958016842035217E-2</v>
      </c>
    </row>
    <row r="95" spans="1:10" s="7" customFormat="1" x14ac:dyDescent="0.2">
      <c r="A95" s="105"/>
      <c r="B95" s="75"/>
      <c r="C95" s="75"/>
      <c r="D95" s="169"/>
      <c r="E95" s="75"/>
      <c r="F95" s="75"/>
      <c r="G95" s="75"/>
      <c r="H95" s="75"/>
      <c r="I95" s="75"/>
      <c r="J95" s="72"/>
    </row>
    <row r="96" spans="1:10" s="7" customFormat="1" x14ac:dyDescent="0.2">
      <c r="A96" s="105" t="str">
        <f>Historical!A92</f>
        <v>Earnings From Operations</v>
      </c>
      <c r="B96" s="75">
        <f t="shared" ref="B96:H96" si="37">B81-B94</f>
        <v>2744887</v>
      </c>
      <c r="C96" s="161">
        <f t="shared" si="37"/>
        <v>2389920</v>
      </c>
      <c r="D96" s="75">
        <f t="shared" si="37"/>
        <v>2318715.3732172921</v>
      </c>
      <c r="E96" s="75">
        <f t="shared" si="37"/>
        <v>2242150.4186991602</v>
      </c>
      <c r="F96" s="75">
        <f t="shared" si="37"/>
        <v>2159975.3798573986</v>
      </c>
      <c r="G96" s="75">
        <f t="shared" si="37"/>
        <v>2071930.0156175047</v>
      </c>
      <c r="H96" s="75">
        <f t="shared" si="37"/>
        <v>1977743.1707385927</v>
      </c>
      <c r="I96" s="75">
        <f t="shared" ref="I96" si="38">I81-I94</f>
        <v>1877132.3284810483</v>
      </c>
      <c r="J96" s="66">
        <f>RATE(5,,-C96,H96)</f>
        <v>-3.7152945918080646E-2</v>
      </c>
    </row>
    <row r="97" spans="1:20" s="7" customFormat="1" x14ac:dyDescent="0.2">
      <c r="A97" s="32"/>
      <c r="B97" s="75"/>
      <c r="C97" s="161"/>
      <c r="D97" s="69"/>
      <c r="E97" s="69"/>
      <c r="F97" s="69"/>
      <c r="G97" s="69"/>
      <c r="H97" s="69"/>
      <c r="I97" s="69"/>
      <c r="J97" s="66"/>
    </row>
    <row r="98" spans="1:20" s="7" customFormat="1" x14ac:dyDescent="0.2">
      <c r="A98" s="67" t="s">
        <v>120</v>
      </c>
      <c r="B98" s="75">
        <v>0</v>
      </c>
      <c r="C98" s="161">
        <v>0</v>
      </c>
      <c r="D98" s="69">
        <f ca="1">IF(D13&gt;0,(AVERAGE(C13:D13)*-Assumptions!$D$27),(AVERAGE('Forecast '!C53:D53)*Assumptions!$D$67))</f>
        <v>56222.459576753077</v>
      </c>
      <c r="E98" s="162">
        <f ca="1">IF(E13&gt;0,(AVERAGE(D13:E13)*-Assumptions!$D$27),(AVERAGE('Forecast '!D53:E53)*Assumptions!$D$67))</f>
        <v>148122.59142142368</v>
      </c>
      <c r="F98" s="162">
        <f ca="1">IF(F13&gt;0,(AVERAGE(E13:F13)*-Assumptions!$D$27),(AVERAGE('Forecast '!E53:F53)*Assumptions!$D$67))</f>
        <v>220102.14736473642</v>
      </c>
      <c r="G98" s="162">
        <f ca="1">IF(G13&gt;0,(AVERAGE(F13:G13)*-Assumptions!$D$27),(AVERAGE('Forecast '!F53:G53)*Assumptions!$D$67))</f>
        <v>293288.99222597148</v>
      </c>
      <c r="H98" s="162">
        <f ca="1">IF(H13&gt;0,(AVERAGE(G13:H13)*-Assumptions!$D$27),(AVERAGE('Forecast '!G53:H53)*Assumptions!$D$67))</f>
        <v>368229.37550316186</v>
      </c>
      <c r="I98" s="162" t="e">
        <f>IF(I13&gt;0,(AVERAGE(H13:I13)*-Assumptions!$D$27),(AVERAGE('Forecast '!H53:I53)*Assumptions!$D$67))</f>
        <v>#REF!</v>
      </c>
      <c r="J98" s="66"/>
      <c r="L98" s="21">
        <v>0.06</v>
      </c>
      <c r="M98" s="21">
        <v>7.0000000000000007E-2</v>
      </c>
      <c r="N98" s="21">
        <v>0.08</v>
      </c>
      <c r="O98" s="21">
        <v>0.09</v>
      </c>
      <c r="P98" s="21">
        <v>0.1</v>
      </c>
      <c r="Q98" s="21">
        <v>0.11</v>
      </c>
      <c r="R98" s="21">
        <v>0.11</v>
      </c>
      <c r="S98" s="21">
        <v>0.11</v>
      </c>
      <c r="T98" s="21">
        <v>0.11</v>
      </c>
    </row>
    <row r="99" spans="1:20" s="7" customFormat="1" x14ac:dyDescent="0.2">
      <c r="A99" s="105" t="s">
        <v>68</v>
      </c>
      <c r="B99" s="75">
        <f>Historical!J94</f>
        <v>769007</v>
      </c>
      <c r="C99" s="161">
        <f>Historical!K94</f>
        <v>880511</v>
      </c>
      <c r="D99" s="69">
        <f>((D50+C50+C41+D41)/2)*Assumptions!$D$63</f>
        <v>914194.79999999993</v>
      </c>
      <c r="E99" s="69">
        <f ca="1">((E50+D50+D41+E41)/2)*Assumptions!$D$63</f>
        <v>845419.81943316967</v>
      </c>
      <c r="F99" s="69">
        <f ca="1">((F50+E50+E41+F41)/2)*Assumptions!$D$63</f>
        <v>781645.96061770385</v>
      </c>
      <c r="G99" s="69">
        <f ca="1">((G50+F50+F41+G41)/2)*Assumptions!$D$63</f>
        <v>722202.17953412724</v>
      </c>
      <c r="H99" s="69">
        <f ca="1">((H50+G50+G41+H41)/2)*Assumptions!$D$63</f>
        <v>668744.20088906609</v>
      </c>
      <c r="I99" s="69">
        <f ca="1">((I50+H50+H41+I41)/2)*Assumptions!$D$63</f>
        <v>599498.56950203492</v>
      </c>
      <c r="J99" s="66">
        <f ca="1">RATE(5,,-C99,(H98+H99))</f>
        <v>3.325277619745453E-2</v>
      </c>
      <c r="L99" s="21"/>
      <c r="M99" s="21"/>
      <c r="N99" s="21"/>
      <c r="O99" s="21"/>
      <c r="P99" s="21"/>
      <c r="Q99" s="21"/>
      <c r="R99" s="21"/>
      <c r="S99" s="21"/>
      <c r="T99" s="21"/>
    </row>
    <row r="100" spans="1:20" s="7" customFormat="1" x14ac:dyDescent="0.2">
      <c r="A100" s="105" t="str">
        <f>Historical!A95</f>
        <v xml:space="preserve">   Interest and Other Income</v>
      </c>
      <c r="B100" s="75">
        <f>Historical!J95</f>
        <v>0</v>
      </c>
      <c r="C100" s="161">
        <f>Historical!K95</f>
        <v>0</v>
      </c>
      <c r="D100" s="32"/>
      <c r="E100" s="32"/>
      <c r="F100" s="32"/>
      <c r="G100" s="32"/>
      <c r="H100" s="32"/>
      <c r="I100" s="32"/>
      <c r="J100" s="32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s="7" customFormat="1" x14ac:dyDescent="0.2">
      <c r="A101" s="105" t="s">
        <v>73</v>
      </c>
      <c r="B101" s="75">
        <f>Historical!J96</f>
        <v>-58814</v>
      </c>
      <c r="C101" s="161">
        <f>Historical!K96</f>
        <v>1262</v>
      </c>
      <c r="D101" s="69">
        <v>0</v>
      </c>
      <c r="E101" s="69">
        <f>Assumptions!$D$30</f>
        <v>0</v>
      </c>
      <c r="F101" s="69">
        <f>Assumptions!$D$30</f>
        <v>0</v>
      </c>
      <c r="G101" s="69">
        <f>Assumptions!$D$30</f>
        <v>0</v>
      </c>
      <c r="H101" s="69">
        <f>Assumptions!$D$30</f>
        <v>0</v>
      </c>
      <c r="I101" s="69">
        <f>Assumptions!$D$30</f>
        <v>0</v>
      </c>
      <c r="J101" s="66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7" customFormat="1" x14ac:dyDescent="0.2">
      <c r="A102" s="183" t="s">
        <v>69</v>
      </c>
      <c r="B102" s="76">
        <f>Historical!J97</f>
        <v>-91979</v>
      </c>
      <c r="C102" s="164">
        <f>Historical!K97</f>
        <v>-87432</v>
      </c>
      <c r="D102" s="69">
        <f>Assumptions!$D$31</f>
        <v>-92041</v>
      </c>
      <c r="E102" s="69">
        <f>Assumptions!$D$31</f>
        <v>-92041</v>
      </c>
      <c r="F102" s="69">
        <f>Assumptions!$D$31</f>
        <v>-92041</v>
      </c>
      <c r="G102" s="69">
        <f>Assumptions!$D$31</f>
        <v>-92041</v>
      </c>
      <c r="H102" s="69">
        <f>Assumptions!$D$31</f>
        <v>-92041</v>
      </c>
      <c r="I102" s="69">
        <f>Assumptions!$D$31</f>
        <v>-92041</v>
      </c>
      <c r="J102" s="68"/>
    </row>
    <row r="103" spans="1:20" s="7" customFormat="1" x14ac:dyDescent="0.2">
      <c r="A103" s="32" t="s">
        <v>70</v>
      </c>
      <c r="B103" s="75">
        <f t="shared" ref="B103:H103" si="39">SUM(B98:B102)</f>
        <v>618214</v>
      </c>
      <c r="C103" s="161">
        <f t="shared" si="39"/>
        <v>794341</v>
      </c>
      <c r="D103" s="74">
        <f t="shared" ca="1" si="39"/>
        <v>878376.25957675301</v>
      </c>
      <c r="E103" s="74">
        <f t="shared" ca="1" si="39"/>
        <v>901501.41085459339</v>
      </c>
      <c r="F103" s="74">
        <f t="shared" ca="1" si="39"/>
        <v>909707.10798244027</v>
      </c>
      <c r="G103" s="74">
        <f t="shared" ca="1" si="39"/>
        <v>923450.17176009878</v>
      </c>
      <c r="H103" s="74">
        <f t="shared" ca="1" si="39"/>
        <v>944932.57639222802</v>
      </c>
      <c r="I103" s="74" t="e">
        <f t="shared" ref="I103" si="40">SUM(I98:I102)</f>
        <v>#REF!</v>
      </c>
      <c r="J103" s="66">
        <f ca="1">RATE(5,,-C103,H103)</f>
        <v>3.5329928508551198E-2</v>
      </c>
    </row>
    <row r="104" spans="1:20" s="7" customFormat="1" ht="7.5" customHeight="1" x14ac:dyDescent="0.2">
      <c r="A104" s="32"/>
      <c r="B104" s="76"/>
      <c r="C104" s="164"/>
      <c r="D104" s="76"/>
      <c r="E104" s="76"/>
      <c r="F104" s="76"/>
      <c r="G104" s="76"/>
      <c r="H104" s="76"/>
      <c r="I104" s="76"/>
      <c r="J104" s="68"/>
    </row>
    <row r="105" spans="1:20" s="7" customFormat="1" x14ac:dyDescent="0.2">
      <c r="A105" s="32" t="s">
        <v>18</v>
      </c>
      <c r="B105" s="75">
        <f t="shared" ref="B105:H105" si="41">B96-B103</f>
        <v>2126673</v>
      </c>
      <c r="C105" s="161">
        <f t="shared" si="41"/>
        <v>1595579</v>
      </c>
      <c r="D105" s="69">
        <f t="shared" ca="1" si="41"/>
        <v>1440339.1136405391</v>
      </c>
      <c r="E105" s="69">
        <f t="shared" ca="1" si="41"/>
        <v>1340649.0078445668</v>
      </c>
      <c r="F105" s="69">
        <f t="shared" ca="1" si="41"/>
        <v>1250268.2718749582</v>
      </c>
      <c r="G105" s="69">
        <f t="shared" ca="1" si="41"/>
        <v>1148479.8438574059</v>
      </c>
      <c r="H105" s="69">
        <f t="shared" ca="1" si="41"/>
        <v>1032810.5943463647</v>
      </c>
      <c r="I105" s="69" t="e">
        <f t="shared" ref="I105" si="42">I96-I103</f>
        <v>#REF!</v>
      </c>
      <c r="J105" s="66">
        <f ca="1">RATE(5,,-C105,H105)</f>
        <v>-8.3314262148167978E-2</v>
      </c>
    </row>
    <row r="106" spans="1:20" s="7" customFormat="1" x14ac:dyDescent="0.2">
      <c r="A106" s="32"/>
      <c r="B106" s="75"/>
      <c r="C106" s="75"/>
      <c r="D106" s="169"/>
      <c r="E106" s="69"/>
      <c r="F106" s="69"/>
      <c r="G106" s="69"/>
      <c r="H106" s="69"/>
      <c r="I106" s="69"/>
      <c r="J106" s="66"/>
    </row>
    <row r="107" spans="1:20" s="7" customFormat="1" x14ac:dyDescent="0.2">
      <c r="A107" s="75" t="str">
        <f>Historical!A102</f>
        <v>Capital Credits</v>
      </c>
      <c r="B107" s="75">
        <f>Historical!J102</f>
        <v>78474</v>
      </c>
      <c r="C107" s="75">
        <f>Historical!K102</f>
        <v>107685</v>
      </c>
      <c r="D107" s="169">
        <v>101278</v>
      </c>
      <c r="E107" s="75">
        <f t="shared" ref="E107:H108" si="43">D107</f>
        <v>101278</v>
      </c>
      <c r="F107" s="75">
        <f t="shared" si="43"/>
        <v>101278</v>
      </c>
      <c r="G107" s="75">
        <f t="shared" si="43"/>
        <v>101278</v>
      </c>
      <c r="H107" s="75">
        <f t="shared" si="43"/>
        <v>101278</v>
      </c>
      <c r="I107" s="75">
        <v>100000</v>
      </c>
      <c r="J107" s="72"/>
    </row>
    <row r="108" spans="1:20" s="7" customFormat="1" x14ac:dyDescent="0.2">
      <c r="A108" s="81" t="s">
        <v>253</v>
      </c>
      <c r="B108" s="75">
        <f>Historical!J103</f>
        <v>0</v>
      </c>
      <c r="C108" s="75">
        <f>Historical!K103</f>
        <v>0</v>
      </c>
      <c r="D108" s="169">
        <f>C108</f>
        <v>0</v>
      </c>
      <c r="E108" s="75">
        <f t="shared" si="43"/>
        <v>0</v>
      </c>
      <c r="F108" s="75">
        <f t="shared" si="43"/>
        <v>0</v>
      </c>
      <c r="G108" s="75">
        <f t="shared" si="43"/>
        <v>0</v>
      </c>
      <c r="H108" s="75">
        <f t="shared" si="43"/>
        <v>0</v>
      </c>
      <c r="I108" s="75">
        <f>H108</f>
        <v>0</v>
      </c>
      <c r="J108" s="72"/>
    </row>
    <row r="109" spans="1:20" s="7" customFormat="1" x14ac:dyDescent="0.2">
      <c r="A109" s="81" t="s">
        <v>254</v>
      </c>
      <c r="B109" s="75">
        <f>Historical!J107</f>
        <v>37005</v>
      </c>
      <c r="C109" s="75">
        <f>Historical!K107</f>
        <v>38023</v>
      </c>
      <c r="D109" s="169">
        <f>D81*Assumptions!$D$29</f>
        <v>38074.984064043681</v>
      </c>
      <c r="E109" s="69">
        <f>E81*Assumptions!$D$29</f>
        <v>38804.837643542203</v>
      </c>
      <c r="F109" s="69">
        <f>F81*Assumptions!$D$29</f>
        <v>39548.681675318017</v>
      </c>
      <c r="G109" s="69">
        <f>G81*Assumptions!$D$29</f>
        <v>40306.784340223319</v>
      </c>
      <c r="H109" s="69">
        <f>H81*Assumptions!$D$29</f>
        <v>41079.418959828261</v>
      </c>
      <c r="I109" s="69">
        <f>I81*Assumptions!$D$29</f>
        <v>41866.864094962635</v>
      </c>
      <c r="J109" s="66">
        <f>RATE(5,,-C109,H109)</f>
        <v>1.5583374117912437E-2</v>
      </c>
    </row>
    <row r="110" spans="1:20" s="7" customFormat="1" x14ac:dyDescent="0.2">
      <c r="A110" s="81" t="s">
        <v>255</v>
      </c>
      <c r="B110" s="75">
        <f>Historical!J108</f>
        <v>70845</v>
      </c>
      <c r="C110" s="75">
        <f>Historical!K108</f>
        <v>91767</v>
      </c>
      <c r="D110" s="169">
        <v>70716</v>
      </c>
      <c r="E110" s="75">
        <f>D110</f>
        <v>70716</v>
      </c>
      <c r="F110" s="75">
        <f t="shared" ref="F110:G110" si="44">E110</f>
        <v>70716</v>
      </c>
      <c r="G110" s="75">
        <f t="shared" si="44"/>
        <v>70716</v>
      </c>
      <c r="H110" s="75">
        <f>G110</f>
        <v>70716</v>
      </c>
      <c r="I110" s="75">
        <f>H110</f>
        <v>70716</v>
      </c>
      <c r="J110" s="72"/>
    </row>
    <row r="111" spans="1:20" s="7" customFormat="1" x14ac:dyDescent="0.2">
      <c r="A111" s="81" t="s">
        <v>256</v>
      </c>
      <c r="B111" s="76">
        <f>Historical!J109</f>
        <v>0</v>
      </c>
      <c r="C111" s="76">
        <f>Historical!K109</f>
        <v>0</v>
      </c>
      <c r="D111" s="171"/>
      <c r="E111" s="76"/>
      <c r="F111" s="76"/>
      <c r="G111" s="76"/>
      <c r="H111" s="76"/>
      <c r="I111" s="76"/>
      <c r="J111" s="68"/>
    </row>
    <row r="112" spans="1:20" s="7" customFormat="1" ht="13.5" thickBot="1" x14ac:dyDescent="0.25">
      <c r="A112" s="32" t="s">
        <v>174</v>
      </c>
      <c r="B112" s="178">
        <f>B105+B107-B108+B109+B110</f>
        <v>2312997</v>
      </c>
      <c r="C112" s="178">
        <f>C105+C107-C108+C109+C110</f>
        <v>1833054</v>
      </c>
      <c r="D112" s="184">
        <f ca="1">+D105+D107-D108+D109+D110</f>
        <v>1650408.0977045828</v>
      </c>
      <c r="E112" s="75">
        <f t="shared" ref="E112:H112" ca="1" si="45">+E105+E107-E108+E109+E110</f>
        <v>1551447.8454881089</v>
      </c>
      <c r="F112" s="75">
        <f t="shared" ca="1" si="45"/>
        <v>1461810.9535502761</v>
      </c>
      <c r="G112" s="75">
        <f t="shared" ca="1" si="45"/>
        <v>1360780.6281976292</v>
      </c>
      <c r="H112" s="75">
        <f t="shared" ca="1" si="45"/>
        <v>1245884.0133061931</v>
      </c>
      <c r="I112" s="75" t="e">
        <f t="shared" ref="I112" si="46">+I105+I107-I108+I109+I110</f>
        <v>#REF!</v>
      </c>
      <c r="J112" s="66">
        <f ca="1">RATE(5,,-C112,H112)</f>
        <v>-7.4320873370703033E-2</v>
      </c>
    </row>
    <row r="113" spans="1:10" s="7" customFormat="1" ht="13.5" thickTop="1" x14ac:dyDescent="0.2">
      <c r="A113" s="32"/>
      <c r="B113" s="75"/>
      <c r="C113" s="185"/>
      <c r="D113" s="79"/>
      <c r="E113" s="79"/>
      <c r="F113" s="79"/>
      <c r="G113" s="79"/>
      <c r="H113" s="79"/>
      <c r="I113" s="79"/>
      <c r="J113" s="176"/>
    </row>
    <row r="114" spans="1:10" s="7" customFormat="1" x14ac:dyDescent="0.2">
      <c r="A114" s="32" t="s">
        <v>74</v>
      </c>
      <c r="B114" s="75">
        <f>Historical!E113</f>
        <v>0</v>
      </c>
      <c r="C114" s="161">
        <f>Historical!F113</f>
        <v>0</v>
      </c>
      <c r="D114" s="69">
        <f>D58*Assumptions!$D$35</f>
        <v>0</v>
      </c>
      <c r="E114" s="69">
        <f>E58*Assumptions!$D$35</f>
        <v>0</v>
      </c>
      <c r="F114" s="69">
        <f>F58*Assumptions!$D$35</f>
        <v>0</v>
      </c>
      <c r="G114" s="69">
        <f>G58*Assumptions!$D$35</f>
        <v>0</v>
      </c>
      <c r="H114" s="69">
        <f>H58*Assumptions!$D$35</f>
        <v>0</v>
      </c>
      <c r="I114" s="69">
        <f>I58*Assumptions!$D$35</f>
        <v>0</v>
      </c>
      <c r="J114" s="66"/>
    </row>
    <row r="115" spans="1:10" s="7" customFormat="1" x14ac:dyDescent="0.2">
      <c r="A115" s="67" t="s">
        <v>137</v>
      </c>
      <c r="B115" s="75">
        <f>Historical!J114</f>
        <v>-1107682</v>
      </c>
      <c r="C115" s="75">
        <f>Historical!K114</f>
        <v>-469204</v>
      </c>
      <c r="D115" s="169">
        <f ca="1">D63*Assumptions!$D$36</f>
        <v>-939834.54331256647</v>
      </c>
      <c r="E115" s="69">
        <f ca="1">E63*Assumptions!$D$36</f>
        <v>-959274.3293886719</v>
      </c>
      <c r="F115" s="69">
        <f ca="1">F63*Assumptions!$D$36</f>
        <v>-975247.17437830754</v>
      </c>
      <c r="G115" s="69">
        <f ca="1">G63*Assumptions!$D$36</f>
        <v>-987501.13916479191</v>
      </c>
      <c r="H115" s="69">
        <f ca="1">H63*Assumptions!$D$36</f>
        <v>-995713.69402889197</v>
      </c>
      <c r="I115" s="69" t="e">
        <f ca="1">I63*Assumptions!$D$36</f>
        <v>#REF!</v>
      </c>
      <c r="J115" s="66"/>
    </row>
    <row r="116" spans="1:10" s="7" customFormat="1" x14ac:dyDescent="0.2">
      <c r="A116" s="32"/>
      <c r="B116" s="75"/>
      <c r="C116" s="69"/>
      <c r="D116" s="69"/>
      <c r="E116" s="69"/>
      <c r="F116" s="69"/>
      <c r="G116" s="69"/>
      <c r="H116" s="69"/>
      <c r="I116" s="69"/>
      <c r="J116" s="32"/>
    </row>
    <row r="117" spans="1:10" s="7" customFormat="1" ht="15" hidden="1" x14ac:dyDescent="0.2">
      <c r="A117" s="32"/>
      <c r="B117" s="81"/>
      <c r="C117" s="32"/>
      <c r="D117" s="32"/>
      <c r="E117" s="32"/>
      <c r="F117" s="32"/>
      <c r="G117" s="32"/>
      <c r="H117" s="32"/>
      <c r="I117" s="32"/>
      <c r="J117" s="179" t="str">
        <f>J69</f>
        <v>Exhibit 2</v>
      </c>
    </row>
    <row r="118" spans="1:10" s="7" customFormat="1" ht="15" hidden="1" x14ac:dyDescent="0.2">
      <c r="A118" s="32"/>
      <c r="B118" s="81"/>
      <c r="C118" s="32"/>
      <c r="D118" s="32"/>
      <c r="E118" s="32"/>
      <c r="F118" s="32"/>
      <c r="G118" s="32"/>
      <c r="H118" s="32"/>
      <c r="I118" s="32"/>
      <c r="J118" s="179" t="s">
        <v>135</v>
      </c>
    </row>
    <row r="119" spans="1:10" s="7" customFormat="1" ht="18" hidden="1" x14ac:dyDescent="0.25">
      <c r="A119" s="84" t="str">
        <f>A3</f>
        <v>Mt. Wheeler Power, Inc.</v>
      </c>
      <c r="B119" s="186"/>
      <c r="C119" s="63"/>
      <c r="D119" s="63"/>
      <c r="E119" s="63"/>
      <c r="F119" s="63"/>
      <c r="G119" s="63"/>
      <c r="H119" s="63"/>
      <c r="I119" s="63"/>
      <c r="J119" s="64"/>
    </row>
    <row r="120" spans="1:10" s="7" customFormat="1" ht="15.75" hidden="1" x14ac:dyDescent="0.25">
      <c r="A120" s="85" t="s">
        <v>61</v>
      </c>
      <c r="B120" s="186"/>
      <c r="C120" s="63"/>
      <c r="D120" s="63"/>
      <c r="E120" s="63"/>
      <c r="F120" s="63"/>
      <c r="G120" s="63"/>
      <c r="H120" s="63"/>
      <c r="I120" s="63"/>
      <c r="J120" s="64"/>
    </row>
    <row r="121" spans="1:10" s="7" customFormat="1" ht="15.75" hidden="1" x14ac:dyDescent="0.25">
      <c r="A121" s="85" t="s">
        <v>58</v>
      </c>
      <c r="B121" s="186"/>
      <c r="C121" s="63"/>
      <c r="D121" s="63"/>
      <c r="E121" s="63"/>
      <c r="F121" s="63"/>
      <c r="G121" s="63"/>
      <c r="H121" s="63"/>
      <c r="I121" s="63"/>
      <c r="J121" s="64"/>
    </row>
    <row r="122" spans="1:10" s="7" customFormat="1" hidden="1" x14ac:dyDescent="0.2">
      <c r="A122" s="32"/>
      <c r="B122" s="81"/>
      <c r="C122" s="32"/>
      <c r="D122" s="32"/>
      <c r="E122" s="32"/>
      <c r="F122" s="32"/>
      <c r="G122" s="32"/>
      <c r="H122" s="32"/>
      <c r="I122" s="32"/>
      <c r="J122" s="66"/>
    </row>
    <row r="123" spans="1:10" s="7" customFormat="1" hidden="1" x14ac:dyDescent="0.2">
      <c r="A123" s="32"/>
      <c r="B123" s="156" t="s">
        <v>22</v>
      </c>
      <c r="C123" s="156" t="s">
        <v>22</v>
      </c>
      <c r="D123" s="187" t="s">
        <v>63</v>
      </c>
      <c r="E123" s="86" t="s">
        <v>63</v>
      </c>
      <c r="F123" s="86" t="s">
        <v>63</v>
      </c>
      <c r="G123" s="86" t="s">
        <v>63</v>
      </c>
      <c r="H123" s="86" t="s">
        <v>63</v>
      </c>
      <c r="I123" s="86" t="s">
        <v>63</v>
      </c>
      <c r="J123" s="87" t="s">
        <v>63</v>
      </c>
    </row>
    <row r="124" spans="1:10" s="7" customFormat="1" hidden="1" x14ac:dyDescent="0.2">
      <c r="A124" s="88" t="s">
        <v>1</v>
      </c>
      <c r="B124" s="188" t="s">
        <v>147</v>
      </c>
      <c r="C124" s="94">
        <f t="shared" ref="C124:H124" si="47">C9</f>
        <v>2013</v>
      </c>
      <c r="D124" s="189">
        <f t="shared" si="47"/>
        <v>2014</v>
      </c>
      <c r="E124" s="94">
        <f t="shared" si="47"/>
        <v>2015</v>
      </c>
      <c r="F124" s="94">
        <f t="shared" si="47"/>
        <v>2016</v>
      </c>
      <c r="G124" s="94">
        <f t="shared" si="47"/>
        <v>2017</v>
      </c>
      <c r="H124" s="94">
        <f t="shared" si="47"/>
        <v>2018</v>
      </c>
      <c r="I124" s="94">
        <f t="shared" ref="I124" si="48">I9</f>
        <v>2019</v>
      </c>
      <c r="J124" s="95" t="s">
        <v>5</v>
      </c>
    </row>
    <row r="125" spans="1:10" s="7" customFormat="1" ht="7.5" hidden="1" customHeight="1" x14ac:dyDescent="0.2">
      <c r="A125" s="32"/>
      <c r="B125" s="72"/>
      <c r="C125" s="32"/>
      <c r="D125" s="190"/>
      <c r="E125" s="32"/>
      <c r="F125" s="32"/>
      <c r="G125" s="32"/>
      <c r="H125" s="32"/>
      <c r="I125" s="32"/>
      <c r="J125" s="66"/>
    </row>
    <row r="126" spans="1:10" s="7" customFormat="1" hidden="1" x14ac:dyDescent="0.2">
      <c r="A126" s="65" t="s">
        <v>10</v>
      </c>
      <c r="B126" s="72"/>
      <c r="C126" s="66"/>
      <c r="D126" s="191"/>
      <c r="E126" s="66"/>
      <c r="F126" s="66"/>
      <c r="G126" s="66"/>
      <c r="H126" s="32"/>
      <c r="I126" s="32"/>
      <c r="J126" s="66"/>
    </row>
    <row r="127" spans="1:10" s="7" customFormat="1" hidden="1" x14ac:dyDescent="0.2">
      <c r="A127" s="32" t="str">
        <f t="shared" ref="A127:A132" si="49">A12</f>
        <v>Cash &amp; Equivalents</v>
      </c>
      <c r="B127" s="72">
        <f t="shared" ref="B127:H127" si="50">B12/B$38</f>
        <v>0.11133907477253245</v>
      </c>
      <c r="C127" s="66">
        <f t="shared" si="50"/>
        <v>6.6845409655763438E-2</v>
      </c>
      <c r="D127" s="191">
        <f t="shared" ca="1" si="50"/>
        <v>5.7303931231647037E-2</v>
      </c>
      <c r="E127" s="66">
        <f t="shared" ca="1" si="50"/>
        <v>5.7269621089966513E-2</v>
      </c>
      <c r="F127" s="66">
        <f t="shared" ca="1" si="50"/>
        <v>5.7301069193507644E-2</v>
      </c>
      <c r="G127" s="66">
        <f t="shared" ca="1" si="50"/>
        <v>5.7335053752071402E-2</v>
      </c>
      <c r="H127" s="66">
        <f t="shared" ca="1" si="50"/>
        <v>5.7366838681117895E-2</v>
      </c>
      <c r="I127" s="66" t="e">
        <f t="shared" ref="I127" si="51">I12/I$38</f>
        <v>#REF!</v>
      </c>
      <c r="J127" s="66">
        <f t="shared" ref="J127:J132" ca="1" si="52">SUM(C12:H12)/SUM(C$38:H$38)</f>
        <v>5.8811083607064468E-2</v>
      </c>
    </row>
    <row r="128" spans="1:10" s="7" customFormat="1" hidden="1" x14ac:dyDescent="0.2">
      <c r="A128" s="32" t="str">
        <f t="shared" si="49"/>
        <v>Surplus Cash</v>
      </c>
      <c r="B128" s="72">
        <f t="shared" ref="B128:H128" si="53">B13/B$38</f>
        <v>0</v>
      </c>
      <c r="C128" s="66">
        <f t="shared" si="53"/>
        <v>0</v>
      </c>
      <c r="D128" s="191">
        <f t="shared" ca="1" si="53"/>
        <v>0</v>
      </c>
      <c r="E128" s="66">
        <f t="shared" ca="1" si="53"/>
        <v>0</v>
      </c>
      <c r="F128" s="66">
        <f t="shared" ca="1" si="53"/>
        <v>0</v>
      </c>
      <c r="G128" s="66">
        <f t="shared" ca="1" si="53"/>
        <v>0</v>
      </c>
      <c r="H128" s="66">
        <f t="shared" ca="1" si="53"/>
        <v>0</v>
      </c>
      <c r="I128" s="66" t="e">
        <f t="shared" ref="I128" si="54">I13/I$38</f>
        <v>#REF!</v>
      </c>
      <c r="J128" s="66">
        <f t="shared" ca="1" si="52"/>
        <v>0</v>
      </c>
    </row>
    <row r="129" spans="1:10" s="7" customFormat="1" hidden="1" x14ac:dyDescent="0.2">
      <c r="A129" s="32" t="str">
        <f t="shared" si="49"/>
        <v>Accounts Receivable, net</v>
      </c>
      <c r="B129" s="72">
        <f t="shared" ref="B129:H129" si="55">B14/B$38</f>
        <v>1.834191056418279E-2</v>
      </c>
      <c r="C129" s="66">
        <f t="shared" si="55"/>
        <v>1.4983593610880504E-2</v>
      </c>
      <c r="D129" s="191">
        <f t="shared" ca="1" si="55"/>
        <v>1.518870315544904E-2</v>
      </c>
      <c r="E129" s="66">
        <f t="shared" ca="1" si="55"/>
        <v>1.517960907506038E-2</v>
      </c>
      <c r="F129" s="66">
        <f t="shared" ca="1" si="55"/>
        <v>1.5187944557447396E-2</v>
      </c>
      <c r="G129" s="66">
        <f t="shared" ca="1" si="55"/>
        <v>1.519695234034814E-2</v>
      </c>
      <c r="H129" s="66">
        <f t="shared" ca="1" si="55"/>
        <v>1.5205377100076273E-2</v>
      </c>
      <c r="I129" s="66" t="e">
        <f t="shared" ref="I129" si="56">I14/I$38</f>
        <v>#REF!</v>
      </c>
      <c r="J129" s="66">
        <f t="shared" ca="1" si="52"/>
        <v>1.5159223722958118E-2</v>
      </c>
    </row>
    <row r="130" spans="1:10" s="7" customFormat="1" hidden="1" x14ac:dyDescent="0.2">
      <c r="A130" s="32" t="str">
        <f t="shared" si="49"/>
        <v>Material and Supplies</v>
      </c>
      <c r="B130" s="72">
        <f t="shared" ref="B130:H130" si="57">B15/B$38</f>
        <v>7.3775803810216242E-2</v>
      </c>
      <c r="C130" s="66">
        <f t="shared" si="57"/>
        <v>8.2316689678033239E-2</v>
      </c>
      <c r="D130" s="191">
        <f t="shared" ca="1" si="57"/>
        <v>7.4088577426475219E-2</v>
      </c>
      <c r="E130" s="66">
        <f t="shared" ca="1" si="57"/>
        <v>7.516331249074254E-2</v>
      </c>
      <c r="F130" s="66">
        <f t="shared" ca="1" si="57"/>
        <v>7.5249641395238653E-2</v>
      </c>
      <c r="G130" s="66">
        <f t="shared" ca="1" si="57"/>
        <v>7.5252947857336633E-2</v>
      </c>
      <c r="H130" s="66">
        <f t="shared" ca="1" si="57"/>
        <v>7.5250036089304403E-2</v>
      </c>
      <c r="I130" s="66" t="e">
        <f t="shared" ref="I130" ca="1" si="58">I15/I$38</f>
        <v>#REF!</v>
      </c>
      <c r="J130" s="66">
        <f t="shared" ca="1" si="52"/>
        <v>7.6156282307821621E-2</v>
      </c>
    </row>
    <row r="131" spans="1:10" s="7" customFormat="1" hidden="1" x14ac:dyDescent="0.2">
      <c r="A131" s="32" t="str">
        <f t="shared" si="49"/>
        <v>Other Current Assets</v>
      </c>
      <c r="B131" s="68">
        <f t="shared" ref="B131:H131" si="59">B16/B$38</f>
        <v>3.5632810017474912E-3</v>
      </c>
      <c r="C131" s="192">
        <f t="shared" si="59"/>
        <v>3.3903331213886996E-3</v>
      </c>
      <c r="D131" s="193">
        <f t="shared" ca="1" si="59"/>
        <v>3.2770379382328781E-3</v>
      </c>
      <c r="E131" s="192">
        <f t="shared" ca="1" si="59"/>
        <v>3.3903331213886996E-3</v>
      </c>
      <c r="F131" s="192">
        <f t="shared" ca="1" si="59"/>
        <v>3.3903331213886996E-3</v>
      </c>
      <c r="G131" s="192">
        <f t="shared" ca="1" si="59"/>
        <v>3.3903331213886996E-3</v>
      </c>
      <c r="H131" s="192">
        <f t="shared" ca="1" si="59"/>
        <v>3.3903331213886996E-3</v>
      </c>
      <c r="I131" s="192" t="e">
        <f t="shared" ref="I131" si="60">I16/I$38</f>
        <v>#REF!</v>
      </c>
      <c r="J131" s="66">
        <f t="shared" ca="1" si="52"/>
        <v>3.3719436907866896E-3</v>
      </c>
    </row>
    <row r="132" spans="1:10" s="7" customFormat="1" hidden="1" x14ac:dyDescent="0.2">
      <c r="A132" s="32" t="str">
        <f t="shared" si="49"/>
        <v>Total Current Assets</v>
      </c>
      <c r="B132" s="72">
        <f t="shared" ref="B132:H132" si="61">B17/B$38</f>
        <v>0.20702007014867899</v>
      </c>
      <c r="C132" s="66">
        <f t="shared" si="61"/>
        <v>0.16753602606606588</v>
      </c>
      <c r="D132" s="191">
        <f t="shared" ca="1" si="61"/>
        <v>0.14985824975180417</v>
      </c>
      <c r="E132" s="66">
        <f t="shared" ca="1" si="61"/>
        <v>0.15100287577715815</v>
      </c>
      <c r="F132" s="66">
        <f t="shared" ca="1" si="61"/>
        <v>0.15112898826758239</v>
      </c>
      <c r="G132" s="66">
        <f t="shared" ca="1" si="61"/>
        <v>0.15117528707114489</v>
      </c>
      <c r="H132" s="66">
        <f t="shared" ca="1" si="61"/>
        <v>0.15121258499188728</v>
      </c>
      <c r="I132" s="66" t="e">
        <f t="shared" ref="I132" si="62">I17/I$38</f>
        <v>#REF!</v>
      </c>
      <c r="J132" s="182">
        <f t="shared" ca="1" si="52"/>
        <v>0.15349853332863089</v>
      </c>
    </row>
    <row r="133" spans="1:10" s="7" customFormat="1" hidden="1" x14ac:dyDescent="0.2">
      <c r="A133" s="32"/>
      <c r="B133" s="72"/>
      <c r="C133" s="66"/>
      <c r="D133" s="191"/>
      <c r="E133" s="66"/>
      <c r="F133" s="66"/>
      <c r="G133" s="66"/>
      <c r="H133" s="66"/>
      <c r="I133" s="66"/>
      <c r="J133" s="66"/>
    </row>
    <row r="134" spans="1:10" s="7" customFormat="1" hidden="1" x14ac:dyDescent="0.2">
      <c r="A134" s="32" t="str">
        <f>A19</f>
        <v>Plant &amp; Equipment:</v>
      </c>
      <c r="B134" s="72"/>
      <c r="C134" s="66"/>
      <c r="D134" s="191"/>
      <c r="E134" s="66"/>
      <c r="F134" s="66"/>
      <c r="G134" s="66"/>
      <c r="H134" s="66"/>
      <c r="I134" s="66"/>
      <c r="J134" s="66"/>
    </row>
    <row r="135" spans="1:10" s="7" customFormat="1" hidden="1" x14ac:dyDescent="0.2">
      <c r="A135" s="32" t="str">
        <f>A20</f>
        <v>Plant in Service</v>
      </c>
      <c r="B135" s="72">
        <f t="shared" ref="B135:H135" si="63">B20/B$38</f>
        <v>1.3096312718983736</v>
      </c>
      <c r="C135" s="66">
        <f t="shared" si="63"/>
        <v>1.3234431934942699</v>
      </c>
      <c r="D135" s="191">
        <f t="shared" ca="1" si="63"/>
        <v>1.3811782541773088</v>
      </c>
      <c r="E135" s="66">
        <f t="shared" ca="1" si="63"/>
        <v>1.3831998475700007</v>
      </c>
      <c r="F135" s="66">
        <f t="shared" ca="1" si="63"/>
        <v>1.3868154009090097</v>
      </c>
      <c r="G135" s="66">
        <f t="shared" ca="1" si="63"/>
        <v>1.3905015007812336</v>
      </c>
      <c r="H135" s="66">
        <f t="shared" ca="1" si="63"/>
        <v>1.3941434523735836</v>
      </c>
      <c r="I135" s="66" t="e">
        <f t="shared" ref="I135" si="64">I20/I$38</f>
        <v>#REF!</v>
      </c>
      <c r="J135" s="66">
        <f ca="1">SUM(C20:H20)/SUM(C$38:H$38)</f>
        <v>1.3772743976534443</v>
      </c>
    </row>
    <row r="136" spans="1:10" s="7" customFormat="1" hidden="1" x14ac:dyDescent="0.2">
      <c r="A136" s="32" t="str">
        <f>A21</f>
        <v xml:space="preserve">  Construction Work in Progress</v>
      </c>
      <c r="B136" s="72">
        <f t="shared" ref="B136:H136" si="65">B21/B$38</f>
        <v>6.4446781811410239E-2</v>
      </c>
      <c r="C136" s="66">
        <f t="shared" si="65"/>
        <v>7.5654964823603371E-2</v>
      </c>
      <c r="D136" s="191">
        <f t="shared" ca="1" si="65"/>
        <v>0</v>
      </c>
      <c r="E136" s="66">
        <f t="shared" ca="1" si="65"/>
        <v>0</v>
      </c>
      <c r="F136" s="66">
        <f t="shared" ca="1" si="65"/>
        <v>0</v>
      </c>
      <c r="G136" s="66">
        <f t="shared" ca="1" si="65"/>
        <v>0</v>
      </c>
      <c r="H136" s="66">
        <f t="shared" ca="1" si="65"/>
        <v>0</v>
      </c>
      <c r="I136" s="66" t="e">
        <f t="shared" ref="I136" si="66">I21/I$38</f>
        <v>#REF!</v>
      </c>
      <c r="J136" s="66">
        <f ca="1">SUM(C21:H21)/SUM(C$38:H$38)</f>
        <v>1.1869525747690873E-2</v>
      </c>
    </row>
    <row r="137" spans="1:10" s="7" customFormat="1" hidden="1" x14ac:dyDescent="0.2">
      <c r="A137" s="32" t="str">
        <f>A22</f>
        <v>Electric Plant Acquisition Adjustment</v>
      </c>
      <c r="B137" s="68">
        <f t="shared" ref="B137:H137" si="67">B22/B$38</f>
        <v>0</v>
      </c>
      <c r="C137" s="192">
        <f t="shared" si="67"/>
        <v>0</v>
      </c>
      <c r="D137" s="193">
        <f t="shared" ca="1" si="67"/>
        <v>0</v>
      </c>
      <c r="E137" s="192">
        <f t="shared" ca="1" si="67"/>
        <v>0</v>
      </c>
      <c r="F137" s="192">
        <f t="shared" ca="1" si="67"/>
        <v>0</v>
      </c>
      <c r="G137" s="192">
        <f t="shared" ca="1" si="67"/>
        <v>0</v>
      </c>
      <c r="H137" s="192">
        <f t="shared" ca="1" si="67"/>
        <v>0</v>
      </c>
      <c r="I137" s="192" t="e">
        <f t="shared" ref="I137" si="68">I22/I$38</f>
        <v>#REF!</v>
      </c>
      <c r="J137" s="66">
        <f ca="1">SUM(C22:H22)/SUM(C$38:H$38)</f>
        <v>0</v>
      </c>
    </row>
    <row r="138" spans="1:10" s="7" customFormat="1" hidden="1" x14ac:dyDescent="0.2">
      <c r="A138" s="32" t="str">
        <f>A24</f>
        <v>Total Plant &amp; Equipment:</v>
      </c>
      <c r="B138" s="72">
        <f t="shared" ref="B138:H138" si="69">B24/B$38</f>
        <v>1.3741495900902383</v>
      </c>
      <c r="C138" s="66">
        <f t="shared" si="69"/>
        <v>1.3991658194636205</v>
      </c>
      <c r="D138" s="191">
        <f t="shared" ca="1" si="69"/>
        <v>1.3811782541773088</v>
      </c>
      <c r="E138" s="66">
        <f t="shared" ca="1" si="69"/>
        <v>1.3831998475700007</v>
      </c>
      <c r="F138" s="66">
        <f t="shared" ca="1" si="69"/>
        <v>1.3868154009090097</v>
      </c>
      <c r="G138" s="66">
        <f t="shared" ca="1" si="69"/>
        <v>1.3905015007812336</v>
      </c>
      <c r="H138" s="66">
        <f t="shared" ca="1" si="69"/>
        <v>1.3941434523735836</v>
      </c>
      <c r="I138" s="66" t="e">
        <f t="shared" ref="I138" si="70">I24/I$38</f>
        <v>#REF!</v>
      </c>
      <c r="J138" s="182">
        <f ca="1">SUM(C24:H24)/SUM(C$38:H$38)</f>
        <v>1.3891545387746727</v>
      </c>
    </row>
    <row r="139" spans="1:10" s="7" customFormat="1" hidden="1" x14ac:dyDescent="0.2">
      <c r="A139" s="32"/>
      <c r="B139" s="72"/>
      <c r="C139" s="66"/>
      <c r="D139" s="191"/>
      <c r="E139" s="66"/>
      <c r="F139" s="66"/>
      <c r="G139" s="66"/>
      <c r="H139" s="66"/>
      <c r="I139" s="66"/>
      <c r="J139" s="66"/>
    </row>
    <row r="140" spans="1:10" s="7" customFormat="1" hidden="1" x14ac:dyDescent="0.2">
      <c r="A140" s="32" t="str">
        <f>A26</f>
        <v>Accumulated Depreciation &amp; Amort.</v>
      </c>
      <c r="B140" s="72">
        <f t="shared" ref="B140:H140" si="71">B26/B$38</f>
        <v>0.68746311677012462</v>
      </c>
      <c r="C140" s="66">
        <f t="shared" si="71"/>
        <v>0.66799740437704314</v>
      </c>
      <c r="D140" s="191">
        <f t="shared" ca="1" si="71"/>
        <v>0.64556271600247406</v>
      </c>
      <c r="E140" s="66">
        <f t="shared" ca="1" si="71"/>
        <v>0.64650760875421831</v>
      </c>
      <c r="F140" s="66">
        <f t="shared" ca="1" si="71"/>
        <v>0.64819751838487105</v>
      </c>
      <c r="G140" s="66">
        <f t="shared" ca="1" si="71"/>
        <v>0.64992040146514851</v>
      </c>
      <c r="H140" s="66">
        <f t="shared" ca="1" si="71"/>
        <v>0.65162264963941297</v>
      </c>
      <c r="I140" s="66" t="e">
        <f t="shared" ref="I140" si="72">I26/I$38</f>
        <v>#REF!</v>
      </c>
      <c r="J140" s="66">
        <f ca="1">SUM(C26:H26)/SUM(C$38:H$38)</f>
        <v>0.65149157797281521</v>
      </c>
    </row>
    <row r="141" spans="1:10" s="7" customFormat="1" hidden="1" x14ac:dyDescent="0.2">
      <c r="A141" s="32"/>
      <c r="B141" s="72"/>
      <c r="C141" s="66"/>
      <c r="D141" s="191"/>
      <c r="E141" s="66"/>
      <c r="F141" s="66"/>
      <c r="G141" s="66"/>
      <c r="H141" s="66"/>
      <c r="I141" s="66"/>
      <c r="J141" s="66"/>
    </row>
    <row r="142" spans="1:10" s="7" customFormat="1" hidden="1" x14ac:dyDescent="0.2">
      <c r="A142" s="32" t="str">
        <f>A28</f>
        <v>Net Plant &amp; Equipment</v>
      </c>
      <c r="B142" s="72">
        <f t="shared" ref="B142:H142" si="73">B28/B$38</f>
        <v>0.68668647332011357</v>
      </c>
      <c r="C142" s="66">
        <f t="shared" si="73"/>
        <v>0.73116841508657748</v>
      </c>
      <c r="D142" s="191">
        <f t="shared" ca="1" si="73"/>
        <v>0.7356155381748346</v>
      </c>
      <c r="E142" s="66">
        <f t="shared" ca="1" si="73"/>
        <v>0.7366922388157825</v>
      </c>
      <c r="F142" s="66">
        <f t="shared" ca="1" si="73"/>
        <v>0.73861788252413851</v>
      </c>
      <c r="G142" s="66">
        <f t="shared" ca="1" si="73"/>
        <v>0.74058109931608507</v>
      </c>
      <c r="H142" s="66">
        <f t="shared" ca="1" si="73"/>
        <v>0.74252080273417065</v>
      </c>
      <c r="I142" s="66" t="e">
        <f t="shared" ref="I142" si="74">I28/I$38</f>
        <v>#REF!</v>
      </c>
      <c r="J142" s="66">
        <f ca="1">SUM(C28:H28)/SUM(C$38:H$38)</f>
        <v>0.73766296080185734</v>
      </c>
    </row>
    <row r="143" spans="1:10" s="7" customFormat="1" hidden="1" x14ac:dyDescent="0.2">
      <c r="A143" s="32"/>
      <c r="B143" s="72"/>
      <c r="C143" s="66"/>
      <c r="D143" s="191"/>
      <c r="E143" s="66"/>
      <c r="F143" s="66"/>
      <c r="G143" s="66"/>
      <c r="H143" s="66"/>
      <c r="I143" s="66"/>
      <c r="J143" s="66"/>
    </row>
    <row r="144" spans="1:10" s="7" customFormat="1" hidden="1" x14ac:dyDescent="0.2">
      <c r="A144" s="32" t="str">
        <f>A30</f>
        <v>Other Assets:</v>
      </c>
      <c r="B144" s="72"/>
      <c r="C144" s="66"/>
      <c r="D144" s="191"/>
      <c r="E144" s="66"/>
      <c r="F144" s="66"/>
      <c r="G144" s="66"/>
      <c r="H144" s="66"/>
      <c r="I144" s="66"/>
      <c r="J144" s="66"/>
    </row>
    <row r="145" spans="1:10" s="7" customFormat="1" hidden="1" x14ac:dyDescent="0.2">
      <c r="A145" s="32" t="str">
        <f>A31</f>
        <v>Regulatory Assets</v>
      </c>
      <c r="B145" s="72">
        <f t="shared" ref="B145:H145" si="75">B31/B$38</f>
        <v>0</v>
      </c>
      <c r="C145" s="66">
        <f t="shared" si="75"/>
        <v>0</v>
      </c>
      <c r="D145" s="191">
        <f t="shared" ca="1" si="75"/>
        <v>0</v>
      </c>
      <c r="E145" s="66">
        <f t="shared" ca="1" si="75"/>
        <v>0</v>
      </c>
      <c r="F145" s="66">
        <f t="shared" ca="1" si="75"/>
        <v>0</v>
      </c>
      <c r="G145" s="66">
        <f t="shared" ca="1" si="75"/>
        <v>0</v>
      </c>
      <c r="H145" s="66">
        <f t="shared" ca="1" si="75"/>
        <v>0</v>
      </c>
      <c r="I145" s="66" t="e">
        <f t="shared" ref="I145" si="76">I31/I$38</f>
        <v>#REF!</v>
      </c>
      <c r="J145" s="66">
        <f ca="1">SUM(C31:H31)/SUM(C$38:H$38)</f>
        <v>0</v>
      </c>
    </row>
    <row r="146" spans="1:10" s="7" customFormat="1" hidden="1" x14ac:dyDescent="0.2">
      <c r="A146" s="32" t="str">
        <f>A34</f>
        <v>Energy Conservation &amp; Develop Loans</v>
      </c>
      <c r="B146" s="72">
        <f t="shared" ref="B146:H146" si="77">B34/B$38</f>
        <v>2.0498693320212245E-3</v>
      </c>
      <c r="C146" s="66">
        <f t="shared" si="77"/>
        <v>1.6984756264493092E-3</v>
      </c>
      <c r="D146" s="191">
        <f t="shared" ca="1" si="77"/>
        <v>1.6417174554099238E-3</v>
      </c>
      <c r="E146" s="66">
        <f t="shared" ca="1" si="77"/>
        <v>1.6098750439984709E-3</v>
      </c>
      <c r="F146" s="66">
        <f t="shared" ca="1" si="77"/>
        <v>1.5804634018529548E-3</v>
      </c>
      <c r="G146" s="66">
        <f t="shared" ca="1" si="77"/>
        <v>1.5516572729298015E-3</v>
      </c>
      <c r="H146" s="66">
        <f t="shared" ca="1" si="77"/>
        <v>1.5233172313920313E-3</v>
      </c>
      <c r="I146" s="66" t="e">
        <f t="shared" ref="I146" si="78">I34/I$38</f>
        <v>#REF!</v>
      </c>
      <c r="J146" s="66">
        <f ca="1">SUM(C34:H34)/SUM(C$38:H$38)</f>
        <v>1.5988455134679361E-3</v>
      </c>
    </row>
    <row r="147" spans="1:10" s="7" customFormat="1" hidden="1" x14ac:dyDescent="0.2">
      <c r="A147" s="32"/>
      <c r="B147" s="72"/>
      <c r="C147" s="66"/>
      <c r="D147" s="191"/>
      <c r="E147" s="66"/>
      <c r="F147" s="66"/>
      <c r="G147" s="66"/>
      <c r="H147" s="66"/>
      <c r="I147" s="66"/>
      <c r="J147" s="66"/>
    </row>
    <row r="148" spans="1:10" s="7" customFormat="1" hidden="1" x14ac:dyDescent="0.2">
      <c r="A148" s="32"/>
      <c r="B148" s="72"/>
      <c r="C148" s="66"/>
      <c r="D148" s="191"/>
      <c r="E148" s="66"/>
      <c r="F148" s="66"/>
      <c r="G148" s="66"/>
      <c r="H148" s="66"/>
      <c r="I148" s="66"/>
      <c r="J148" s="66"/>
    </row>
    <row r="149" spans="1:10" s="7" customFormat="1" hidden="1" x14ac:dyDescent="0.2">
      <c r="A149" s="32" t="str">
        <f>A35</f>
        <v>Other Non-Current Assets</v>
      </c>
      <c r="B149" s="72">
        <f t="shared" ref="B149:H149" si="79">B35/B$38</f>
        <v>5.691184095072284E-5</v>
      </c>
      <c r="C149" s="66">
        <f t="shared" si="79"/>
        <v>1.7881286998849185E-6</v>
      </c>
      <c r="D149" s="191">
        <f t="shared" ca="1" si="79"/>
        <v>1.6617387876246691E-2</v>
      </c>
      <c r="E149" s="66">
        <f t="shared" ca="1" si="79"/>
        <v>1.6295080466043138E-2</v>
      </c>
      <c r="F149" s="66">
        <f t="shared" ca="1" si="79"/>
        <v>1.5997377189514737E-2</v>
      </c>
      <c r="G149" s="66">
        <f t="shared" ca="1" si="79"/>
        <v>1.5705802889715577E-2</v>
      </c>
      <c r="H149" s="66">
        <f t="shared" ca="1" si="79"/>
        <v>1.5418946304795806E-2</v>
      </c>
      <c r="I149" s="66" t="e">
        <f t="shared" ref="I149" si="80">I35/I$38</f>
        <v>#REF!</v>
      </c>
      <c r="J149" s="66">
        <f ca="1">SUM(C37:H37)/SUM(C$38:H$38)</f>
        <v>0.84650146667136905</v>
      </c>
    </row>
    <row r="150" spans="1:10" s="7" customFormat="1" hidden="1" x14ac:dyDescent="0.2">
      <c r="A150" s="32" t="str">
        <f>A36</f>
        <v>Total Other Assets</v>
      </c>
      <c r="B150" s="68">
        <f>B36/B$38</f>
        <v>0.10629345653120743</v>
      </c>
      <c r="C150" s="192">
        <f t="shared" ref="C150:H150" si="81">C35/C$38</f>
        <v>1.7881286998849185E-6</v>
      </c>
      <c r="D150" s="193">
        <f t="shared" ca="1" si="81"/>
        <v>1.6617387876246691E-2</v>
      </c>
      <c r="E150" s="192">
        <f t="shared" ca="1" si="81"/>
        <v>1.6295080466043138E-2</v>
      </c>
      <c r="F150" s="192">
        <f t="shared" ca="1" si="81"/>
        <v>1.5997377189514737E-2</v>
      </c>
      <c r="G150" s="192">
        <f t="shared" ca="1" si="81"/>
        <v>1.5705802889715577E-2</v>
      </c>
      <c r="H150" s="192">
        <f t="shared" ca="1" si="81"/>
        <v>1.5418946304795806E-2</v>
      </c>
      <c r="I150" s="192" t="e">
        <f t="shared" ref="I150" si="82">I35/I$38</f>
        <v>#REF!</v>
      </c>
      <c r="J150" s="66">
        <f ca="1">SUM(C38:H38)/SUM(C$38:H$38)</f>
        <v>1</v>
      </c>
    </row>
    <row r="151" spans="1:10" s="7" customFormat="1" hidden="1" x14ac:dyDescent="0.2">
      <c r="A151" s="32" t="str">
        <f>A37</f>
        <v>Total Non-Current Assets</v>
      </c>
      <c r="B151" s="141">
        <f>B37/B$38</f>
        <v>0.79297992985132104</v>
      </c>
      <c r="C151" s="192">
        <f t="shared" ref="C151:H151" si="83">C37/C$38</f>
        <v>0.83246397393393412</v>
      </c>
      <c r="D151" s="193">
        <f t="shared" ca="1" si="83"/>
        <v>0.85014175024819583</v>
      </c>
      <c r="E151" s="192">
        <f t="shared" ca="1" si="83"/>
        <v>0.84899712422284179</v>
      </c>
      <c r="F151" s="192">
        <f t="shared" ca="1" si="83"/>
        <v>0.84887101173241752</v>
      </c>
      <c r="G151" s="192">
        <f t="shared" ca="1" si="83"/>
        <v>0.84882471292885509</v>
      </c>
      <c r="H151" s="192">
        <f t="shared" ca="1" si="83"/>
        <v>0.84878741500811272</v>
      </c>
      <c r="I151" s="192" t="e">
        <f t="shared" ref="I151" si="84">I37/I$38</f>
        <v>#REF!</v>
      </c>
      <c r="J151" s="141">
        <f ca="1">SUM(C37:H37)/SUM(C$38:H$38)</f>
        <v>0.84650146667136905</v>
      </c>
    </row>
    <row r="152" spans="1:10" s="7" customFormat="1" ht="13.5" hidden="1" thickBot="1" x14ac:dyDescent="0.25">
      <c r="A152" s="32" t="str">
        <f>A38</f>
        <v>Total Assets</v>
      </c>
      <c r="B152" s="143">
        <f>B38/B$38</f>
        <v>1</v>
      </c>
      <c r="C152" s="194">
        <f t="shared" ref="C152:H152" si="85">C38/C$38</f>
        <v>1</v>
      </c>
      <c r="D152" s="195">
        <f t="shared" ca="1" si="85"/>
        <v>1</v>
      </c>
      <c r="E152" s="194">
        <f t="shared" ca="1" si="85"/>
        <v>1</v>
      </c>
      <c r="F152" s="194">
        <f t="shared" ca="1" si="85"/>
        <v>1</v>
      </c>
      <c r="G152" s="194">
        <f t="shared" ca="1" si="85"/>
        <v>1</v>
      </c>
      <c r="H152" s="194">
        <f t="shared" ca="1" si="85"/>
        <v>1</v>
      </c>
      <c r="I152" s="194" t="e">
        <f t="shared" ref="I152" si="86">I38/I$38</f>
        <v>#REF!</v>
      </c>
      <c r="J152" s="142">
        <f ca="1">SUM(C38:H38)/SUM(C$38:H$38)</f>
        <v>1</v>
      </c>
    </row>
    <row r="153" spans="1:10" s="7" customFormat="1" ht="13.5" hidden="1" thickTop="1" x14ac:dyDescent="0.2">
      <c r="A153" s="32"/>
      <c r="B153" s="72"/>
      <c r="C153" s="66"/>
      <c r="D153" s="191"/>
      <c r="E153" s="66"/>
      <c r="F153" s="66"/>
      <c r="G153" s="66"/>
      <c r="H153" s="66"/>
      <c r="I153" s="66"/>
      <c r="J153" s="176"/>
    </row>
    <row r="154" spans="1:10" s="7" customFormat="1" hidden="1" x14ac:dyDescent="0.2">
      <c r="A154" s="32" t="str">
        <f t="shared" ref="A154:A159" si="87">A40</f>
        <v>Current Liabilities:</v>
      </c>
      <c r="B154" s="72"/>
      <c r="C154" s="66"/>
      <c r="D154" s="191"/>
      <c r="E154" s="66"/>
      <c r="F154" s="66"/>
      <c r="G154" s="66"/>
      <c r="H154" s="66"/>
      <c r="I154" s="66"/>
      <c r="J154" s="66"/>
    </row>
    <row r="155" spans="1:10" s="7" customFormat="1" hidden="1" x14ac:dyDescent="0.2">
      <c r="A155" s="32" t="str">
        <f t="shared" si="87"/>
        <v>Current Portion of LTD</v>
      </c>
      <c r="B155" s="72">
        <f t="shared" ref="B155:H155" si="88">B41/B$38</f>
        <v>2.3383769451370939E-2</v>
      </c>
      <c r="C155" s="66">
        <f t="shared" si="88"/>
        <v>2.4860826038179303E-2</v>
      </c>
      <c r="D155" s="191">
        <f t="shared" ca="1" si="88"/>
        <v>2.5420759800399099E-2</v>
      </c>
      <c r="E155" s="66">
        <f t="shared" ca="1" si="88"/>
        <v>2.657908801716494E-2</v>
      </c>
      <c r="F155" s="66">
        <f t="shared" ca="1" si="88"/>
        <v>2.6527396529329457E-2</v>
      </c>
      <c r="G155" s="66">
        <f t="shared" ca="1" si="88"/>
        <v>2.6678567019563282E-2</v>
      </c>
      <c r="H155" s="66">
        <f t="shared" ca="1" si="88"/>
        <v>2.70021983141106E-2</v>
      </c>
      <c r="I155" s="66" t="e">
        <f t="shared" ref="I155" si="89">I41/I$38</f>
        <v>#REF!</v>
      </c>
      <c r="J155" s="66">
        <f ca="1">SUM(C41:H41)/SUM(C$38:H$38)</f>
        <v>2.6203879610275371E-2</v>
      </c>
    </row>
    <row r="156" spans="1:10" s="7" customFormat="1" hidden="1" x14ac:dyDescent="0.2">
      <c r="A156" s="32" t="str">
        <f t="shared" si="87"/>
        <v>Acounts Payable</v>
      </c>
      <c r="B156" s="72">
        <f t="shared" ref="B156:H156" si="90">B42/B$38</f>
        <v>3.153013775338346E-2</v>
      </c>
      <c r="C156" s="66">
        <f>C42/C$38</f>
        <v>1.6971047277793975E-2</v>
      </c>
      <c r="D156" s="191">
        <f t="shared" ca="1" si="90"/>
        <v>1.5491401177621678E-2</v>
      </c>
      <c r="E156" s="66">
        <f t="shared" ca="1" si="90"/>
        <v>1.548212585989373E-2</v>
      </c>
      <c r="F156" s="66">
        <f t="shared" ca="1" si="90"/>
        <v>1.5490627461402739E-2</v>
      </c>
      <c r="G156" s="66">
        <f t="shared" ca="1" si="90"/>
        <v>1.5499814761806743E-2</v>
      </c>
      <c r="H156" s="66">
        <f t="shared" ca="1" si="90"/>
        <v>1.5508407419878854E-2</v>
      </c>
      <c r="I156" s="66" t="e">
        <f t="shared" ref="I156" si="91">I42/I$38</f>
        <v>#REF!</v>
      </c>
      <c r="J156" s="66">
        <f ca="1">SUM(C42:H42)/SUM(C$38:H$38)</f>
        <v>1.5726297279896793E-2</v>
      </c>
    </row>
    <row r="157" spans="1:10" s="7" customFormat="1" hidden="1" x14ac:dyDescent="0.2">
      <c r="A157" s="32" t="str">
        <f t="shared" si="87"/>
        <v>Acounts Payable, Affiliates</v>
      </c>
      <c r="B157" s="72">
        <f t="shared" ref="B157:H157" si="92">B43/B$38</f>
        <v>3.2729502105270911E-2</v>
      </c>
      <c r="C157" s="66">
        <f t="shared" si="92"/>
        <v>3.335456068185335E-2</v>
      </c>
      <c r="D157" s="191">
        <f t="shared" ca="1" si="92"/>
        <v>3.0445578663374072E-2</v>
      </c>
      <c r="E157" s="66">
        <f t="shared" ca="1" si="92"/>
        <v>3.0427349685099213E-2</v>
      </c>
      <c r="F157" s="66">
        <f t="shared" ca="1" si="92"/>
        <v>3.0444058062510614E-2</v>
      </c>
      <c r="G157" s="66">
        <f t="shared" ca="1" si="92"/>
        <v>3.0462114058475539E-2</v>
      </c>
      <c r="H157" s="66">
        <f t="shared" ca="1" si="92"/>
        <v>3.0479001391277939E-2</v>
      </c>
      <c r="I157" s="66" t="e">
        <f t="shared" ref="I157" si="93">I43/I$38</f>
        <v>#REF!</v>
      </c>
      <c r="J157" s="66">
        <f ca="1">SUM(C43:H43)/SUM(C$38:H$38)</f>
        <v>3.0907382183472044E-2</v>
      </c>
    </row>
    <row r="158" spans="1:10" s="7" customFormat="1" hidden="1" x14ac:dyDescent="0.2">
      <c r="A158" s="32" t="str">
        <f t="shared" si="87"/>
        <v>Customer Deposits</v>
      </c>
      <c r="B158" s="72">
        <f>B44/B$38</f>
        <v>1.0840456204795531E-2</v>
      </c>
      <c r="C158" s="66">
        <f t="shared" ref="C158:H158" si="94">C44/C$38</f>
        <v>9.3116904812524364E-3</v>
      </c>
      <c r="D158" s="191">
        <f t="shared" ca="1" si="94"/>
        <v>9.0005205634917616E-3</v>
      </c>
      <c r="E158" s="66">
        <f t="shared" ca="1" si="94"/>
        <v>8.8259483325908075E-3</v>
      </c>
      <c r="F158" s="66">
        <f t="shared" ca="1" si="94"/>
        <v>8.6647025048971014E-3</v>
      </c>
      <c r="G158" s="66">
        <f t="shared" ca="1" si="94"/>
        <v>8.5067763313810274E-3</v>
      </c>
      <c r="H158" s="66">
        <f t="shared" ca="1" si="94"/>
        <v>8.351405426484838E-3</v>
      </c>
      <c r="I158" s="66" t="e">
        <f t="shared" ref="I158" si="95">I44/I$38</f>
        <v>#REF!</v>
      </c>
      <c r="J158" s="66">
        <f ca="1">SUM(C44:H44)/SUM(C$38:H$38)</f>
        <v>8.765480244115163E-3</v>
      </c>
    </row>
    <row r="159" spans="1:10" s="7" customFormat="1" hidden="1" x14ac:dyDescent="0.2">
      <c r="A159" s="32" t="str">
        <f t="shared" si="87"/>
        <v>Rate-Refund Obligation</v>
      </c>
      <c r="B159" s="72">
        <f>B45/B$38</f>
        <v>0</v>
      </c>
      <c r="C159" s="66">
        <f t="shared" ref="C159:H159" si="96">C45/C$38</f>
        <v>0</v>
      </c>
      <c r="D159" s="191">
        <f t="shared" ca="1" si="96"/>
        <v>0</v>
      </c>
      <c r="E159" s="66">
        <f t="shared" ca="1" si="96"/>
        <v>0</v>
      </c>
      <c r="F159" s="66">
        <f t="shared" ca="1" si="96"/>
        <v>0</v>
      </c>
      <c r="G159" s="66">
        <f t="shared" ca="1" si="96"/>
        <v>0</v>
      </c>
      <c r="H159" s="66">
        <f t="shared" ca="1" si="96"/>
        <v>0</v>
      </c>
      <c r="I159" s="66" t="e">
        <f t="shared" ref="I159" si="97">I45/I$38</f>
        <v>#REF!</v>
      </c>
      <c r="J159" s="66">
        <f ca="1">SUM(C45:H45)/SUM(C$38:H$38)</f>
        <v>0</v>
      </c>
    </row>
    <row r="160" spans="1:10" s="7" customFormat="1" hidden="1" x14ac:dyDescent="0.2">
      <c r="A160" s="32" t="str">
        <f t="shared" ref="A160:A177" si="98">A47</f>
        <v xml:space="preserve">Other </v>
      </c>
      <c r="B160" s="68">
        <f>B47/B$38</f>
        <v>2.066645178227394E-3</v>
      </c>
      <c r="C160" s="192">
        <f t="shared" ref="C160:H160" si="99">C47/C$38</f>
        <v>2.3113516000340031E-3</v>
      </c>
      <c r="D160" s="193">
        <f t="shared" ca="1" si="99"/>
        <v>1.4999999999999999E-2</v>
      </c>
      <c r="E160" s="192">
        <f t="shared" ca="1" si="99"/>
        <v>1.4999999999999999E-2</v>
      </c>
      <c r="F160" s="192">
        <f t="shared" ca="1" si="99"/>
        <v>1.4999999999999999E-2</v>
      </c>
      <c r="G160" s="192">
        <f t="shared" ca="1" si="99"/>
        <v>1.4999999999999999E-2</v>
      </c>
      <c r="H160" s="192">
        <f t="shared" ca="1" si="99"/>
        <v>1.4999999999999999E-2</v>
      </c>
      <c r="I160" s="192" t="e">
        <f t="shared" ref="I160" si="100">I47/I$38</f>
        <v>#REF!</v>
      </c>
      <c r="J160" s="66">
        <f ca="1">SUM(C47:H47)/SUM(C$38:H$38)</f>
        <v>1.3009274880532292E-2</v>
      </c>
    </row>
    <row r="161" spans="1:10" s="7" customFormat="1" hidden="1" x14ac:dyDescent="0.2">
      <c r="A161" s="32" t="str">
        <f t="shared" si="98"/>
        <v>Total Current Liabilities</v>
      </c>
      <c r="B161" s="72">
        <f>B48/B$38</f>
        <v>0.11199663579092455</v>
      </c>
      <c r="C161" s="66">
        <f t="shared" ref="C161:H161" si="101">C48/C$38</f>
        <v>9.8609604561298456E-2</v>
      </c>
      <c r="D161" s="191">
        <f t="shared" ca="1" si="101"/>
        <v>9.5358260204886608E-2</v>
      </c>
      <c r="E161" s="66">
        <f t="shared" ca="1" si="101"/>
        <v>9.6314511894748683E-2</v>
      </c>
      <c r="F161" s="66">
        <f t="shared" ca="1" si="101"/>
        <v>9.612678455813993E-2</v>
      </c>
      <c r="G161" s="66">
        <f t="shared" ca="1" si="101"/>
        <v>9.6147272171226594E-2</v>
      </c>
      <c r="H161" s="66">
        <f t="shared" ca="1" si="101"/>
        <v>9.6341012551752231E-2</v>
      </c>
      <c r="I161" s="66" t="e">
        <f t="shared" ref="I161" si="102">I48/I$38</f>
        <v>#REF!</v>
      </c>
      <c r="J161" s="182">
        <f ca="1">SUM(C48:H48)/SUM(C$38:H$38)</f>
        <v>9.6463639212742813E-2</v>
      </c>
    </row>
    <row r="162" spans="1:10" s="7" customFormat="1" hidden="1" x14ac:dyDescent="0.2">
      <c r="A162" s="32"/>
      <c r="B162" s="72"/>
      <c r="C162" s="66"/>
      <c r="D162" s="191"/>
      <c r="E162" s="66"/>
      <c r="F162" s="66"/>
      <c r="G162" s="66"/>
      <c r="H162" s="32"/>
      <c r="I162" s="32"/>
      <c r="J162" s="66"/>
    </row>
    <row r="163" spans="1:10" s="7" customFormat="1" hidden="1" x14ac:dyDescent="0.2">
      <c r="A163" s="32" t="str">
        <f t="shared" si="98"/>
        <v>Long-Term Debt</v>
      </c>
      <c r="B163" s="72">
        <f>B50/B$38</f>
        <v>0.25802605267185447</v>
      </c>
      <c r="C163" s="72">
        <f t="shared" ref="C163:H163" si="103">C50/C$38</f>
        <v>0.30073011555668683</v>
      </c>
      <c r="D163" s="191">
        <f t="shared" ca="1" si="103"/>
        <v>0.26525982011994576</v>
      </c>
      <c r="E163" s="72">
        <f t="shared" ca="1" si="103"/>
        <v>0.23736718306831811</v>
      </c>
      <c r="F163" s="72">
        <f t="shared" ca="1" si="103"/>
        <v>0.21265147730488562</v>
      </c>
      <c r="G163" s="72">
        <f t="shared" ca="1" si="103"/>
        <v>0.19051764951870767</v>
      </c>
      <c r="H163" s="72">
        <f t="shared" ca="1" si="103"/>
        <v>0.17068101664062518</v>
      </c>
      <c r="I163" s="72" t="e">
        <f t="shared" ref="I163" si="104">I50/I$38</f>
        <v>#REF!</v>
      </c>
      <c r="J163" s="66">
        <f ca="1">SUM(C50:H50)/SUM(C$38:H$38)</f>
        <v>0.22795724460476505</v>
      </c>
    </row>
    <row r="164" spans="1:10" s="7" customFormat="1" hidden="1" x14ac:dyDescent="0.2">
      <c r="A164" s="32" t="str">
        <f t="shared" si="98"/>
        <v>Deferred Income Taxes</v>
      </c>
      <c r="B164" s="72">
        <f>B51/B$38</f>
        <v>0</v>
      </c>
      <c r="C164" s="66">
        <f t="shared" ref="C164:H164" si="105">C51/C$38</f>
        <v>0</v>
      </c>
      <c r="D164" s="191">
        <f t="shared" ca="1" si="105"/>
        <v>0</v>
      </c>
      <c r="E164" s="66">
        <f t="shared" ca="1" si="105"/>
        <v>0</v>
      </c>
      <c r="F164" s="66">
        <f t="shared" ca="1" si="105"/>
        <v>0</v>
      </c>
      <c r="G164" s="66">
        <f t="shared" ca="1" si="105"/>
        <v>0</v>
      </c>
      <c r="H164" s="66">
        <f t="shared" ca="1" si="105"/>
        <v>0</v>
      </c>
      <c r="I164" s="66" t="e">
        <f t="shared" ref="I164" si="106">I51/I$38</f>
        <v>#REF!</v>
      </c>
      <c r="J164" s="66">
        <f ca="1">SUM(C51:H51)/SUM(C$38:H$38)</f>
        <v>0</v>
      </c>
    </row>
    <row r="165" spans="1:10" s="7" customFormat="1" hidden="1" x14ac:dyDescent="0.2">
      <c r="A165" s="32" t="str">
        <f t="shared" si="98"/>
        <v>Other Deferred Credits</v>
      </c>
      <c r="B165" s="72">
        <f>B52/B$38</f>
        <v>2.9764653783149981E-2</v>
      </c>
      <c r="C165" s="66">
        <f t="shared" ref="C165:H165" si="107">C52/C$38</f>
        <v>2.684349080868963E-2</v>
      </c>
      <c r="D165" s="191">
        <f t="shared" ca="1" si="107"/>
        <v>2.5946459674110439E-2</v>
      </c>
      <c r="E165" s="66">
        <f t="shared" ca="1" si="107"/>
        <v>2.5443208632397785E-2</v>
      </c>
      <c r="F165" s="66">
        <f t="shared" ca="1" si="107"/>
        <v>2.49783745484152E-2</v>
      </c>
      <c r="G165" s="66">
        <f t="shared" ca="1" si="107"/>
        <v>2.4523110235263781E-2</v>
      </c>
      <c r="H165" s="66">
        <f t="shared" ca="1" si="107"/>
        <v>2.4075212143594323E-2</v>
      </c>
      <c r="I165" s="66" t="e">
        <f t="shared" ref="I165" si="108">I52/I$38</f>
        <v>#REF!</v>
      </c>
      <c r="J165" s="66">
        <f ca="1">SUM(C52:H52)/SUM(C$38:H$38)</f>
        <v>2.5268893390182345E-2</v>
      </c>
    </row>
    <row r="166" spans="1:10" s="7" customFormat="1" hidden="1" x14ac:dyDescent="0.2">
      <c r="A166" s="32" t="str">
        <f t="shared" si="98"/>
        <v>Additional Loans</v>
      </c>
      <c r="B166" s="68">
        <f>B53/B$38</f>
        <v>0</v>
      </c>
      <c r="C166" s="192">
        <f t="shared" ref="C166:H166" si="109">C53/C$38</f>
        <v>0</v>
      </c>
      <c r="D166" s="193">
        <f t="shared" ca="1" si="109"/>
        <v>4.4677457476335031E-2</v>
      </c>
      <c r="E166" s="192">
        <f t="shared" ca="1" si="109"/>
        <v>7.1612444055714986E-2</v>
      </c>
      <c r="F166" s="192">
        <f t="shared" ca="1" si="109"/>
        <v>9.807526492569929E-2</v>
      </c>
      <c r="G166" s="192">
        <f t="shared" ca="1" si="109"/>
        <v>0.1239906135539153</v>
      </c>
      <c r="H166" s="192">
        <f t="shared" ca="1" si="109"/>
        <v>0.14978596602733471</v>
      </c>
      <c r="I166" s="192" t="e">
        <f t="shared" ref="I166" si="110">I53/I$38</f>
        <v>#REF!</v>
      </c>
      <c r="J166" s="66">
        <f ca="1">SUM(C53:H53)/SUM(C$38:H$38)</f>
        <v>8.3137075197005542E-2</v>
      </c>
    </row>
    <row r="167" spans="1:10" s="7" customFormat="1" hidden="1" x14ac:dyDescent="0.2">
      <c r="A167" s="32" t="str">
        <f t="shared" si="98"/>
        <v>Total LTD &amp; Deferrals</v>
      </c>
      <c r="B167" s="72">
        <f>B54/B$38</f>
        <v>0.28779070645500443</v>
      </c>
      <c r="C167" s="66">
        <f t="shared" ref="C167:H167" si="111">C54/C$38</f>
        <v>0.32757360636537641</v>
      </c>
      <c r="D167" s="191">
        <f t="shared" ca="1" si="111"/>
        <v>0.33588373727039122</v>
      </c>
      <c r="E167" s="66">
        <f t="shared" ca="1" si="111"/>
        <v>0.33442283575643084</v>
      </c>
      <c r="F167" s="66">
        <f t="shared" ca="1" si="111"/>
        <v>0.33570511677900011</v>
      </c>
      <c r="G167" s="66">
        <f t="shared" ca="1" si="111"/>
        <v>0.33903137330788669</v>
      </c>
      <c r="H167" s="66">
        <f t="shared" ca="1" si="111"/>
        <v>0.34454219481155418</v>
      </c>
      <c r="I167" s="66" t="e">
        <f t="shared" ref="I167" si="112">I54/I$38</f>
        <v>#REF!</v>
      </c>
      <c r="J167" s="182">
        <f ca="1">SUM(C54:H54)/SUM(C$38:H$38)</f>
        <v>0.33636321319195295</v>
      </c>
    </row>
    <row r="168" spans="1:10" s="7" customFormat="1" hidden="1" x14ac:dyDescent="0.2">
      <c r="A168" s="32"/>
      <c r="B168" s="72"/>
      <c r="C168" s="66"/>
      <c r="D168" s="191"/>
      <c r="E168" s="66"/>
      <c r="F168" s="66"/>
      <c r="G168" s="66"/>
      <c r="H168" s="32"/>
      <c r="I168" s="32"/>
      <c r="J168" s="66"/>
    </row>
    <row r="169" spans="1:10" s="7" customFormat="1" hidden="1" x14ac:dyDescent="0.2">
      <c r="A169" s="32" t="str">
        <f t="shared" si="98"/>
        <v>Total Liabilities</v>
      </c>
      <c r="B169" s="72">
        <f t="shared" ref="B169:H169" si="113">B56/B$38</f>
        <v>0.39978734224592899</v>
      </c>
      <c r="C169" s="66">
        <f t="shared" si="113"/>
        <v>0.42618321092667488</v>
      </c>
      <c r="D169" s="191">
        <f t="shared" ca="1" si="113"/>
        <v>0.43124199747527781</v>
      </c>
      <c r="E169" s="66">
        <f t="shared" ca="1" si="113"/>
        <v>0.43073734765117955</v>
      </c>
      <c r="F169" s="66">
        <f t="shared" ca="1" si="113"/>
        <v>0.43183190133714</v>
      </c>
      <c r="G169" s="66">
        <f t="shared" ca="1" si="113"/>
        <v>0.43517864547911328</v>
      </c>
      <c r="H169" s="66">
        <f t="shared" ca="1" si="113"/>
        <v>0.44088320736330638</v>
      </c>
      <c r="I169" s="66" t="e">
        <f t="shared" ref="I169" si="114">I56/I$38</f>
        <v>#REF!</v>
      </c>
      <c r="J169" s="66">
        <f ca="1">SUM(C56:H56)/SUM(C$38:H$38)</f>
        <v>0.43282685240469576</v>
      </c>
    </row>
    <row r="170" spans="1:10" s="7" customFormat="1" hidden="1" x14ac:dyDescent="0.2">
      <c r="A170" s="32"/>
      <c r="B170" s="72"/>
      <c r="C170" s="66"/>
      <c r="D170" s="191"/>
      <c r="E170" s="66"/>
      <c r="F170" s="66"/>
      <c r="G170" s="66"/>
      <c r="H170" s="32"/>
      <c r="I170" s="32"/>
      <c r="J170" s="66"/>
    </row>
    <row r="171" spans="1:10" s="7" customFormat="1" hidden="1" x14ac:dyDescent="0.2">
      <c r="A171" s="32" t="str">
        <f t="shared" si="98"/>
        <v>Preferred Stock</v>
      </c>
      <c r="B171" s="72">
        <f t="shared" ref="B171:H171" si="115">B58/B$38</f>
        <v>0</v>
      </c>
      <c r="C171" s="66">
        <f t="shared" si="115"/>
        <v>0</v>
      </c>
      <c r="D171" s="191">
        <f t="shared" ca="1" si="115"/>
        <v>0</v>
      </c>
      <c r="E171" s="66">
        <f t="shared" ca="1" si="115"/>
        <v>0</v>
      </c>
      <c r="F171" s="66">
        <f t="shared" ca="1" si="115"/>
        <v>0</v>
      </c>
      <c r="G171" s="66">
        <f t="shared" ca="1" si="115"/>
        <v>0</v>
      </c>
      <c r="H171" s="66">
        <f t="shared" ca="1" si="115"/>
        <v>0</v>
      </c>
      <c r="I171" s="66" t="e">
        <f t="shared" ref="I171" si="116">I58/I$38</f>
        <v>#REF!</v>
      </c>
      <c r="J171" s="66">
        <f ca="1">SUM(C58:H58)/SUM(C$38:H$38)</f>
        <v>0</v>
      </c>
    </row>
    <row r="172" spans="1:10" s="7" customFormat="1" hidden="1" x14ac:dyDescent="0.2">
      <c r="A172" s="32"/>
      <c r="B172" s="72"/>
      <c r="C172" s="66"/>
      <c r="D172" s="191"/>
      <c r="E172" s="66"/>
      <c r="F172" s="66"/>
      <c r="G172" s="66"/>
      <c r="H172" s="32"/>
      <c r="I172" s="32"/>
      <c r="J172" s="66"/>
    </row>
    <row r="173" spans="1:10" s="7" customFormat="1" hidden="1" x14ac:dyDescent="0.2">
      <c r="A173" s="32" t="str">
        <f t="shared" si="98"/>
        <v>Common Equity:</v>
      </c>
      <c r="B173" s="72"/>
      <c r="C173" s="66"/>
      <c r="D173" s="191"/>
      <c r="E173" s="66"/>
      <c r="F173" s="66"/>
      <c r="G173" s="66"/>
      <c r="H173" s="32"/>
      <c r="I173" s="32"/>
      <c r="J173" s="66"/>
    </row>
    <row r="174" spans="1:10" s="7" customFormat="1" hidden="1" x14ac:dyDescent="0.2">
      <c r="A174" s="32" t="str">
        <f t="shared" si="98"/>
        <v>Patrons Capital</v>
      </c>
      <c r="B174" s="72">
        <f t="shared" ref="B174:H174" si="117">B61/B$38</f>
        <v>0.60021265775407096</v>
      </c>
      <c r="C174" s="66">
        <f t="shared" si="117"/>
        <v>0.57381678907332512</v>
      </c>
      <c r="D174" s="191">
        <f t="shared" ca="1" si="117"/>
        <v>0.55464148213790543</v>
      </c>
      <c r="E174" s="66">
        <f t="shared" ca="1" si="117"/>
        <v>0.54388377093620333</v>
      </c>
      <c r="F174" s="66">
        <f t="shared" ca="1" si="117"/>
        <v>0.53394727623795724</v>
      </c>
      <c r="G174" s="66">
        <f t="shared" ca="1" si="117"/>
        <v>0.52421534947556314</v>
      </c>
      <c r="H174" s="66">
        <f t="shared" ca="1" si="117"/>
        <v>0.51464088671367847</v>
      </c>
      <c r="I174" s="66" t="e">
        <f t="shared" ref="I174" si="118">I61/I$38</f>
        <v>#REF!</v>
      </c>
      <c r="J174" s="66">
        <f ca="1">SUM(C61:H61)/SUM(C$38:H$38)</f>
        <v>0.54015752977297371</v>
      </c>
    </row>
    <row r="175" spans="1:10" s="7" customFormat="1" hidden="1" x14ac:dyDescent="0.2">
      <c r="A175" s="32" t="str">
        <f t="shared" si="98"/>
        <v>Retained Earnings</v>
      </c>
      <c r="B175" s="68">
        <f t="shared" ref="B175:H175" si="119">B62/B$38</f>
        <v>0</v>
      </c>
      <c r="C175" s="192">
        <f t="shared" si="119"/>
        <v>0</v>
      </c>
      <c r="D175" s="193">
        <f t="shared" ca="1" si="119"/>
        <v>1.4116520336930742E-2</v>
      </c>
      <c r="E175" s="192">
        <f t="shared" ca="1" si="119"/>
        <v>2.5378881355344926E-2</v>
      </c>
      <c r="F175" s="192">
        <f t="shared" ca="1" si="119"/>
        <v>3.4220822290816355E-2</v>
      </c>
      <c r="G175" s="192">
        <f t="shared" ca="1" si="119"/>
        <v>4.06060048340844E-2</v>
      </c>
      <c r="H175" s="192">
        <f t="shared" ca="1" si="119"/>
        <v>4.447590558395275E-2</v>
      </c>
      <c r="I175" s="192" t="e">
        <f t="shared" ref="I175" ca="1" si="120">I62/I$38</f>
        <v>#REF!</v>
      </c>
      <c r="J175" s="66">
        <f ca="1">SUM(C62:H62)/SUM(C$38:H$38)</f>
        <v>2.7015617686556179E-2</v>
      </c>
    </row>
    <row r="176" spans="1:10" s="7" customFormat="1" hidden="1" x14ac:dyDescent="0.2">
      <c r="A176" s="32" t="str">
        <f t="shared" si="98"/>
        <v>Total Patronage Equity</v>
      </c>
      <c r="B176" s="72">
        <f t="shared" ref="B176:H176" si="121">B63/B$38</f>
        <v>0.60021265775407096</v>
      </c>
      <c r="C176" s="72">
        <f t="shared" si="121"/>
        <v>0.57381678907332512</v>
      </c>
      <c r="D176" s="191">
        <f t="shared" ca="1" si="121"/>
        <v>0.56875800247483621</v>
      </c>
      <c r="E176" s="72">
        <f t="shared" ca="1" si="121"/>
        <v>0.56926265229154827</v>
      </c>
      <c r="F176" s="72">
        <f t="shared" ca="1" si="121"/>
        <v>0.56816809852877359</v>
      </c>
      <c r="G176" s="72">
        <f t="shared" ca="1" si="121"/>
        <v>0.56482135430964753</v>
      </c>
      <c r="H176" s="72">
        <f t="shared" ca="1" si="121"/>
        <v>0.55911679229763123</v>
      </c>
      <c r="I176" s="72" t="e">
        <f t="shared" ref="I176" ca="1" si="122">I63/I$38</f>
        <v>#REF!</v>
      </c>
      <c r="J176" s="182">
        <f ca="1">SUM(C63:H63)/SUM(C$38:H$38)</f>
        <v>0.56717314745952996</v>
      </c>
    </row>
    <row r="177" spans="1:20" s="7" customFormat="1" ht="13.5" hidden="1" thickBot="1" x14ac:dyDescent="0.25">
      <c r="A177" s="32" t="str">
        <f t="shared" si="98"/>
        <v>Total Liabilities &amp; Equity</v>
      </c>
      <c r="B177" s="143">
        <f t="shared" ref="B177:H177" si="123">B64/B$38</f>
        <v>1</v>
      </c>
      <c r="C177" s="194">
        <f t="shared" si="123"/>
        <v>1</v>
      </c>
      <c r="D177" s="195">
        <f t="shared" ca="1" si="123"/>
        <v>0.99999999995011402</v>
      </c>
      <c r="E177" s="194">
        <f t="shared" ca="1" si="123"/>
        <v>0.99999999994272781</v>
      </c>
      <c r="F177" s="194">
        <f t="shared" ca="1" si="123"/>
        <v>0.9999999998659137</v>
      </c>
      <c r="G177" s="194">
        <f t="shared" ca="1" si="123"/>
        <v>0.99999999978876086</v>
      </c>
      <c r="H177" s="194">
        <f t="shared" ca="1" si="123"/>
        <v>0.99999999966093767</v>
      </c>
      <c r="I177" s="194" t="e">
        <f t="shared" ref="I177" ca="1" si="124">I64/I$38</f>
        <v>#REF!</v>
      </c>
      <c r="J177" s="66">
        <f ca="1">SUM(C64:H64)/SUM(C$38:H$38)</f>
        <v>0.99999999986422583</v>
      </c>
    </row>
    <row r="178" spans="1:20" s="7" customFormat="1" ht="13.5" hidden="1" thickTop="1" x14ac:dyDescent="0.2">
      <c r="A178" s="32"/>
      <c r="B178" s="81"/>
      <c r="C178" s="32"/>
      <c r="D178" s="190"/>
      <c r="E178" s="32"/>
      <c r="F178" s="32"/>
      <c r="G178" s="32"/>
      <c r="H178" s="32"/>
      <c r="I178" s="32"/>
      <c r="J178" s="176"/>
      <c r="L178" s="51">
        <v>2005</v>
      </c>
      <c r="M178" s="51">
        <f t="shared" ref="M178:T178" si="125">L178+1</f>
        <v>2006</v>
      </c>
      <c r="N178" s="51">
        <f t="shared" si="125"/>
        <v>2007</v>
      </c>
      <c r="O178" s="51">
        <f t="shared" si="125"/>
        <v>2008</v>
      </c>
      <c r="P178" s="51">
        <f t="shared" si="125"/>
        <v>2009</v>
      </c>
      <c r="Q178" s="51">
        <f t="shared" si="125"/>
        <v>2010</v>
      </c>
      <c r="R178" s="51">
        <f t="shared" si="125"/>
        <v>2011</v>
      </c>
      <c r="S178" s="51">
        <f t="shared" si="125"/>
        <v>2012</v>
      </c>
      <c r="T178" s="51">
        <f t="shared" si="125"/>
        <v>2013</v>
      </c>
    </row>
    <row r="179" spans="1:20" s="7" customFormat="1" hidden="1" x14ac:dyDescent="0.2">
      <c r="A179" s="32"/>
      <c r="B179" s="81"/>
      <c r="C179" s="32"/>
      <c r="D179" s="32"/>
      <c r="E179" s="32"/>
      <c r="F179" s="32"/>
      <c r="G179" s="32"/>
      <c r="H179" s="32"/>
      <c r="I179" s="32"/>
      <c r="J179" s="66"/>
      <c r="L179" s="3" t="e">
        <f>+Historical!#REF!-Historical!#REF!</f>
        <v>#REF!</v>
      </c>
      <c r="M179" s="3" t="e">
        <f>+Historical!#REF!-Historical!#REF!</f>
        <v>#REF!</v>
      </c>
      <c r="N179" s="3" t="e">
        <f>+Historical!#REF!-Historical!#REF!</f>
        <v>#REF!</v>
      </c>
      <c r="O179" s="3" t="e">
        <f>+Historical!#REF!-Historical!#REF!</f>
        <v>#REF!</v>
      </c>
      <c r="P179" s="10">
        <f ca="1">D176-C176</f>
        <v>-5.0587865984889069E-3</v>
      </c>
      <c r="Q179" s="10">
        <f ca="1">E176-D176</f>
        <v>5.04649816712055E-4</v>
      </c>
      <c r="R179" s="10">
        <f ca="1">F176-E176</f>
        <v>-1.0945537627746749E-3</v>
      </c>
      <c r="S179" s="10">
        <f ca="1">G176-F176</f>
        <v>-3.3467442191260632E-3</v>
      </c>
      <c r="T179" s="10">
        <f ca="1">H176-G176</f>
        <v>-5.704562012016301E-3</v>
      </c>
    </row>
    <row r="180" spans="1:20" s="7" customFormat="1" ht="15" hidden="1" x14ac:dyDescent="0.2">
      <c r="A180" s="32"/>
      <c r="B180" s="81"/>
      <c r="C180" s="32"/>
      <c r="D180" s="32"/>
      <c r="E180" s="32"/>
      <c r="F180" s="32"/>
      <c r="G180" s="32"/>
      <c r="H180" s="32"/>
      <c r="I180" s="32"/>
      <c r="J180" s="179" t="str">
        <f>J117</f>
        <v>Exhibit 2</v>
      </c>
    </row>
    <row r="181" spans="1:20" s="7" customFormat="1" ht="15" hidden="1" x14ac:dyDescent="0.2">
      <c r="A181" s="32"/>
      <c r="B181" s="81"/>
      <c r="C181" s="32"/>
      <c r="D181" s="32"/>
      <c r="E181" s="32"/>
      <c r="F181" s="32"/>
      <c r="G181" s="32"/>
      <c r="H181" s="32"/>
      <c r="I181" s="32"/>
      <c r="J181" s="179" t="s">
        <v>136</v>
      </c>
      <c r="N181" s="10" t="e">
        <f>AVERAGE(L179:O179)</f>
        <v>#REF!</v>
      </c>
      <c r="R181" s="10">
        <f ca="1">AVERAGE(P179:T179)</f>
        <v>-2.9399993551387782E-3</v>
      </c>
    </row>
    <row r="182" spans="1:20" s="7" customFormat="1" ht="18" hidden="1" x14ac:dyDescent="0.25">
      <c r="A182" s="84" t="str">
        <f>A3</f>
        <v>Mt. Wheeler Power, Inc.</v>
      </c>
      <c r="B182" s="186"/>
      <c r="C182" s="63"/>
      <c r="D182" s="63"/>
      <c r="E182" s="63"/>
      <c r="F182" s="63"/>
      <c r="G182" s="63"/>
      <c r="H182" s="63"/>
      <c r="I182" s="63"/>
      <c r="J182" s="64"/>
    </row>
    <row r="183" spans="1:20" s="7" customFormat="1" ht="15.75" hidden="1" x14ac:dyDescent="0.25">
      <c r="A183" s="85" t="s">
        <v>61</v>
      </c>
      <c r="B183" s="186"/>
      <c r="C183" s="63"/>
      <c r="D183" s="63"/>
      <c r="E183" s="63"/>
      <c r="F183" s="63"/>
      <c r="G183" s="63"/>
      <c r="H183" s="63"/>
      <c r="I183" s="63"/>
      <c r="J183" s="64"/>
    </row>
    <row r="184" spans="1:20" s="7" customFormat="1" ht="15.75" hidden="1" x14ac:dyDescent="0.25">
      <c r="A184" s="85" t="s">
        <v>60</v>
      </c>
      <c r="B184" s="186"/>
      <c r="C184" s="63"/>
      <c r="D184" s="63"/>
      <c r="E184" s="63"/>
      <c r="F184" s="63"/>
      <c r="G184" s="63"/>
      <c r="H184" s="63"/>
      <c r="I184" s="63"/>
      <c r="J184" s="64"/>
    </row>
    <row r="185" spans="1:20" s="7" customFormat="1" ht="15.75" hidden="1" x14ac:dyDescent="0.25">
      <c r="A185" s="85"/>
      <c r="B185" s="186"/>
      <c r="C185" s="63"/>
      <c r="D185" s="63"/>
      <c r="E185" s="63"/>
      <c r="F185" s="63"/>
      <c r="G185" s="63"/>
      <c r="H185" s="63"/>
      <c r="I185" s="63"/>
      <c r="J185" s="64"/>
    </row>
    <row r="186" spans="1:20" s="7" customFormat="1" hidden="1" x14ac:dyDescent="0.2">
      <c r="A186" s="32"/>
      <c r="B186" s="81"/>
      <c r="C186" s="32"/>
      <c r="D186" s="32"/>
      <c r="E186" s="32"/>
      <c r="F186" s="32"/>
      <c r="G186" s="32"/>
      <c r="H186" s="32"/>
      <c r="I186" s="32"/>
      <c r="J186" s="66"/>
    </row>
    <row r="187" spans="1:20" s="7" customFormat="1" hidden="1" x14ac:dyDescent="0.2">
      <c r="A187" s="32"/>
      <c r="B187" s="156" t="s">
        <v>22</v>
      </c>
      <c r="C187" s="156" t="s">
        <v>22</v>
      </c>
      <c r="D187" s="187" t="s">
        <v>63</v>
      </c>
      <c r="E187" s="86" t="s">
        <v>63</v>
      </c>
      <c r="F187" s="86" t="s">
        <v>63</v>
      </c>
      <c r="G187" s="86" t="s">
        <v>63</v>
      </c>
      <c r="H187" s="86" t="s">
        <v>63</v>
      </c>
      <c r="I187" s="86" t="s">
        <v>63</v>
      </c>
      <c r="J187" s="87" t="s">
        <v>63</v>
      </c>
    </row>
    <row r="188" spans="1:20" s="7" customFormat="1" hidden="1" x14ac:dyDescent="0.2">
      <c r="A188" s="88" t="s">
        <v>1</v>
      </c>
      <c r="B188" s="188" t="s">
        <v>147</v>
      </c>
      <c r="C188" s="94">
        <f t="shared" ref="C188:H188" si="126">C9</f>
        <v>2013</v>
      </c>
      <c r="D188" s="189">
        <f t="shared" si="126"/>
        <v>2014</v>
      </c>
      <c r="E188" s="94">
        <f t="shared" si="126"/>
        <v>2015</v>
      </c>
      <c r="F188" s="94">
        <f t="shared" si="126"/>
        <v>2016</v>
      </c>
      <c r="G188" s="94">
        <f t="shared" si="126"/>
        <v>2017</v>
      </c>
      <c r="H188" s="94">
        <f t="shared" si="126"/>
        <v>2018</v>
      </c>
      <c r="I188" s="94">
        <f t="shared" ref="I188" si="127">I9</f>
        <v>2019</v>
      </c>
      <c r="J188" s="95" t="s">
        <v>5</v>
      </c>
    </row>
    <row r="189" spans="1:20" s="7" customFormat="1" hidden="1" x14ac:dyDescent="0.2">
      <c r="A189" s="32" t="s">
        <v>33</v>
      </c>
      <c r="B189" s="72"/>
      <c r="C189" s="66"/>
      <c r="D189" s="191"/>
      <c r="E189" s="66"/>
      <c r="F189" s="66"/>
      <c r="G189" s="66"/>
      <c r="H189" s="66"/>
      <c r="I189" s="66"/>
      <c r="J189" s="66"/>
    </row>
    <row r="190" spans="1:20" s="7" customFormat="1" hidden="1" x14ac:dyDescent="0.2">
      <c r="A190" s="32" t="str">
        <f>A79</f>
        <v>Operating Revenues</v>
      </c>
      <c r="B190" s="72">
        <f t="shared" ref="B190:H191" si="128">B79/B$81</f>
        <v>1</v>
      </c>
      <c r="C190" s="72">
        <f t="shared" ref="C190:H190" si="129">C79/C$81</f>
        <v>1</v>
      </c>
      <c r="D190" s="191">
        <f t="shared" si="129"/>
        <v>1</v>
      </c>
      <c r="E190" s="72">
        <f t="shared" si="129"/>
        <v>1</v>
      </c>
      <c r="F190" s="72">
        <f t="shared" si="129"/>
        <v>1</v>
      </c>
      <c r="G190" s="72">
        <f t="shared" si="129"/>
        <v>1</v>
      </c>
      <c r="H190" s="72">
        <f t="shared" si="129"/>
        <v>1</v>
      </c>
      <c r="I190" s="72">
        <f t="shared" ref="I190" si="130">I79/I$81</f>
        <v>1</v>
      </c>
      <c r="J190" s="72">
        <f>SUM(C79:H79)/SUM(C$81:H$81)</f>
        <v>1</v>
      </c>
    </row>
    <row r="191" spans="1:20" s="7" customFormat="1" hidden="1" x14ac:dyDescent="0.2">
      <c r="A191" s="32" t="str">
        <f>A80</f>
        <v xml:space="preserve">      Additional Revenue Requirements</v>
      </c>
      <c r="B191" s="68">
        <f t="shared" si="128"/>
        <v>0</v>
      </c>
      <c r="C191" s="192">
        <f>C80/C$81</f>
        <v>0</v>
      </c>
      <c r="D191" s="193">
        <f t="shared" si="128"/>
        <v>0</v>
      </c>
      <c r="E191" s="192">
        <f t="shared" si="128"/>
        <v>0</v>
      </c>
      <c r="F191" s="192">
        <f t="shared" si="128"/>
        <v>0</v>
      </c>
      <c r="G191" s="192">
        <f t="shared" si="128"/>
        <v>0</v>
      </c>
      <c r="H191" s="192">
        <f t="shared" si="128"/>
        <v>0</v>
      </c>
      <c r="I191" s="192">
        <f t="shared" ref="I191" si="131">I80/I$81</f>
        <v>0</v>
      </c>
      <c r="J191" s="66">
        <f>SUM(C80:H80)/SUM(C$81:H$81)</f>
        <v>0</v>
      </c>
    </row>
    <row r="192" spans="1:20" s="7" customFormat="1" hidden="1" x14ac:dyDescent="0.2">
      <c r="A192" s="32" t="str">
        <f>A81</f>
        <v>Total Revenues</v>
      </c>
      <c r="B192" s="72">
        <f t="shared" ref="B192:H192" si="132">B81/B$81</f>
        <v>1</v>
      </c>
      <c r="C192" s="66">
        <f t="shared" si="132"/>
        <v>1</v>
      </c>
      <c r="D192" s="191">
        <f t="shared" si="132"/>
        <v>1</v>
      </c>
      <c r="E192" s="66">
        <f t="shared" si="132"/>
        <v>1</v>
      </c>
      <c r="F192" s="66">
        <f t="shared" si="132"/>
        <v>1</v>
      </c>
      <c r="G192" s="66">
        <f t="shared" si="132"/>
        <v>1</v>
      </c>
      <c r="H192" s="66">
        <f t="shared" si="132"/>
        <v>1</v>
      </c>
      <c r="I192" s="66">
        <f t="shared" ref="I192" si="133">I81/I$81</f>
        <v>1</v>
      </c>
      <c r="J192" s="182">
        <f>SUM(C81:H81)/SUM(C$81:H$81)</f>
        <v>1</v>
      </c>
    </row>
    <row r="193" spans="1:10" s="7" customFormat="1" hidden="1" x14ac:dyDescent="0.2">
      <c r="A193" s="32"/>
      <c r="B193" s="72"/>
      <c r="C193" s="66"/>
      <c r="D193" s="191"/>
      <c r="E193" s="66"/>
      <c r="F193" s="66"/>
      <c r="G193" s="66"/>
      <c r="H193" s="66"/>
      <c r="I193" s="66"/>
      <c r="J193" s="72"/>
    </row>
    <row r="194" spans="1:10" s="7" customFormat="1" hidden="1" x14ac:dyDescent="0.2">
      <c r="A194" s="32" t="s">
        <v>32</v>
      </c>
      <c r="B194" s="72"/>
      <c r="C194" s="66"/>
      <c r="D194" s="191"/>
      <c r="E194" s="66"/>
      <c r="F194" s="66"/>
      <c r="G194" s="66"/>
      <c r="H194" s="66"/>
      <c r="I194" s="66"/>
      <c r="J194" s="66"/>
    </row>
    <row r="195" spans="1:10" s="7" customFormat="1" hidden="1" x14ac:dyDescent="0.2">
      <c r="A195" s="32" t="str">
        <f>A84</f>
        <v>Cost of Purchased Power</v>
      </c>
      <c r="B195" s="72">
        <f>B84/$B$81</f>
        <v>0.70762104146821936</v>
      </c>
      <c r="C195" s="66">
        <f t="shared" ref="C195:H198" si="134">C84/C$81</f>
        <v>0.71243318900397434</v>
      </c>
      <c r="D195" s="191">
        <f t="shared" si="134"/>
        <v>0.71336370892272893</v>
      </c>
      <c r="E195" s="66">
        <f t="shared" si="134"/>
        <v>0.71429544420782609</v>
      </c>
      <c r="F195" s="66">
        <f t="shared" si="134"/>
        <v>0.71522839644667446</v>
      </c>
      <c r="G195" s="66">
        <f t="shared" si="134"/>
        <v>0.71616256722875593</v>
      </c>
      <c r="H195" s="66">
        <f t="shared" si="134"/>
        <v>0.71709795814562849</v>
      </c>
      <c r="I195" s="66">
        <f t="shared" ref="I195" si="135">I84/I$81</f>
        <v>0.71803457079092881</v>
      </c>
      <c r="J195" s="66">
        <f>SUM(C84:H84)/SUM(C$81:H$81)</f>
        <v>0.71481520018904898</v>
      </c>
    </row>
    <row r="196" spans="1:10" s="7" customFormat="1" hidden="1" x14ac:dyDescent="0.2">
      <c r="A196" s="32" t="str">
        <f>A85</f>
        <v>Administrative and General Expenses</v>
      </c>
      <c r="B196" s="72">
        <f>B85/$B$81</f>
        <v>5.5555120981319192E-2</v>
      </c>
      <c r="C196" s="66">
        <f t="shared" si="134"/>
        <v>5.4368396669771848E-2</v>
      </c>
      <c r="D196" s="191">
        <f t="shared" si="134"/>
        <v>5.5279778853774095E-2</v>
      </c>
      <c r="E196" s="66">
        <f t="shared" si="134"/>
        <v>5.6206438616961951E-2</v>
      </c>
      <c r="F196" s="66">
        <f t="shared" si="134"/>
        <v>5.7148632058730227E-2</v>
      </c>
      <c r="G196" s="66">
        <f t="shared" si="134"/>
        <v>5.8106619571490284E-2</v>
      </c>
      <c r="H196" s="66">
        <f t="shared" si="134"/>
        <v>5.9080665912634209E-2</v>
      </c>
      <c r="I196" s="66">
        <f t="shared" ref="I196" si="136">I85/I$81</f>
        <v>6.0071040277705406E-2</v>
      </c>
      <c r="J196" s="66">
        <f>SUM(C85:H85)/SUM(C$81:H$81)</f>
        <v>5.6750609372467641E-2</v>
      </c>
    </row>
    <row r="197" spans="1:10" s="7" customFormat="1" hidden="1" x14ac:dyDescent="0.2">
      <c r="A197" s="32" t="str">
        <f>A86</f>
        <v xml:space="preserve">   Operating and Maintenance</v>
      </c>
      <c r="B197" s="72">
        <f>B86/$B$81</f>
        <v>5.1404512326520435E-2</v>
      </c>
      <c r="C197" s="66">
        <f t="shared" si="134"/>
        <v>5.6310150360110847E-2</v>
      </c>
      <c r="D197" s="191">
        <f t="shared" si="134"/>
        <v>5.751280685502113E-2</v>
      </c>
      <c r="E197" s="66">
        <f t="shared" si="134"/>
        <v>5.874114935210864E-2</v>
      </c>
      <c r="F197" s="66">
        <f t="shared" si="134"/>
        <v>5.9995726445847906E-2</v>
      </c>
      <c r="G197" s="66">
        <f t="shared" si="134"/>
        <v>6.1277098447441294E-2</v>
      </c>
      <c r="H197" s="66">
        <f t="shared" si="134"/>
        <v>6.2585837635061661E-2</v>
      </c>
      <c r="I197" s="66">
        <f t="shared" ref="I197" si="137">I86/I$81</f>
        <v>6.3922528509439566E-2</v>
      </c>
      <c r="J197" s="66">
        <f>SUM(C86:H86)/SUM(C$81:H$81)</f>
        <v>5.947329761830062E-2</v>
      </c>
    </row>
    <row r="198" spans="1:10" s="7" customFormat="1" hidden="1" x14ac:dyDescent="0.2">
      <c r="A198" s="32" t="str">
        <f>A87</f>
        <v xml:space="preserve">   Depreciation and amortization</v>
      </c>
      <c r="B198" s="72">
        <f>B87/$B$81</f>
        <v>5.0953927980224183E-2</v>
      </c>
      <c r="C198" s="66">
        <f t="shared" si="134"/>
        <v>5.095670242894846E-2</v>
      </c>
      <c r="D198" s="191">
        <f t="shared" si="134"/>
        <v>5.0998258613421443E-2</v>
      </c>
      <c r="E198" s="66">
        <f t="shared" si="134"/>
        <v>5.1039848687773212E-2</v>
      </c>
      <c r="F198" s="66">
        <f t="shared" si="134"/>
        <v>5.1081472679641617E-2</v>
      </c>
      <c r="G198" s="66">
        <f t="shared" si="134"/>
        <v>5.1123130616687038E-2</v>
      </c>
      <c r="H198" s="66">
        <f t="shared" si="134"/>
        <v>5.1164822526592442E-2</v>
      </c>
      <c r="I198" s="66">
        <f t="shared" ref="I198" si="138">I87/I$81</f>
        <v>5.1206548437063355E-2</v>
      </c>
      <c r="J198" s="66">
        <f>SUM(C87:H87)/SUM(C$81:H$81)</f>
        <v>5.1063010571509054E-2</v>
      </c>
    </row>
    <row r="199" spans="1:10" s="7" customFormat="1" hidden="1" x14ac:dyDescent="0.2">
      <c r="A199" s="32" t="str">
        <f>A88</f>
        <v xml:space="preserve">   Sales Expense</v>
      </c>
      <c r="B199" s="72">
        <f>B88/$B$81</f>
        <v>1.996443918530605E-3</v>
      </c>
      <c r="C199" s="66">
        <f t="shared" ref="C199:H199" si="139">C88/C$81</f>
        <v>1.6557331685873972E-3</v>
      </c>
      <c r="D199" s="191">
        <f t="shared" si="139"/>
        <v>1.6895752836506347E-3</v>
      </c>
      <c r="E199" s="66">
        <f t="shared" si="139"/>
        <v>1.7241091096572066E-3</v>
      </c>
      <c r="F199" s="66">
        <f t="shared" si="139"/>
        <v>1.7593487847314068E-3</v>
      </c>
      <c r="G199" s="66">
        <f t="shared" si="139"/>
        <v>1.7953087359716448E-3</v>
      </c>
      <c r="H199" s="66">
        <f t="shared" si="139"/>
        <v>1.8320036853568913E-3</v>
      </c>
      <c r="I199" s="66">
        <f t="shared" ref="I199" si="140">I88/I$81</f>
        <v>1.8694486557738444E-3</v>
      </c>
      <c r="J199" s="66">
        <f>SUM(C88:H88)/SUM(C$81:H$81)</f>
        <v>1.7446319742480646E-3</v>
      </c>
    </row>
    <row r="200" spans="1:10" s="7" customFormat="1" hidden="1" x14ac:dyDescent="0.2">
      <c r="A200" s="32" t="str">
        <f t="shared" ref="A200" si="141">A93</f>
        <v xml:space="preserve">   Taxes, other than income taxes</v>
      </c>
      <c r="B200" s="68">
        <f t="shared" ref="B200" si="142">B93/$B$81</f>
        <v>1.1775401288812862E-2</v>
      </c>
      <c r="C200" s="192">
        <f t="shared" ref="C200:H200" si="143">C93/C$81</f>
        <v>1.2689194154110354E-2</v>
      </c>
      <c r="D200" s="193">
        <f t="shared" si="143"/>
        <v>1.2699542439378953E-2</v>
      </c>
      <c r="E200" s="192">
        <f t="shared" si="143"/>
        <v>1.2709899163875977E-2</v>
      </c>
      <c r="F200" s="192">
        <f t="shared" si="143"/>
        <v>1.2720264334483783E-2</v>
      </c>
      <c r="G200" s="192">
        <f t="shared" si="143"/>
        <v>1.2730637958090337E-2</v>
      </c>
      <c r="H200" s="192">
        <f t="shared" si="143"/>
        <v>1.2741020041589226E-2</v>
      </c>
      <c r="I200" s="192">
        <f t="shared" ref="I200" si="144">I93/I$81</f>
        <v>1.2751410591879654E-2</v>
      </c>
      <c r="J200" s="66">
        <f>SUM(C93:H93)/SUM(C$81:H$81)</f>
        <v>1.2715666916216483E-2</v>
      </c>
    </row>
    <row r="201" spans="1:10" s="7" customFormat="1" hidden="1" x14ac:dyDescent="0.2">
      <c r="A201" s="32" t="s">
        <v>57</v>
      </c>
      <c r="B201" s="141">
        <f t="shared" ref="B201:H201" si="145">B94/B$81</f>
        <v>0.91866882918708026</v>
      </c>
      <c r="C201" s="192">
        <f t="shared" si="145"/>
        <v>0.92963082506232297</v>
      </c>
      <c r="D201" s="193">
        <f t="shared" si="145"/>
        <v>0.93301147792343575</v>
      </c>
      <c r="E201" s="192">
        <f t="shared" si="145"/>
        <v>0.93644180441560176</v>
      </c>
      <c r="F201" s="192">
        <f t="shared" si="145"/>
        <v>0.93992282884802292</v>
      </c>
      <c r="G201" s="192">
        <f t="shared" si="145"/>
        <v>0.94345559799706347</v>
      </c>
      <c r="H201" s="192">
        <f t="shared" si="145"/>
        <v>0.94704118162090123</v>
      </c>
      <c r="I201" s="192">
        <f t="shared" ref="I201" si="146">I94/I$81</f>
        <v>0.95068067298650172</v>
      </c>
      <c r="J201" s="182">
        <f>SUM(C94:H94)/SUM(C$81:H$81)</f>
        <v>0.93844343080919634</v>
      </c>
    </row>
    <row r="202" spans="1:10" s="7" customFormat="1" hidden="1" x14ac:dyDescent="0.2">
      <c r="A202" s="32" t="s">
        <v>19</v>
      </c>
      <c r="B202" s="72">
        <f t="shared" ref="B202:H202" si="147">B96/B$81</f>
        <v>8.1331170812919698E-2</v>
      </c>
      <c r="C202" s="66">
        <f t="shared" si="147"/>
        <v>7.0369174937677026E-2</v>
      </c>
      <c r="D202" s="191">
        <f t="shared" si="147"/>
        <v>6.6988522076564222E-2</v>
      </c>
      <c r="E202" s="66">
        <f t="shared" si="147"/>
        <v>6.3558195584398278E-2</v>
      </c>
      <c r="F202" s="66">
        <f t="shared" si="147"/>
        <v>6.0077171151977041E-2</v>
      </c>
      <c r="G202" s="66">
        <f t="shared" si="147"/>
        <v>5.6544402002936561E-2</v>
      </c>
      <c r="H202" s="66">
        <f t="shared" si="147"/>
        <v>5.2958818379098785E-2</v>
      </c>
      <c r="I202" s="66">
        <f t="shared" ref="I202" si="148">I96/I$81</f>
        <v>4.931932701349831E-2</v>
      </c>
      <c r="J202" s="182">
        <f>SUM(C96:H96)/SUM(C$81:H$81)</f>
        <v>6.1556569190803524E-2</v>
      </c>
    </row>
    <row r="203" spans="1:10" s="7" customFormat="1" hidden="1" x14ac:dyDescent="0.2">
      <c r="A203" s="32"/>
      <c r="B203" s="72"/>
      <c r="C203" s="66"/>
      <c r="D203" s="191"/>
      <c r="E203" s="66"/>
      <c r="F203" s="66"/>
      <c r="G203" s="66"/>
      <c r="H203" s="66"/>
      <c r="I203" s="66"/>
      <c r="J203" s="66"/>
    </row>
    <row r="204" spans="1:10" s="7" customFormat="1" hidden="1" x14ac:dyDescent="0.2">
      <c r="A204" s="32" t="str">
        <f>A98</f>
        <v>Interest on (Surplus Cash)/Add. Loans</v>
      </c>
      <c r="B204" s="72">
        <f t="shared" ref="B204:C207" si="149">B98/B$81</f>
        <v>0</v>
      </c>
      <c r="C204" s="66">
        <f t="shared" si="149"/>
        <v>0</v>
      </c>
      <c r="D204" s="191">
        <f t="shared" ref="D204:H207" ca="1" si="150">D98/D$81</f>
        <v>1.6242871022717452E-3</v>
      </c>
      <c r="E204" s="66">
        <f t="shared" ca="1" si="150"/>
        <v>4.1988283022923881E-3</v>
      </c>
      <c r="F204" s="66">
        <f t="shared" ca="1" si="150"/>
        <v>6.1218819906280284E-3</v>
      </c>
      <c r="G204" s="66">
        <f t="shared" ca="1" si="150"/>
        <v>8.0040592850424645E-3</v>
      </c>
      <c r="H204" s="66">
        <f t="shared" ca="1" si="150"/>
        <v>9.8602249815066875E-3</v>
      </c>
      <c r="I204" s="66" t="e">
        <f t="shared" ref="I204" si="151">I98/I$81</f>
        <v>#REF!</v>
      </c>
      <c r="J204" s="66">
        <f ca="1">SUM(C98:H98)/SUM(C$81:H$81)</f>
        <v>5.0794915037647818E-3</v>
      </c>
    </row>
    <row r="205" spans="1:10" s="7" customFormat="1" hidden="1" x14ac:dyDescent="0.2">
      <c r="A205" s="32" t="str">
        <f>A99</f>
        <v xml:space="preserve">   Interest expense (net)</v>
      </c>
      <c r="B205" s="72">
        <f t="shared" si="149"/>
        <v>2.2785724757824619E-2</v>
      </c>
      <c r="C205" s="66">
        <f t="shared" si="149"/>
        <v>2.5925902370601918E-2</v>
      </c>
      <c r="D205" s="191">
        <f t="shared" si="150"/>
        <v>2.64114169636556E-2</v>
      </c>
      <c r="E205" s="66">
        <f t="shared" ca="1" si="150"/>
        <v>2.3965099658940291E-2</v>
      </c>
      <c r="F205" s="66">
        <f t="shared" ca="1" si="150"/>
        <v>2.1740561764820455E-2</v>
      </c>
      <c r="G205" s="66">
        <f t="shared" ca="1" si="150"/>
        <v>1.9709396581526914E-2</v>
      </c>
      <c r="H205" s="66">
        <f t="shared" ca="1" si="150"/>
        <v>1.7907230423520284E-2</v>
      </c>
      <c r="I205" s="66">
        <f t="shared" ref="I205" ca="1" si="152">I99/I$81</f>
        <v>1.5751082406278965E-2</v>
      </c>
      <c r="J205" s="66">
        <f ca="1">SUM(C99:H99)/SUM(C$81:H$81)</f>
        <v>2.2510989992266594E-2</v>
      </c>
    </row>
    <row r="206" spans="1:10" s="7" customFormat="1" hidden="1" x14ac:dyDescent="0.2">
      <c r="A206" s="32" t="str">
        <f>A100</f>
        <v xml:space="preserve">   Interest and Other Income</v>
      </c>
      <c r="B206" s="72">
        <f t="shared" si="149"/>
        <v>0</v>
      </c>
      <c r="C206" s="66">
        <f t="shared" si="149"/>
        <v>0</v>
      </c>
      <c r="D206" s="191">
        <f t="shared" ref="D206:I206" si="153">D109/D$81</f>
        <v>1.1000000000000001E-3</v>
      </c>
      <c r="E206" s="66">
        <f t="shared" si="153"/>
        <v>1.1000000000000001E-3</v>
      </c>
      <c r="F206" s="66">
        <f t="shared" si="153"/>
        <v>1.1000000000000001E-3</v>
      </c>
      <c r="G206" s="66">
        <f t="shared" si="153"/>
        <v>1.1000000000000001E-3</v>
      </c>
      <c r="H206" s="66">
        <f t="shared" si="153"/>
        <v>1.1000000000000001E-3</v>
      </c>
      <c r="I206" s="66">
        <f t="shared" si="153"/>
        <v>1.1000000000000001E-3</v>
      </c>
      <c r="J206" s="66">
        <f>SUM(C100:H100)/SUM(C$81:H$81)</f>
        <v>0</v>
      </c>
    </row>
    <row r="207" spans="1:10" s="7" customFormat="1" hidden="1" x14ac:dyDescent="0.2">
      <c r="A207" s="32" t="str">
        <f>A101</f>
        <v xml:space="preserve">   Loss (Gain) on Sale of Assets</v>
      </c>
      <c r="B207" s="72">
        <f t="shared" si="149"/>
        <v>-1.7426624411828462E-3</v>
      </c>
      <c r="C207" s="66">
        <f t="shared" si="149"/>
        <v>3.7158523620601697E-5</v>
      </c>
      <c r="D207" s="191">
        <f t="shared" si="150"/>
        <v>0</v>
      </c>
      <c r="E207" s="66">
        <f t="shared" si="150"/>
        <v>0</v>
      </c>
      <c r="F207" s="66">
        <f t="shared" si="150"/>
        <v>0</v>
      </c>
      <c r="G207" s="66">
        <f t="shared" si="150"/>
        <v>0</v>
      </c>
      <c r="H207" s="66">
        <f t="shared" si="150"/>
        <v>0</v>
      </c>
      <c r="I207" s="66">
        <f t="shared" ref="I207" si="154">I101/I$81</f>
        <v>0</v>
      </c>
      <c r="J207" s="66">
        <f>SUM(C101:H101)/SUM(C$81:H$81)</f>
        <v>5.902874343262385E-6</v>
      </c>
    </row>
    <row r="208" spans="1:10" s="7" customFormat="1" hidden="1" x14ac:dyDescent="0.2">
      <c r="A208" s="32" t="str">
        <f>A102</f>
        <v xml:space="preserve">   Other Income (Expense)</v>
      </c>
      <c r="B208" s="68">
        <f t="shared" ref="B208:H208" si="155">B102/B$81</f>
        <v>-2.7253434331546405E-3</v>
      </c>
      <c r="C208" s="192">
        <f t="shared" si="155"/>
        <v>-2.574361360694491E-3</v>
      </c>
      <c r="D208" s="193">
        <f t="shared" si="155"/>
        <v>-2.659097632968187E-3</v>
      </c>
      <c r="E208" s="192">
        <f t="shared" si="155"/>
        <v>-2.6090844891564426E-3</v>
      </c>
      <c r="F208" s="192">
        <f t="shared" si="155"/>
        <v>-2.5600120082684367E-3</v>
      </c>
      <c r="G208" s="192">
        <f t="shared" si="155"/>
        <v>-2.5118624980203287E-3</v>
      </c>
      <c r="H208" s="192">
        <f t="shared" si="155"/>
        <v>-2.4646185988903111E-3</v>
      </c>
      <c r="I208" s="192">
        <f t="shared" ref="I208" si="156">I102/I$81</f>
        <v>-2.4182632778599169E-3</v>
      </c>
      <c r="J208" s="66">
        <f>SUM(C102:H102)/SUM(C$81:H$81)</f>
        <v>-2.5615153698266106E-3</v>
      </c>
    </row>
    <row r="209" spans="1:10" s="7" customFormat="1" hidden="1" x14ac:dyDescent="0.2">
      <c r="A209" s="32" t="s">
        <v>18</v>
      </c>
      <c r="B209" s="72">
        <f t="shared" ref="B209:H209" si="157">B105/B$81</f>
        <v>6.3013451929432571E-2</v>
      </c>
      <c r="C209" s="72">
        <f t="shared" si="157"/>
        <v>4.6980475404149E-2</v>
      </c>
      <c r="D209" s="191">
        <f t="shared" ca="1" si="157"/>
        <v>4.1611915643605071E-2</v>
      </c>
      <c r="E209" s="72">
        <f t="shared" ca="1" si="157"/>
        <v>3.8003352112322045E-2</v>
      </c>
      <c r="F209" s="72">
        <f t="shared" ca="1" si="157"/>
        <v>3.4774739404796987E-2</v>
      </c>
      <c r="G209" s="72">
        <f t="shared" ca="1" si="157"/>
        <v>3.1342808634387508E-2</v>
      </c>
      <c r="H209" s="72">
        <f t="shared" ca="1" si="157"/>
        <v>2.7655981572962122E-2</v>
      </c>
      <c r="I209" s="72" t="e">
        <f t="shared" ref="I209" si="158">I105/I$81</f>
        <v>#REF!</v>
      </c>
      <c r="J209" s="182">
        <f ca="1">SUM(C105:H105)/SUM(C$81:H$81)</f>
        <v>3.6521700190255503E-2</v>
      </c>
    </row>
    <row r="210" spans="1:10" s="7" customFormat="1" ht="7.5" hidden="1" customHeight="1" x14ac:dyDescent="0.2">
      <c r="A210" s="32"/>
      <c r="B210" s="72"/>
      <c r="C210" s="72"/>
      <c r="D210" s="191"/>
      <c r="E210" s="72"/>
      <c r="F210" s="72"/>
      <c r="G210" s="72"/>
      <c r="H210" s="72"/>
      <c r="I210" s="72"/>
      <c r="J210" s="72"/>
    </row>
    <row r="211" spans="1:10" s="7" customFormat="1" hidden="1" x14ac:dyDescent="0.2">
      <c r="A211" s="32" t="s">
        <v>71</v>
      </c>
      <c r="B211" s="72">
        <f t="shared" ref="B211:H211" si="159">B107/B$81</f>
        <v>2.3251894516506731E-3</v>
      </c>
      <c r="C211" s="72">
        <f t="shared" si="159"/>
        <v>3.1706938320796305E-3</v>
      </c>
      <c r="D211" s="191">
        <f t="shared" si="159"/>
        <v>2.9259578891119398E-3</v>
      </c>
      <c r="E211" s="72">
        <f t="shared" si="159"/>
        <v>2.8709255537508957E-3</v>
      </c>
      <c r="F211" s="72">
        <f t="shared" si="159"/>
        <v>2.8169282838453598E-3</v>
      </c>
      <c r="G211" s="72">
        <f t="shared" si="159"/>
        <v>2.7639466115590102E-3</v>
      </c>
      <c r="H211" s="72">
        <f t="shared" si="159"/>
        <v>2.7119614352127085E-3</v>
      </c>
      <c r="I211" s="72">
        <f t="shared" ref="I211" si="160">I107/I$81</f>
        <v>2.6273761452612608E-3</v>
      </c>
      <c r="J211" s="66">
        <f ca="1">SUM(C105:H105)/SUM(C$81:H$81)</f>
        <v>3.6521700190255503E-2</v>
      </c>
    </row>
    <row r="212" spans="1:10" s="7" customFormat="1" ht="7.5" hidden="1" customHeight="1" x14ac:dyDescent="0.2">
      <c r="A212" s="32"/>
      <c r="B212" s="72"/>
      <c r="C212" s="72"/>
      <c r="D212" s="191"/>
      <c r="E212" s="72"/>
      <c r="F212" s="72"/>
      <c r="G212" s="72"/>
      <c r="H212" s="72"/>
      <c r="I212" s="72"/>
      <c r="J212" s="72"/>
    </row>
    <row r="213" spans="1:10" s="7" customFormat="1" hidden="1" x14ac:dyDescent="0.2">
      <c r="A213" s="32" t="s">
        <v>25</v>
      </c>
      <c r="B213" s="68">
        <f t="shared" ref="B213:H213" si="161">B108/B$81</f>
        <v>0</v>
      </c>
      <c r="C213" s="192">
        <f t="shared" si="161"/>
        <v>0</v>
      </c>
      <c r="D213" s="193">
        <f>D108/D$81</f>
        <v>0</v>
      </c>
      <c r="E213" s="192">
        <f>E108/E$81</f>
        <v>0</v>
      </c>
      <c r="F213" s="192">
        <f t="shared" si="161"/>
        <v>0</v>
      </c>
      <c r="G213" s="192">
        <f t="shared" si="161"/>
        <v>0</v>
      </c>
      <c r="H213" s="192">
        <f t="shared" si="161"/>
        <v>0</v>
      </c>
      <c r="I213" s="192">
        <f t="shared" ref="I213" si="162">I108/I$81</f>
        <v>0</v>
      </c>
      <c r="J213" s="66">
        <f>SUM(C108:H108)/SUM(C$81:H$81)</f>
        <v>0</v>
      </c>
    </row>
    <row r="214" spans="1:10" s="7" customFormat="1" ht="13.5" hidden="1" thickBot="1" x14ac:dyDescent="0.25">
      <c r="A214" s="32" t="s">
        <v>28</v>
      </c>
      <c r="B214" s="143">
        <f t="shared" ref="B214:H214" si="163">B112/B$81</f>
        <v>6.8534243521416668E-2</v>
      </c>
      <c r="C214" s="194">
        <f t="shared" si="163"/>
        <v>5.3972726114768957E-2</v>
      </c>
      <c r="D214" s="195">
        <f t="shared" ca="1" si="163"/>
        <v>4.768088423678344E-2</v>
      </c>
      <c r="E214" s="194">
        <f t="shared" ca="1" si="163"/>
        <v>4.3978862782870748E-2</v>
      </c>
      <c r="F214" s="194">
        <f t="shared" ca="1" si="163"/>
        <v>4.0658549938690815E-2</v>
      </c>
      <c r="G214" s="194">
        <f t="shared" ca="1" si="163"/>
        <v>3.7136643756610306E-2</v>
      </c>
      <c r="H214" s="194">
        <f t="shared" ca="1" si="163"/>
        <v>3.3361533569328312E-2</v>
      </c>
      <c r="I214" s="194" t="e">
        <f t="shared" ref="I214" si="164">I112/I$81</f>
        <v>#REF!</v>
      </c>
      <c r="J214" s="182">
        <f ca="1">SUM(C112:H112)/SUM(C$81:H$81)</f>
        <v>4.2580143368100488E-2</v>
      </c>
    </row>
    <row r="215" spans="1:10" s="7" customFormat="1" ht="13.5" hidden="1" thickTop="1" x14ac:dyDescent="0.2">
      <c r="A215" s="32"/>
      <c r="B215" s="81"/>
      <c r="C215" s="32"/>
      <c r="D215" s="190"/>
      <c r="E215" s="32"/>
      <c r="F215" s="32"/>
      <c r="G215" s="32"/>
      <c r="H215" s="32"/>
      <c r="I215" s="32"/>
      <c r="J215" s="176"/>
    </row>
    <row r="216" spans="1:10" s="7" customFormat="1" hidden="1" x14ac:dyDescent="0.2">
      <c r="A216" s="32" t="str">
        <f>A114</f>
        <v>Preferred Stock Dividends</v>
      </c>
      <c r="B216" s="72">
        <f t="shared" ref="B216:H217" si="165">B114/B$112</f>
        <v>0</v>
      </c>
      <c r="C216" s="66">
        <f t="shared" si="165"/>
        <v>0</v>
      </c>
      <c r="D216" s="191">
        <f t="shared" ca="1" si="165"/>
        <v>0</v>
      </c>
      <c r="E216" s="66">
        <f t="shared" ca="1" si="165"/>
        <v>0</v>
      </c>
      <c r="F216" s="66">
        <f t="shared" ca="1" si="165"/>
        <v>0</v>
      </c>
      <c r="G216" s="66">
        <f t="shared" ca="1" si="165"/>
        <v>0</v>
      </c>
      <c r="H216" s="66">
        <f t="shared" ca="1" si="165"/>
        <v>0</v>
      </c>
      <c r="I216" s="66" t="e">
        <f t="shared" ref="I216" si="166">I114/I$112</f>
        <v>#REF!</v>
      </c>
      <c r="J216" s="66">
        <f ca="1">SUM(C114:H114)/SUM(C$112:H$112)</f>
        <v>0</v>
      </c>
    </row>
    <row r="217" spans="1:10" s="7" customFormat="1" hidden="1" x14ac:dyDescent="0.2">
      <c r="A217" s="32" t="str">
        <f>A115</f>
        <v>Return of Patronage Capital</v>
      </c>
      <c r="B217" s="72">
        <f t="shared" si="165"/>
        <v>-0.47889469809083196</v>
      </c>
      <c r="C217" s="66">
        <f t="shared" si="165"/>
        <v>-0.25596845483002684</v>
      </c>
      <c r="D217" s="191">
        <f t="shared" ca="1" si="165"/>
        <v>-0.56945584829576712</v>
      </c>
      <c r="E217" s="66">
        <f t="shared" ca="1" si="165"/>
        <v>-0.61830910538076755</v>
      </c>
      <c r="F217" s="66">
        <f t="shared" ca="1" si="165"/>
        <v>-0.66714999775432027</v>
      </c>
      <c r="G217" s="66">
        <f t="shared" ca="1" si="165"/>
        <v>-0.72568724061919476</v>
      </c>
      <c r="H217" s="66">
        <f t="shared" ca="1" si="165"/>
        <v>-0.79920256090819719</v>
      </c>
      <c r="I217" s="66" t="e">
        <f t="shared" ref="I217" ca="1" si="167">I115/I$112</f>
        <v>#REF!</v>
      </c>
      <c r="J217" s="66">
        <f ca="1">SUM(C115:H115)/SUM(C$112:H$112)</f>
        <v>-0.58514218231156079</v>
      </c>
    </row>
    <row r="218" spans="1:10" s="7" customFormat="1" hidden="1" x14ac:dyDescent="0.2">
      <c r="A218" s="32"/>
      <c r="B218" s="81"/>
      <c r="C218" s="32"/>
      <c r="D218" s="32"/>
      <c r="E218" s="32"/>
      <c r="F218" s="32"/>
      <c r="G218" s="32"/>
      <c r="H218" s="32"/>
      <c r="I218" s="32"/>
      <c r="J218" s="66"/>
    </row>
    <row r="219" spans="1:10" s="7" customFormat="1" hidden="1" x14ac:dyDescent="0.2">
      <c r="A219" s="32"/>
      <c r="B219" s="81"/>
      <c r="C219" s="32"/>
      <c r="D219" s="32"/>
      <c r="E219" s="32"/>
      <c r="F219" s="32"/>
      <c r="G219" s="32"/>
      <c r="H219" s="32"/>
      <c r="I219" s="32"/>
      <c r="J219" s="66"/>
    </row>
    <row r="220" spans="1:10" s="7" customFormat="1" x14ac:dyDescent="0.2">
      <c r="A220" s="32"/>
      <c r="B220" s="81"/>
      <c r="C220" s="32"/>
      <c r="D220" s="32"/>
      <c r="E220" s="32"/>
      <c r="F220" s="32"/>
      <c r="G220" s="32"/>
      <c r="H220" s="32"/>
      <c r="I220" s="32"/>
      <c r="J220" s="86" t="str">
        <f>J180</f>
        <v>Exhibit 2</v>
      </c>
    </row>
    <row r="221" spans="1:10" s="7" customFormat="1" x14ac:dyDescent="0.2">
      <c r="A221" s="32"/>
      <c r="B221" s="81"/>
      <c r="C221" s="32"/>
      <c r="D221" s="32"/>
      <c r="E221" s="32"/>
      <c r="F221" s="32"/>
      <c r="G221" s="32"/>
      <c r="H221" s="32"/>
      <c r="I221" s="32"/>
      <c r="J221" s="86" t="s">
        <v>265</v>
      </c>
    </row>
    <row r="222" spans="1:10" s="7" customFormat="1" ht="18" x14ac:dyDescent="0.25">
      <c r="A222" s="84" t="str">
        <f>Assumptions!D3</f>
        <v>Mt. Wheeler Power, Inc.</v>
      </c>
      <c r="B222" s="49"/>
      <c r="C222" s="34"/>
      <c r="D222" s="34"/>
      <c r="E222" s="34"/>
      <c r="F222" s="34"/>
      <c r="G222" s="34"/>
      <c r="H222" s="34"/>
      <c r="I222" s="34"/>
      <c r="J222" s="35"/>
    </row>
    <row r="223" spans="1:10" s="7" customFormat="1" ht="15.75" x14ac:dyDescent="0.25">
      <c r="A223" s="85" t="s">
        <v>171</v>
      </c>
      <c r="B223" s="49"/>
      <c r="C223" s="34"/>
      <c r="D223" s="34"/>
      <c r="E223" s="34"/>
      <c r="F223" s="34"/>
      <c r="G223" s="34"/>
      <c r="H223" s="34"/>
      <c r="I223" s="34"/>
      <c r="J223" s="35"/>
    </row>
    <row r="224" spans="1:10" s="7" customFormat="1" x14ac:dyDescent="0.2">
      <c r="B224" s="36"/>
      <c r="J224" s="10"/>
    </row>
    <row r="225" spans="1:10" s="7" customFormat="1" x14ac:dyDescent="0.2">
      <c r="B225" s="36"/>
      <c r="J225" s="10"/>
    </row>
    <row r="226" spans="1:10" s="7" customFormat="1" x14ac:dyDescent="0.2">
      <c r="A226" s="32"/>
      <c r="B226" s="156" t="s">
        <v>22</v>
      </c>
      <c r="C226" s="86" t="str">
        <f>B226</f>
        <v>Historical</v>
      </c>
      <c r="D226" s="187" t="s">
        <v>63</v>
      </c>
      <c r="E226" s="86" t="s">
        <v>63</v>
      </c>
      <c r="F226" s="86" t="s">
        <v>63</v>
      </c>
      <c r="G226" s="86" t="s">
        <v>63</v>
      </c>
      <c r="H226" s="86" t="s">
        <v>63</v>
      </c>
      <c r="I226" s="86" t="s">
        <v>63</v>
      </c>
      <c r="J226" s="86" t="s">
        <v>63</v>
      </c>
    </row>
    <row r="227" spans="1:10" s="7" customFormat="1" x14ac:dyDescent="0.2">
      <c r="A227" s="88" t="s">
        <v>40</v>
      </c>
      <c r="B227" s="196" t="s">
        <v>115</v>
      </c>
      <c r="C227" s="94">
        <f t="shared" ref="C227:H227" si="168">C9</f>
        <v>2013</v>
      </c>
      <c r="D227" s="189">
        <f t="shared" si="168"/>
        <v>2014</v>
      </c>
      <c r="E227" s="94">
        <f t="shared" si="168"/>
        <v>2015</v>
      </c>
      <c r="F227" s="94">
        <f t="shared" si="168"/>
        <v>2016</v>
      </c>
      <c r="G227" s="94">
        <f t="shared" si="168"/>
        <v>2017</v>
      </c>
      <c r="H227" s="94">
        <f t="shared" si="168"/>
        <v>2018</v>
      </c>
      <c r="I227" s="94">
        <f t="shared" ref="I227" si="169">I9</f>
        <v>2019</v>
      </c>
      <c r="J227" s="197" t="s">
        <v>5</v>
      </c>
    </row>
    <row r="228" spans="1:10" s="7" customFormat="1" ht="7.5" customHeight="1" x14ac:dyDescent="0.2">
      <c r="A228" s="81"/>
      <c r="B228" s="90"/>
      <c r="C228" s="90"/>
      <c r="D228" s="198"/>
      <c r="E228" s="90"/>
      <c r="F228" s="90"/>
      <c r="G228" s="90"/>
      <c r="H228" s="90"/>
      <c r="I228" s="90"/>
      <c r="J228" s="156"/>
    </row>
    <row r="229" spans="1:10" s="7" customFormat="1" x14ac:dyDescent="0.2">
      <c r="A229" s="65" t="s">
        <v>48</v>
      </c>
      <c r="B229" s="115"/>
      <c r="C229" s="116"/>
      <c r="D229" s="199"/>
      <c r="E229" s="116"/>
      <c r="F229" s="116"/>
      <c r="G229" s="32"/>
      <c r="H229" s="32"/>
      <c r="I229" s="32"/>
      <c r="J229" s="116"/>
    </row>
    <row r="230" spans="1:10" s="7" customFormat="1" x14ac:dyDescent="0.2">
      <c r="A230" s="32" t="s">
        <v>9</v>
      </c>
      <c r="B230" s="115">
        <f>Historical!L128</f>
        <v>1.6922577695004399</v>
      </c>
      <c r="C230" s="116">
        <f t="shared" ref="C230:H230" si="170">C17/C48</f>
        <v>1.698982840580411</v>
      </c>
      <c r="D230" s="199">
        <f t="shared" ca="1" si="170"/>
        <v>1.5715287740130637</v>
      </c>
      <c r="E230" s="116">
        <f t="shared" ca="1" si="170"/>
        <v>1.5678102168256038</v>
      </c>
      <c r="F230" s="116">
        <f t="shared" ca="1" si="170"/>
        <v>1.5721839543709666</v>
      </c>
      <c r="G230" s="116">
        <f t="shared" ca="1" si="170"/>
        <v>1.5723304848620157</v>
      </c>
      <c r="H230" s="116">
        <f t="shared" ca="1" si="170"/>
        <v>1.5695556958222674</v>
      </c>
      <c r="I230" s="116" t="e">
        <f t="shared" ref="I230" si="171">I17/I48</f>
        <v>#REF!</v>
      </c>
      <c r="J230" s="116">
        <f ca="1">AVERAGE(C230:H230)</f>
        <v>1.5920653277457213</v>
      </c>
    </row>
    <row r="231" spans="1:10" s="7" customFormat="1" x14ac:dyDescent="0.2">
      <c r="A231" s="32" t="s">
        <v>39</v>
      </c>
      <c r="B231" s="115">
        <f>Historical!L129</f>
        <v>0.86263224911319258</v>
      </c>
      <c r="C231" s="116">
        <f t="shared" ref="C231:H231" si="172">(C12+C13+C14)/C48</f>
        <v>0.82982792224642554</v>
      </c>
      <c r="D231" s="199">
        <f t="shared" ca="1" si="172"/>
        <v>0.76021347528088834</v>
      </c>
      <c r="E231" s="116">
        <f t="shared" ca="1" si="172"/>
        <v>0.75221509967468381</v>
      </c>
      <c r="F231" s="116">
        <f t="shared" ca="1" si="172"/>
        <v>0.75409797679346946</v>
      </c>
      <c r="G231" s="116">
        <f t="shared" ca="1" si="172"/>
        <v>0.75438444018722517</v>
      </c>
      <c r="H231" s="116">
        <f t="shared" ca="1" si="172"/>
        <v>0.75328475234999215</v>
      </c>
      <c r="I231" s="116" t="e">
        <f t="shared" ref="I231" si="173">(I12+I13+I14)/I48</f>
        <v>#REF!</v>
      </c>
      <c r="J231" s="116">
        <f ca="1">AVERAGE(C231:H231)</f>
        <v>0.76733727775544747</v>
      </c>
    </row>
    <row r="232" spans="1:10" s="7" customFormat="1" x14ac:dyDescent="0.2">
      <c r="A232" s="32" t="s">
        <v>12</v>
      </c>
      <c r="B232" s="115">
        <f>Historical!L130</f>
        <v>8.0367002153559071</v>
      </c>
      <c r="C232" s="116">
        <f t="shared" ref="C232:G232" si="174">365*(((B14+C14)/2)/((C81+B81)/2))</f>
        <v>8.4796549526904386</v>
      </c>
      <c r="D232" s="199">
        <f t="shared" si="174"/>
        <v>7.9495308123835224</v>
      </c>
      <c r="E232" s="116">
        <f t="shared" si="174"/>
        <v>8.0620947123275233</v>
      </c>
      <c r="F232" s="116">
        <f t="shared" si="174"/>
        <v>8.0620947123275233</v>
      </c>
      <c r="G232" s="116">
        <f t="shared" si="174"/>
        <v>8.0620947123275233</v>
      </c>
      <c r="H232" s="116">
        <f>365*(((G14+H14)/2)/((H81+G81)/2))</f>
        <v>8.0620947123275233</v>
      </c>
      <c r="I232" s="116">
        <f>365*(((H14+I14)/2)/((I81+H81)/2))</f>
        <v>8.0620947123275251</v>
      </c>
      <c r="J232" s="116">
        <f>AVERAGE(C232:H232)</f>
        <v>8.1129274357306738</v>
      </c>
    </row>
    <row r="233" spans="1:10" s="7" customFormat="1" x14ac:dyDescent="0.2">
      <c r="A233" s="32"/>
      <c r="B233" s="115"/>
      <c r="C233" s="116"/>
      <c r="D233" s="199"/>
      <c r="E233" s="116"/>
      <c r="F233" s="116"/>
      <c r="G233" s="116"/>
      <c r="H233" s="116"/>
      <c r="I233" s="116"/>
      <c r="J233" s="116"/>
    </row>
    <row r="234" spans="1:10" s="7" customFormat="1" x14ac:dyDescent="0.2">
      <c r="A234" s="65" t="s">
        <v>27</v>
      </c>
      <c r="B234" s="115"/>
      <c r="C234" s="116"/>
      <c r="D234" s="199"/>
      <c r="E234" s="116"/>
      <c r="F234" s="116"/>
      <c r="G234" s="116"/>
      <c r="H234" s="116"/>
      <c r="I234" s="116"/>
      <c r="J234" s="116"/>
    </row>
    <row r="235" spans="1:10" s="7" customFormat="1" x14ac:dyDescent="0.2">
      <c r="A235" s="32" t="s">
        <v>31</v>
      </c>
      <c r="B235" s="115">
        <f>Historical!L133</f>
        <v>1.4012388121560442</v>
      </c>
      <c r="C235" s="116">
        <f t="shared" ref="C235:H235" si="175">C63/C56</f>
        <v>1.3464087142842676</v>
      </c>
      <c r="D235" s="199">
        <f t="shared" ca="1" si="175"/>
        <v>1.3188836101415236</v>
      </c>
      <c r="E235" s="116">
        <f t="shared" ca="1" si="175"/>
        <v>1.3216004031128259</v>
      </c>
      <c r="F235" s="116">
        <f t="shared" ca="1" si="175"/>
        <v>1.3157158995652642</v>
      </c>
      <c r="G235" s="116">
        <f t="shared" ca="1" si="175"/>
        <v>1.2979068715281357</v>
      </c>
      <c r="H235" s="116">
        <f t="shared" ca="1" si="175"/>
        <v>1.2681743894067059</v>
      </c>
      <c r="I235" s="116" t="e">
        <f t="shared" ref="I235" ca="1" si="176">I63/I56</f>
        <v>#REF!</v>
      </c>
      <c r="J235" s="116">
        <f ca="1">AVERAGE(C235:H235)</f>
        <v>1.3114483146731206</v>
      </c>
    </row>
    <row r="236" spans="1:10" s="7" customFormat="1" x14ac:dyDescent="0.2">
      <c r="A236" s="32" t="s">
        <v>30</v>
      </c>
      <c r="B236" s="115">
        <f>Historical!L134</f>
        <v>1.8242977495769765</v>
      </c>
      <c r="C236" s="116">
        <f t="shared" ref="C236:H236" si="177">C63/C54</f>
        <v>1.7517186303260599</v>
      </c>
      <c r="D236" s="199">
        <f t="shared" ca="1" si="177"/>
        <v>1.6933180721904908</v>
      </c>
      <c r="E236" s="116">
        <f t="shared" ca="1" si="177"/>
        <v>1.7022242246225003</v>
      </c>
      <c r="F236" s="116">
        <f t="shared" ca="1" si="177"/>
        <v>1.6924618366862949</v>
      </c>
      <c r="G236" s="116">
        <f t="shared" ca="1" si="177"/>
        <v>1.6659855068832015</v>
      </c>
      <c r="H236" s="116">
        <f t="shared" ca="1" si="177"/>
        <v>1.6227817687277393</v>
      </c>
      <c r="I236" s="116" t="e">
        <f t="shared" ref="I236" ca="1" si="178">I63/I54</f>
        <v>#REF!</v>
      </c>
      <c r="J236" s="116">
        <f ca="1">AVERAGE(C236:H236)</f>
        <v>1.6880816732393811</v>
      </c>
    </row>
    <row r="237" spans="1:10" s="7" customFormat="1" x14ac:dyDescent="0.2">
      <c r="A237" s="32" t="s">
        <v>29</v>
      </c>
      <c r="B237" s="115">
        <f>Historical!L135</f>
        <v>0.82233954053131075</v>
      </c>
      <c r="C237" s="116">
        <f t="shared" ref="C237:H237" si="179">C63/C28</f>
        <v>0.78479427890136588</v>
      </c>
      <c r="D237" s="199">
        <f t="shared" ca="1" si="179"/>
        <v>0.77317290481112544</v>
      </c>
      <c r="E237" s="116">
        <f t="shared" ca="1" si="179"/>
        <v>0.77272790766280675</v>
      </c>
      <c r="F237" s="116">
        <f t="shared" ca="1" si="179"/>
        <v>0.76923144155016521</v>
      </c>
      <c r="G237" s="116">
        <f t="shared" ca="1" si="179"/>
        <v>0.76267319653614052</v>
      </c>
      <c r="H237" s="116">
        <f t="shared" ca="1" si="179"/>
        <v>0.75299815202322384</v>
      </c>
      <c r="I237" s="116" t="e">
        <f t="shared" ref="I237" ca="1" si="180">I63/I28</f>
        <v>#REF!</v>
      </c>
      <c r="J237" s="116">
        <f ca="1">AVERAGE(C237:H237)</f>
        <v>0.76926631358080455</v>
      </c>
    </row>
    <row r="238" spans="1:10" s="7" customFormat="1" x14ac:dyDescent="0.2">
      <c r="A238" s="32" t="s">
        <v>50</v>
      </c>
      <c r="B238" s="115">
        <f>Historical!L136</f>
        <v>3.3158934350012905</v>
      </c>
      <c r="C238" s="116">
        <v>2.81</v>
      </c>
      <c r="D238" s="199">
        <f t="shared" ref="D238:H238" ca="1" si="181">(D105+D99+D98)/(D99+D98)</f>
        <v>2.4842472136869684</v>
      </c>
      <c r="E238" s="116">
        <f t="shared" ca="1" si="181"/>
        <v>2.3493626373648313</v>
      </c>
      <c r="F238" s="116">
        <f t="shared" ca="1" si="181"/>
        <v>2.2480864819331154</v>
      </c>
      <c r="G238" s="116">
        <f t="shared" ca="1" si="181"/>
        <v>2.1309599490331408</v>
      </c>
      <c r="H238" s="116">
        <f t="shared" ca="1" si="181"/>
        <v>1.995985450217211</v>
      </c>
      <c r="I238" s="116" t="e">
        <f t="shared" ref="I238" ca="1" si="182">(I105+I99+I98)/(I99+I98)</f>
        <v>#REF!</v>
      </c>
      <c r="J238" s="116">
        <f ca="1">AVERAGE(C238:H238)</f>
        <v>2.3364402887058779</v>
      </c>
    </row>
    <row r="239" spans="1:10" s="7" customFormat="1" x14ac:dyDescent="0.2">
      <c r="A239" s="32"/>
      <c r="B239" s="115"/>
      <c r="C239" s="116"/>
      <c r="D239" s="199"/>
      <c r="E239" s="116"/>
      <c r="F239" s="116"/>
      <c r="G239" s="116"/>
      <c r="H239" s="116"/>
      <c r="I239" s="116"/>
      <c r="J239" s="116"/>
    </row>
    <row r="240" spans="1:10" s="7" customFormat="1" x14ac:dyDescent="0.2">
      <c r="A240" s="65" t="s">
        <v>87</v>
      </c>
      <c r="B240" s="115"/>
      <c r="C240" s="116"/>
      <c r="D240" s="199"/>
      <c r="E240" s="116"/>
      <c r="F240" s="116"/>
      <c r="G240" s="116"/>
      <c r="H240" s="116"/>
      <c r="I240" s="116"/>
      <c r="J240" s="116"/>
    </row>
    <row r="241" spans="1:10" s="7" customFormat="1" x14ac:dyDescent="0.2">
      <c r="A241" s="32" t="s">
        <v>42</v>
      </c>
      <c r="B241" s="72">
        <v>6.2511435121446204E-2</v>
      </c>
      <c r="C241" s="66">
        <v>5.7299999999999997E-2</v>
      </c>
      <c r="D241" s="191">
        <f t="shared" ref="D241:G241" ca="1" si="183">(D112+(D99*(1-(D108/D105))))/((C38+D38)/2)</f>
        <v>5.1815117706546933E-2</v>
      </c>
      <c r="E241" s="66">
        <f t="shared" ca="1" si="183"/>
        <v>4.7150763024992673E-2</v>
      </c>
      <c r="F241" s="66">
        <f t="shared" ca="1" si="183"/>
        <v>4.3301983001113618E-2</v>
      </c>
      <c r="G241" s="66">
        <f t="shared" ca="1" si="183"/>
        <v>3.9470955689010184E-2</v>
      </c>
      <c r="H241" s="66">
        <f ca="1">(H112+(H99*(1-(H108/H105))))/((G38+H38)/2)</f>
        <v>3.5618800423671756E-2</v>
      </c>
      <c r="I241" s="66" t="e">
        <f ca="1">(I112+(I99*(1-(I108/I105))))/((H38+I38)/2)</f>
        <v>#REF!</v>
      </c>
      <c r="J241" s="66">
        <f ca="1">AVERAGE(C241:H241)</f>
        <v>4.5776269974222523E-2</v>
      </c>
    </row>
    <row r="242" spans="1:10" s="7" customFormat="1" x14ac:dyDescent="0.2">
      <c r="A242" s="32" t="s">
        <v>86</v>
      </c>
      <c r="B242" s="72">
        <v>7.2000716486741653E-2</v>
      </c>
      <c r="C242" s="66">
        <v>6.6100000000000006E-2</v>
      </c>
      <c r="D242" s="191">
        <f t="shared" ref="D242:G242" ca="1" si="184">(D112+(D99*(1-(D108/D105))))/((C50+C58+C63+D50+D58+D63)/2)</f>
        <v>6.0677843787340147E-2</v>
      </c>
      <c r="E242" s="66">
        <f t="shared" ca="1" si="184"/>
        <v>5.748762945645583E-2</v>
      </c>
      <c r="F242" s="66">
        <f t="shared" ca="1" si="184"/>
        <v>5.4563596468477388E-2</v>
      </c>
      <c r="G242" s="66">
        <f t="shared" ca="1" si="184"/>
        <v>5.1397008780502899E-2</v>
      </c>
      <c r="H242" s="66">
        <f ca="1">(H112+(H99*(1-(H108/H105))))/((G50+G58+G63+H50+H58+H63)/2)</f>
        <v>4.7974633245988739E-2</v>
      </c>
      <c r="I242" s="66" t="e">
        <f ca="1">(I112+(I99*(1-(I108/I105))))/((H50+H58+H63+I50+I58+I63)/2)</f>
        <v>#REF!</v>
      </c>
      <c r="J242" s="66">
        <f ca="1">AVERAGE(C242:H242)</f>
        <v>5.6366785289794163E-2</v>
      </c>
    </row>
    <row r="243" spans="1:10" s="7" customFormat="1" x14ac:dyDescent="0.2">
      <c r="A243" s="32" t="s">
        <v>180</v>
      </c>
      <c r="B243" s="72">
        <v>7.2307535717625299E-2</v>
      </c>
      <c r="C243" s="66">
        <v>6.6000000000000003E-2</v>
      </c>
      <c r="D243" s="191">
        <f t="shared" ref="D243:G243" ca="1" si="185">(D112-D114)/((D63+C63)/2)</f>
        <v>5.8372156629086742E-2</v>
      </c>
      <c r="E243" s="66">
        <f t="shared" ca="1" si="185"/>
        <v>5.3636423904606031E-2</v>
      </c>
      <c r="F243" s="66">
        <f t="shared" ca="1" si="185"/>
        <v>4.9612389752328227E-2</v>
      </c>
      <c r="G243" s="66">
        <f t="shared" ca="1" si="185"/>
        <v>4.55193447646235E-2</v>
      </c>
      <c r="H243" s="66">
        <f ca="1">(H112-H114)/((H63+G63)/2)</f>
        <v>4.1245858526880459E-2</v>
      </c>
      <c r="I243" s="66" t="e">
        <f ca="1">(I112-I114)/((I63+H63)/2)</f>
        <v>#REF!</v>
      </c>
      <c r="J243" s="66">
        <f ca="1">AVERAGE(C243:H243)</f>
        <v>5.2397695596254158E-2</v>
      </c>
    </row>
    <row r="244" spans="1:10" s="7" customFormat="1" x14ac:dyDescent="0.2">
      <c r="A244" s="32"/>
      <c r="B244" s="115"/>
      <c r="C244" s="116"/>
      <c r="D244" s="199"/>
      <c r="E244" s="116"/>
      <c r="F244" s="116"/>
      <c r="G244" s="116"/>
      <c r="H244" s="116"/>
      <c r="I244" s="116"/>
      <c r="J244" s="116"/>
    </row>
    <row r="245" spans="1:10" s="7" customFormat="1" x14ac:dyDescent="0.2">
      <c r="A245" s="65" t="s">
        <v>4</v>
      </c>
      <c r="B245" s="115"/>
      <c r="C245" s="116"/>
      <c r="D245" s="199"/>
      <c r="E245" s="116"/>
      <c r="F245" s="116"/>
      <c r="G245" s="116"/>
      <c r="H245" s="116"/>
      <c r="I245" s="116"/>
      <c r="J245" s="116"/>
    </row>
    <row r="246" spans="1:10" s="7" customFormat="1" x14ac:dyDescent="0.2">
      <c r="A246" s="32" t="s">
        <v>44</v>
      </c>
      <c r="B246" s="115">
        <v>11.255966985286733</v>
      </c>
      <c r="C246" s="116">
        <v>8.1095290063614094</v>
      </c>
      <c r="D246" s="199">
        <f t="shared" ref="D246:H246" ca="1" si="186">D81/(D12+D13)</f>
        <v>12</v>
      </c>
      <c r="E246" s="116">
        <f t="shared" ca="1" si="186"/>
        <v>12</v>
      </c>
      <c r="F246" s="116">
        <f t="shared" ca="1" si="186"/>
        <v>12</v>
      </c>
      <c r="G246" s="116">
        <f t="shared" ca="1" si="186"/>
        <v>12</v>
      </c>
      <c r="H246" s="116">
        <f t="shared" ca="1" si="186"/>
        <v>12</v>
      </c>
      <c r="I246" s="116" t="e">
        <f t="shared" ref="I246" si="187">I81/(I12+I13)</f>
        <v>#REF!</v>
      </c>
      <c r="J246" s="116">
        <f ca="1">AVERAGE(C246:H246)</f>
        <v>11.351588167726902</v>
      </c>
    </row>
    <row r="247" spans="1:10" s="7" customFormat="1" x14ac:dyDescent="0.2">
      <c r="A247" s="32" t="s">
        <v>43</v>
      </c>
      <c r="B247" s="115">
        <v>47.223622727067259</v>
      </c>
      <c r="C247" s="116">
        <v>43.179664391516532</v>
      </c>
      <c r="D247" s="199">
        <f t="shared" ref="D247:G247" si="188">D81/((C14+D14)/2)</f>
        <v>46.350547273839766</v>
      </c>
      <c r="E247" s="116">
        <f t="shared" si="188"/>
        <v>45.703395565524495</v>
      </c>
      <c r="F247" s="116">
        <f t="shared" si="188"/>
        <v>45.703395565524495</v>
      </c>
      <c r="G247" s="116">
        <f t="shared" si="188"/>
        <v>45.703395565524495</v>
      </c>
      <c r="H247" s="116">
        <f>H81/((G14+H14)/2)</f>
        <v>45.703395565524495</v>
      </c>
      <c r="I247" s="116">
        <f>I81/((H14+I14)/2)</f>
        <v>45.703395565524495</v>
      </c>
      <c r="J247" s="116">
        <f>AVERAGE(C247:H247)</f>
        <v>45.390632321242379</v>
      </c>
    </row>
    <row r="248" spans="1:10" s="7" customFormat="1" x14ac:dyDescent="0.2">
      <c r="A248" s="32" t="s">
        <v>47</v>
      </c>
      <c r="B248" s="115">
        <v>15.013115538777154</v>
      </c>
      <c r="C248" s="116">
        <v>8.7913112456886466</v>
      </c>
      <c r="D248" s="199">
        <f t="shared" ref="D248:G248" ca="1" si="189">D81/((C17+D17-C48-D48)/2)</f>
        <v>11.354518525842053</v>
      </c>
      <c r="E248" s="116">
        <f t="shared" ca="1" si="189"/>
        <v>12.711131033552359</v>
      </c>
      <c r="F248" s="116">
        <f t="shared" ca="1" si="189"/>
        <v>12.652566680292283</v>
      </c>
      <c r="G248" s="116">
        <f t="shared" ca="1" si="189"/>
        <v>12.621021478646297</v>
      </c>
      <c r="H248" s="116">
        <f ca="1">H81/((G17+H17-G48-H48)/2)</f>
        <v>12.643463915843368</v>
      </c>
      <c r="I248" s="116" t="e">
        <f ca="1">I81/((H17+I17-H48-I48)/2)</f>
        <v>#REF!</v>
      </c>
      <c r="J248" s="116">
        <f ca="1">AVERAGE(C248:H248)</f>
        <v>11.795668813310835</v>
      </c>
    </row>
    <row r="249" spans="1:10" s="7" customFormat="1" x14ac:dyDescent="0.2">
      <c r="A249" s="32" t="s">
        <v>45</v>
      </c>
      <c r="B249" s="115">
        <v>1.0647326643673571</v>
      </c>
      <c r="C249" s="116">
        <v>1.0111717445205628</v>
      </c>
      <c r="D249" s="199">
        <f t="shared" ref="D249:G249" si="190">D81/((C28+D28)/2)</f>
        <v>0.95350917670119917</v>
      </c>
      <c r="E249" s="116">
        <f t="shared" si="190"/>
        <v>0.9426839947188852</v>
      </c>
      <c r="F249" s="116">
        <f t="shared" si="190"/>
        <v>0.94074263269419034</v>
      </c>
      <c r="G249" s="116">
        <f t="shared" si="190"/>
        <v>0.9388052687075783</v>
      </c>
      <c r="H249" s="116">
        <f>H81/((G28+H28)/2)</f>
        <v>0.93687189452549535</v>
      </c>
      <c r="I249" s="116">
        <f>I81/((H28+I28)/2)</f>
        <v>0.93494250193134376</v>
      </c>
      <c r="J249" s="116">
        <f>AVERAGE(C249:H249)</f>
        <v>0.95396411864465191</v>
      </c>
    </row>
    <row r="250" spans="1:10" s="7" customFormat="1" x14ac:dyDescent="0.2">
      <c r="A250" s="32" t="s">
        <v>46</v>
      </c>
      <c r="B250" s="115">
        <v>0.75089314290425768</v>
      </c>
      <c r="C250" s="116">
        <v>0.71747350259434184</v>
      </c>
      <c r="D250" s="199">
        <f t="shared" ref="D250:G250" ca="1" si="191">D81/((C38+D38)/2)</f>
        <v>0.69933200706472187</v>
      </c>
      <c r="E250" s="116">
        <f t="shared" ca="1" si="191"/>
        <v>0.69396545815787247</v>
      </c>
      <c r="F250" s="116">
        <f t="shared" ca="1" si="191"/>
        <v>0.69395191404106116</v>
      </c>
      <c r="G250" s="116">
        <f t="shared" ca="1" si="191"/>
        <v>0.69434837420909457</v>
      </c>
      <c r="H250" s="116">
        <f ca="1">H81/((G38+H38)/2)</f>
        <v>0.69474661859685505</v>
      </c>
      <c r="I250" s="116" t="e">
        <f ca="1">I81/((H38+I38)/2)</f>
        <v>#REF!</v>
      </c>
      <c r="J250" s="116">
        <f ca="1">AVERAGE(C250:H250)</f>
        <v>0.69896964577732457</v>
      </c>
    </row>
    <row r="251" spans="1:10" s="7" customFormat="1" x14ac:dyDescent="0.2">
      <c r="A251" s="32"/>
      <c r="B251" s="81"/>
      <c r="C251" s="32"/>
      <c r="D251" s="190"/>
      <c r="E251" s="32"/>
      <c r="F251" s="32"/>
      <c r="G251" s="32"/>
      <c r="H251" s="32"/>
      <c r="I251" s="32"/>
      <c r="J251" s="66"/>
    </row>
    <row r="252" spans="1:10" s="7" customFormat="1" x14ac:dyDescent="0.2">
      <c r="A252" s="65" t="s">
        <v>176</v>
      </c>
      <c r="B252" s="32"/>
      <c r="C252" s="32"/>
      <c r="D252" s="190"/>
      <c r="E252" s="32"/>
      <c r="F252" s="32"/>
      <c r="G252" s="32"/>
      <c r="H252" s="32"/>
      <c r="I252" s="32"/>
      <c r="J252" s="66"/>
    </row>
    <row r="253" spans="1:10" s="7" customFormat="1" x14ac:dyDescent="0.2">
      <c r="A253" s="32" t="s">
        <v>177</v>
      </c>
      <c r="B253" s="118">
        <v>2.2976521416294418</v>
      </c>
      <c r="C253" s="118">
        <v>2.0126893753633208</v>
      </c>
      <c r="D253" s="200">
        <f t="shared" ref="D253:I253" ca="1" si="192">(+D105-D109+D99+D87)/(D99+D41)</f>
        <v>1.8605737712145529</v>
      </c>
      <c r="E253" s="118">
        <f t="shared" ca="1" si="192"/>
        <v>1.7865174755194568</v>
      </c>
      <c r="F253" s="118">
        <f t="shared" ca="1" si="192"/>
        <v>1.7655436998831782</v>
      </c>
      <c r="G253" s="118">
        <f t="shared" ca="1" si="192"/>
        <v>1.7282201534559056</v>
      </c>
      <c r="H253" s="118">
        <f t="shared" ca="1" si="192"/>
        <v>1.6738177365545213</v>
      </c>
      <c r="I253" s="118" t="e">
        <f t="shared" ca="1" si="192"/>
        <v>#REF!</v>
      </c>
      <c r="J253" s="116">
        <f ca="1">AVERAGE(C253:H253)</f>
        <v>1.8045603686651559</v>
      </c>
    </row>
    <row r="254" spans="1:10" s="7" customFormat="1" x14ac:dyDescent="0.2">
      <c r="A254" s="32" t="s">
        <v>178</v>
      </c>
      <c r="B254" s="117">
        <f>Historical!L152</f>
        <v>0</v>
      </c>
      <c r="C254" s="66">
        <f t="shared" ref="C254:H254" si="193">C49/C24</f>
        <v>0</v>
      </c>
      <c r="D254" s="191">
        <f t="shared" si="193"/>
        <v>0</v>
      </c>
      <c r="E254" s="66">
        <f t="shared" si="193"/>
        <v>0</v>
      </c>
      <c r="F254" s="66">
        <f t="shared" si="193"/>
        <v>0</v>
      </c>
      <c r="G254" s="66">
        <f t="shared" si="193"/>
        <v>0</v>
      </c>
      <c r="H254" s="66">
        <f t="shared" si="193"/>
        <v>0</v>
      </c>
      <c r="I254" s="66">
        <f t="shared" ref="I254" si="194">I49/I24</f>
        <v>0</v>
      </c>
      <c r="J254" s="117">
        <f>AVERAGE(C254:H254)</f>
        <v>0</v>
      </c>
    </row>
    <row r="255" spans="1:10" s="7" customFormat="1" x14ac:dyDescent="0.2">
      <c r="A255" s="32" t="s">
        <v>179</v>
      </c>
      <c r="B255" s="117">
        <f>Historical!L153</f>
        <v>0</v>
      </c>
      <c r="C255" s="117">
        <f t="shared" ref="C255:H255" si="195">C49/C63</f>
        <v>0</v>
      </c>
      <c r="D255" s="201">
        <f t="shared" ca="1" si="195"/>
        <v>0</v>
      </c>
      <c r="E255" s="117">
        <f t="shared" ca="1" si="195"/>
        <v>0</v>
      </c>
      <c r="F255" s="117">
        <f t="shared" ca="1" si="195"/>
        <v>0</v>
      </c>
      <c r="G255" s="117">
        <f t="shared" ca="1" si="195"/>
        <v>0</v>
      </c>
      <c r="H255" s="117">
        <f t="shared" ca="1" si="195"/>
        <v>0</v>
      </c>
      <c r="I255" s="117" t="e">
        <f t="shared" ref="I255" ca="1" si="196">I49/I63</f>
        <v>#REF!</v>
      </c>
      <c r="J255" s="117">
        <f ca="1">AVERAGE(C255:H255)</f>
        <v>0</v>
      </c>
    </row>
    <row r="256" spans="1:10" s="7" customFormat="1" x14ac:dyDescent="0.2">
      <c r="A256" s="32"/>
      <c r="B256" s="81"/>
      <c r="C256" s="32"/>
      <c r="D256" s="190"/>
      <c r="E256" s="32"/>
      <c r="F256" s="32"/>
      <c r="G256" s="32"/>
      <c r="H256" s="32"/>
      <c r="I256" s="32"/>
      <c r="J256" s="66"/>
    </row>
    <row r="257" spans="1:10" s="7" customFormat="1" x14ac:dyDescent="0.2">
      <c r="A257" s="65" t="s">
        <v>116</v>
      </c>
      <c r="B257" s="81"/>
      <c r="C257" s="32"/>
      <c r="D257" s="190"/>
      <c r="E257" s="32"/>
      <c r="F257" s="32"/>
      <c r="G257" s="32"/>
      <c r="H257" s="32"/>
      <c r="I257" s="32"/>
      <c r="J257" s="66"/>
    </row>
    <row r="258" spans="1:10" s="7" customFormat="1" x14ac:dyDescent="0.2">
      <c r="A258" s="32" t="s">
        <v>79</v>
      </c>
      <c r="B258" s="66">
        <v>0.34899999999999998</v>
      </c>
      <c r="C258" s="66">
        <v>0.36199999999999999</v>
      </c>
      <c r="D258" s="191">
        <f t="shared" ref="D258:H258" ca="1" si="197">(D41+D50+D53)/(D41+D50+D53+D63)</f>
        <v>0.37092366754641098</v>
      </c>
      <c r="E258" s="66">
        <f t="shared" ca="1" si="197"/>
        <v>0.37085631177486472</v>
      </c>
      <c r="F258" s="66">
        <f t="shared" ca="1" si="197"/>
        <v>0.37248272117750419</v>
      </c>
      <c r="G258" s="66">
        <f t="shared" ca="1" si="197"/>
        <v>0.37658250329984067</v>
      </c>
      <c r="H258" s="66">
        <f t="shared" ca="1" si="197"/>
        <v>0.38327217850619516</v>
      </c>
      <c r="I258" s="66" t="e">
        <f t="shared" ref="I258" ca="1" si="198">(I41+I50+I53)/(I41+I50+I53+I63)</f>
        <v>#REF!</v>
      </c>
      <c r="J258" s="66">
        <f ca="1">AVERAGE(C258:H258)</f>
        <v>0.3726862303841359</v>
      </c>
    </row>
    <row r="259" spans="1:10" s="7" customFormat="1" x14ac:dyDescent="0.2">
      <c r="A259" s="32" t="s">
        <v>117</v>
      </c>
      <c r="B259" s="66">
        <v>0.65100000000000002</v>
      </c>
      <c r="C259" s="66">
        <v>0.63800000000000001</v>
      </c>
      <c r="D259" s="191">
        <f t="shared" ref="D259:H259" ca="1" si="199">D63/(D41+D50+D53+D63)</f>
        <v>0.62907633245358907</v>
      </c>
      <c r="E259" s="66">
        <f t="shared" ca="1" si="199"/>
        <v>0.62914368822513522</v>
      </c>
      <c r="F259" s="66">
        <f t="shared" ca="1" si="199"/>
        <v>0.62751727882249586</v>
      </c>
      <c r="G259" s="66">
        <f t="shared" ca="1" si="199"/>
        <v>0.62341749670015922</v>
      </c>
      <c r="H259" s="66">
        <f t="shared" ca="1" si="199"/>
        <v>0.61672782149380478</v>
      </c>
      <c r="I259" s="66" t="e">
        <f t="shared" ref="I259" ca="1" si="200">I63/(I41+I50+I53+I63)</f>
        <v>#REF!</v>
      </c>
      <c r="J259" s="66">
        <f ca="1">AVERAGE(C259:H259)</f>
        <v>0.62731376961586394</v>
      </c>
    </row>
    <row r="260" spans="1:10" s="7" customFormat="1" x14ac:dyDescent="0.2">
      <c r="A260" s="32"/>
      <c r="B260" s="72"/>
      <c r="C260" s="32"/>
      <c r="D260" s="190"/>
      <c r="E260" s="32"/>
      <c r="F260" s="32"/>
      <c r="G260" s="32"/>
      <c r="H260" s="32"/>
      <c r="I260" s="32"/>
      <c r="J260" s="66"/>
    </row>
    <row r="261" spans="1:10" s="7" customFormat="1" x14ac:dyDescent="0.2">
      <c r="A261" s="65" t="s">
        <v>118</v>
      </c>
      <c r="B261" s="72"/>
      <c r="C261" s="32"/>
      <c r="D261" s="190"/>
      <c r="E261" s="32"/>
      <c r="F261" s="32"/>
      <c r="G261" s="32"/>
      <c r="H261" s="32"/>
      <c r="I261" s="32"/>
      <c r="J261" s="66"/>
    </row>
    <row r="262" spans="1:10" s="7" customFormat="1" x14ac:dyDescent="0.2">
      <c r="A262" s="32" t="s">
        <v>119</v>
      </c>
      <c r="B262" s="66">
        <f>Historical!L160</f>
        <v>2.8307387639624426E-2</v>
      </c>
      <c r="C262" s="66">
        <f>(C$41)/(C$41+C$50+C$53+C$63)</f>
        <v>2.7641330167030704E-2</v>
      </c>
      <c r="D262" s="191">
        <f ca="1">(D$41)/(D$41+D$53+D$50+D$63)</f>
        <v>2.8116700378428908E-2</v>
      </c>
      <c r="E262" s="66">
        <f ca="1">(E$41)/(E$41+E$53+E$50+E$63)</f>
        <v>2.9374956177900511E-2</v>
      </c>
      <c r="F262" s="66">
        <f t="shared" ref="F262:H262" ca="1" si="201">(F$41)/(F$41+F$53+F$50+F$63)</f>
        <v>2.9298370900152051E-2</v>
      </c>
      <c r="G262" s="66">
        <f t="shared" ca="1" si="201"/>
        <v>2.9446275959611828E-2</v>
      </c>
      <c r="H262" s="66">
        <f t="shared" ca="1" si="201"/>
        <v>2.9784487196979636E-2</v>
      </c>
      <c r="I262" s="66" t="e">
        <f t="shared" ref="I262" ca="1" si="202">(I$41)/(I$41+I$53+I$63)</f>
        <v>#REF!</v>
      </c>
      <c r="J262" s="66">
        <f ca="1">AVERAGE(C262:H262)</f>
        <v>2.8943686796683937E-2</v>
      </c>
    </row>
    <row r="263" spans="1:10" s="7" customFormat="1" x14ac:dyDescent="0.2">
      <c r="A263" s="32" t="s">
        <v>79</v>
      </c>
      <c r="B263" s="66">
        <f>B$50/(B$41+B$50+B$63)</f>
        <v>0.29267181652147339</v>
      </c>
      <c r="C263" s="66">
        <f>C$50/(C$41+C$50+C$63)</f>
        <v>0.33436461051237276</v>
      </c>
      <c r="D263" s="191">
        <f t="shared" ref="D263:I263" ca="1" si="203">D$50/(D$41+D$50+D$63)</f>
        <v>0.3086431369891372</v>
      </c>
      <c r="E263" s="66">
        <f t="shared" ca="1" si="203"/>
        <v>0.28488315044233897</v>
      </c>
      <c r="F263" s="66">
        <f t="shared" ca="1" si="203"/>
        <v>0.26339539824183061</v>
      </c>
      <c r="G263" s="66">
        <f t="shared" ca="1" si="203"/>
        <v>0.24362323382598042</v>
      </c>
      <c r="H263" s="66">
        <f t="shared" ca="1" si="203"/>
        <v>0.22552988240618355</v>
      </c>
      <c r="I263" s="66" t="e">
        <f t="shared" ca="1" si="203"/>
        <v>#REF!</v>
      </c>
      <c r="J263" s="66">
        <f ca="1">AVERAGE(C263:H263)</f>
        <v>0.27673990206964061</v>
      </c>
    </row>
    <row r="264" spans="1:10" s="7" customFormat="1" x14ac:dyDescent="0.2">
      <c r="A264" s="32" t="s">
        <v>117</v>
      </c>
      <c r="B264" s="66">
        <f>B$63/(B$41+B$50+B$63)</f>
        <v>0.6808046204057866</v>
      </c>
      <c r="C264" s="66">
        <f t="shared" ref="C264:I264" si="204">C$63/(C$41+C$50+C$63)</f>
        <v>0.6379940593205965</v>
      </c>
      <c r="D264" s="191">
        <f t="shared" ca="1" si="204"/>
        <v>0.66177853092161254</v>
      </c>
      <c r="E264" s="66">
        <f t="shared" ca="1" si="204"/>
        <v>0.68321718157350309</v>
      </c>
      <c r="F264" s="66">
        <f t="shared" ca="1" si="204"/>
        <v>0.70374710995178091</v>
      </c>
      <c r="G264" s="66">
        <f t="shared" ca="1" si="204"/>
        <v>0.7222617181059352</v>
      </c>
      <c r="H264" s="66">
        <f t="shared" ca="1" si="204"/>
        <v>0.73879068041708507</v>
      </c>
      <c r="I264" s="66" t="e">
        <f t="shared" ca="1" si="204"/>
        <v>#REF!</v>
      </c>
      <c r="J264" s="66">
        <f ca="1">AVERAGE(C264:H264)</f>
        <v>0.69129821338175212</v>
      </c>
    </row>
    <row r="265" spans="1:10" s="7" customFormat="1" x14ac:dyDescent="0.2">
      <c r="A265" s="32"/>
      <c r="B265" s="32"/>
      <c r="C265" s="32"/>
      <c r="D265" s="190"/>
      <c r="E265" s="32"/>
      <c r="F265" s="32"/>
      <c r="G265" s="32"/>
      <c r="H265" s="32"/>
      <c r="I265" s="32"/>
      <c r="J265" s="66"/>
    </row>
    <row r="266" spans="1:10" s="7" customFormat="1" x14ac:dyDescent="0.2">
      <c r="J266" s="10"/>
    </row>
    <row r="267" spans="1:10" s="7" customFormat="1" x14ac:dyDescent="0.2">
      <c r="J267" s="10"/>
    </row>
    <row r="268" spans="1:10" s="7" customFormat="1" x14ac:dyDescent="0.2">
      <c r="J268" s="10"/>
    </row>
    <row r="269" spans="1:10" s="7" customFormat="1" x14ac:dyDescent="0.2">
      <c r="J269" s="10"/>
    </row>
    <row r="270" spans="1:10" s="7" customFormat="1" x14ac:dyDescent="0.2">
      <c r="J270" s="10"/>
    </row>
    <row r="271" spans="1:10" s="7" customFormat="1" x14ac:dyDescent="0.2">
      <c r="J271" s="10"/>
    </row>
    <row r="272" spans="1:10" s="7" customFormat="1" x14ac:dyDescent="0.2">
      <c r="B272" s="9"/>
      <c r="C272" s="9"/>
      <c r="J272" s="10"/>
    </row>
    <row r="273" spans="1:10" s="7" customFormat="1" x14ac:dyDescent="0.2">
      <c r="B273" s="7" t="s">
        <v>15</v>
      </c>
      <c r="C273" s="7" t="s">
        <v>38</v>
      </c>
      <c r="J273" s="10"/>
    </row>
    <row r="274" spans="1:10" s="7" customFormat="1" x14ac:dyDescent="0.2">
      <c r="B274" s="18"/>
      <c r="C274" s="39"/>
      <c r="D274" s="12"/>
      <c r="J274" s="10"/>
    </row>
    <row r="275" spans="1:10" s="7" customFormat="1" x14ac:dyDescent="0.2">
      <c r="A275" s="14">
        <f>B9</f>
        <v>2012</v>
      </c>
      <c r="B275" s="18">
        <f>B$98-$C275</f>
        <v>0</v>
      </c>
      <c r="C275" s="7">
        <f>B$98</f>
        <v>0</v>
      </c>
      <c r="D275" s="12"/>
      <c r="J275" s="10"/>
    </row>
    <row r="276" spans="1:10" s="7" customFormat="1" x14ac:dyDescent="0.2">
      <c r="A276" s="14">
        <f>C9</f>
        <v>2013</v>
      </c>
      <c r="B276" s="18">
        <f>C$98-$C276</f>
        <v>0</v>
      </c>
      <c r="C276" s="7">
        <f>C$98</f>
        <v>0</v>
      </c>
      <c r="D276" s="12"/>
      <c r="J276" s="10"/>
    </row>
    <row r="277" spans="1:10" s="7" customFormat="1" x14ac:dyDescent="0.2">
      <c r="A277" s="14">
        <f>D9</f>
        <v>2014</v>
      </c>
      <c r="B277" s="18">
        <f ca="1">D$98-$C277</f>
        <v>3.2996395020745695E-6</v>
      </c>
      <c r="C277" s="7">
        <f ca="1">D$98</f>
        <v>56222.459576753077</v>
      </c>
      <c r="D277" s="12"/>
      <c r="J277" s="10"/>
    </row>
    <row r="278" spans="1:10" s="7" customFormat="1" x14ac:dyDescent="0.2">
      <c r="A278" s="14">
        <f>E9</f>
        <v>2015</v>
      </c>
      <c r="B278" s="18">
        <f ca="1">E$98-$C278</f>
        <v>7.1695249062031507E-6</v>
      </c>
      <c r="C278" s="7">
        <f ca="1">E$98</f>
        <v>148122.59142142368</v>
      </c>
      <c r="J278" s="10"/>
    </row>
    <row r="279" spans="1:10" s="7" customFormat="1" x14ac:dyDescent="0.2">
      <c r="A279" s="14">
        <f>F9</f>
        <v>2016</v>
      </c>
      <c r="B279" s="18">
        <f ca="1">F$98-$C279</f>
        <v>1.3081269571557641E-5</v>
      </c>
      <c r="C279" s="7">
        <f ca="1">F$98</f>
        <v>220102.14736473642</v>
      </c>
      <c r="J279" s="10"/>
    </row>
    <row r="280" spans="1:10" s="7" customFormat="1" x14ac:dyDescent="0.2">
      <c r="A280" s="14">
        <f>G9</f>
        <v>2017</v>
      </c>
      <c r="B280" s="18">
        <f ca="1">G$98-$C280</f>
        <v>2.3993372451514006E-5</v>
      </c>
      <c r="C280" s="7">
        <f ca="1">G$98</f>
        <v>293288.99222597148</v>
      </c>
      <c r="J280" s="10"/>
    </row>
    <row r="281" spans="1:10" s="7" customFormat="1" x14ac:dyDescent="0.2">
      <c r="A281" s="14">
        <f>H9</f>
        <v>2018</v>
      </c>
      <c r="B281" s="18">
        <f ca="1">H$98-$C281</f>
        <v>3.8937025237828493E-5</v>
      </c>
      <c r="C281" s="7">
        <f ca="1">H$98</f>
        <v>368229.37550316186</v>
      </c>
      <c r="J281" s="10"/>
    </row>
    <row r="282" spans="1:10" s="7" customFormat="1" x14ac:dyDescent="0.2">
      <c r="A282" s="40"/>
      <c r="B282" s="18"/>
      <c r="J282" s="10"/>
    </row>
    <row r="283" spans="1:10" s="7" customFormat="1" x14ac:dyDescent="0.2">
      <c r="A283" s="12"/>
      <c r="B283" s="18"/>
      <c r="J283" s="10"/>
    </row>
    <row r="284" spans="1:10" s="7" customFormat="1" x14ac:dyDescent="0.2">
      <c r="A284" s="9" t="s">
        <v>16</v>
      </c>
      <c r="B284" s="33"/>
      <c r="J284" s="10"/>
    </row>
    <row r="285" spans="1:10" s="7" customFormat="1" x14ac:dyDescent="0.2">
      <c r="A285" s="7" t="s">
        <v>21</v>
      </c>
      <c r="B285" s="7" t="s">
        <v>15</v>
      </c>
      <c r="C285" s="12" t="s">
        <v>3</v>
      </c>
      <c r="J285" s="10"/>
    </row>
    <row r="286" spans="1:10" s="7" customFormat="1" x14ac:dyDescent="0.2">
      <c r="A286" s="14">
        <f t="shared" ref="A286:A292" si="205">A275</f>
        <v>2012</v>
      </c>
      <c r="B286" s="18">
        <f>$C286-B64</f>
        <v>0</v>
      </c>
      <c r="C286" s="7">
        <f>B$38</f>
        <v>46018543</v>
      </c>
      <c r="J286" s="10"/>
    </row>
    <row r="287" spans="1:10" s="7" customFormat="1" x14ac:dyDescent="0.2">
      <c r="A287" s="14">
        <f t="shared" si="205"/>
        <v>2013</v>
      </c>
      <c r="B287" s="18">
        <f>$C287-C$64</f>
        <v>0</v>
      </c>
      <c r="C287" s="7">
        <f>C$38</f>
        <v>48654216</v>
      </c>
      <c r="J287" s="10"/>
    </row>
    <row r="288" spans="1:10" s="7" customFormat="1" x14ac:dyDescent="0.2">
      <c r="A288" s="14">
        <f t="shared" si="205"/>
        <v>2014</v>
      </c>
      <c r="B288" s="18">
        <f ca="1">$C288-D$64</f>
        <v>2.5110766291618347E-3</v>
      </c>
      <c r="C288" s="7">
        <f ca="1">D$38</f>
        <v>50336310.750479259</v>
      </c>
      <c r="J288" s="10"/>
    </row>
    <row r="289" spans="1:10" s="7" customFormat="1" x14ac:dyDescent="0.2">
      <c r="A289" s="14">
        <f t="shared" si="205"/>
        <v>2015</v>
      </c>
      <c r="B289" s="18">
        <f ca="1">$C289-E$64</f>
        <v>2.9398947954177856E-3</v>
      </c>
      <c r="C289" s="7">
        <f ca="1">E38</f>
        <v>51331934.306373715</v>
      </c>
      <c r="J289" s="10"/>
    </row>
    <row r="290" spans="1:10" s="7" customFormat="1" x14ac:dyDescent="0.2">
      <c r="A290" s="14">
        <f t="shared" si="205"/>
        <v>2016</v>
      </c>
      <c r="B290" s="18">
        <f ca="1">$C290-F$64</f>
        <v>7.0109963417053223E-3</v>
      </c>
      <c r="C290" s="7">
        <f ca="1">F38</f>
        <v>52287196.212904513</v>
      </c>
      <c r="J290" s="10"/>
    </row>
    <row r="291" spans="1:10" s="7" customFormat="1" x14ac:dyDescent="0.2">
      <c r="A291" s="14">
        <f t="shared" si="205"/>
        <v>2017</v>
      </c>
      <c r="B291" s="18">
        <f ca="1">$C291-G$64</f>
        <v>1.1250153183937073E-2</v>
      </c>
      <c r="C291" s="7">
        <f ca="1">G38</f>
        <v>53257894.924157411</v>
      </c>
      <c r="J291" s="10"/>
    </row>
    <row r="292" spans="1:10" s="7" customFormat="1" x14ac:dyDescent="0.2">
      <c r="A292" s="14">
        <f t="shared" si="205"/>
        <v>2018</v>
      </c>
      <c r="B292" s="18">
        <f ca="1">$C292-H$64</f>
        <v>1.839369535446167E-2</v>
      </c>
      <c r="C292" s="7">
        <f ca="1">H38</f>
        <v>54248713.463632315</v>
      </c>
      <c r="J292" s="10"/>
    </row>
    <row r="293" spans="1:10" s="7" customFormat="1" x14ac:dyDescent="0.2">
      <c r="J293" s="10"/>
    </row>
    <row r="294" spans="1:10" s="7" customFormat="1" x14ac:dyDescent="0.2">
      <c r="J294" s="10"/>
    </row>
    <row r="295" spans="1:10" s="7" customFormat="1" x14ac:dyDescent="0.2">
      <c r="J295" s="10"/>
    </row>
    <row r="296" spans="1:10" s="7" customFormat="1" x14ac:dyDescent="0.2">
      <c r="J296" s="10"/>
    </row>
    <row r="297" spans="1:10" s="7" customFormat="1" x14ac:dyDescent="0.2">
      <c r="J297" s="10"/>
    </row>
    <row r="298" spans="1:10" s="7" customFormat="1" x14ac:dyDescent="0.2">
      <c r="J298" s="10"/>
    </row>
    <row r="299" spans="1:10" s="7" customFormat="1" x14ac:dyDescent="0.2">
      <c r="J299" s="10"/>
    </row>
    <row r="300" spans="1:10" s="7" customFormat="1" x14ac:dyDescent="0.2">
      <c r="J300" s="10"/>
    </row>
    <row r="301" spans="1:10" s="7" customFormat="1" x14ac:dyDescent="0.2">
      <c r="J301" s="10"/>
    </row>
    <row r="302" spans="1:10" s="7" customFormat="1" x14ac:dyDescent="0.2">
      <c r="J302" s="10"/>
    </row>
    <row r="303" spans="1:10" s="7" customFormat="1" x14ac:dyDescent="0.2">
      <c r="J303" s="10"/>
    </row>
    <row r="304" spans="1:10" s="7" customFormat="1" x14ac:dyDescent="0.2">
      <c r="J304" s="10"/>
    </row>
    <row r="305" spans="10:10" s="7" customFormat="1" x14ac:dyDescent="0.2">
      <c r="J305" s="10"/>
    </row>
    <row r="306" spans="10:10" s="7" customFormat="1" x14ac:dyDescent="0.2">
      <c r="J306" s="10"/>
    </row>
    <row r="307" spans="10:10" s="7" customFormat="1" x14ac:dyDescent="0.2">
      <c r="J307" s="10"/>
    </row>
    <row r="308" spans="10:10" s="7" customFormat="1" x14ac:dyDescent="0.2">
      <c r="J308" s="10"/>
    </row>
    <row r="309" spans="10:10" s="7" customFormat="1" x14ac:dyDescent="0.2">
      <c r="J309" s="10"/>
    </row>
    <row r="310" spans="10:10" s="7" customFormat="1" x14ac:dyDescent="0.2">
      <c r="J310" s="10"/>
    </row>
    <row r="311" spans="10:10" s="7" customFormat="1" x14ac:dyDescent="0.2">
      <c r="J311" s="10"/>
    </row>
    <row r="312" spans="10:10" s="7" customFormat="1" x14ac:dyDescent="0.2">
      <c r="J312" s="10"/>
    </row>
    <row r="313" spans="10:10" s="7" customFormat="1" x14ac:dyDescent="0.2">
      <c r="J313" s="10"/>
    </row>
    <row r="314" spans="10:10" s="7" customFormat="1" x14ac:dyDescent="0.2">
      <c r="J314" s="10"/>
    </row>
    <row r="315" spans="10:10" s="7" customFormat="1" x14ac:dyDescent="0.2">
      <c r="J315" s="10"/>
    </row>
    <row r="316" spans="10:10" s="7" customFormat="1" x14ac:dyDescent="0.2">
      <c r="J316" s="10"/>
    </row>
    <row r="317" spans="10:10" s="7" customFormat="1" x14ac:dyDescent="0.2">
      <c r="J317" s="10"/>
    </row>
    <row r="318" spans="10:10" s="7" customFormat="1" x14ac:dyDescent="0.2">
      <c r="J318" s="10"/>
    </row>
  </sheetData>
  <phoneticPr fontId="6" type="noConversion"/>
  <printOptions horizontalCentered="1"/>
  <pageMargins left="0.66" right="0.66" top="0.75" bottom="0.75" header="0.5" footer="0.5"/>
  <pageSetup scale="80" fitToHeight="6" orientation="portrait" r:id="rId1"/>
  <headerFooter alignWithMargins="0"/>
  <rowBreaks count="4" manualBreakCount="4">
    <brk id="68" max="8" man="1"/>
    <brk id="116" max="12" man="1"/>
    <brk id="179" max="8" man="1"/>
    <brk id="2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6"/>
  <sheetViews>
    <sheetView showGridLines="0" zoomScale="130" zoomScaleNormal="130" workbookViewId="0">
      <selection activeCell="D32" sqref="D32"/>
    </sheetView>
  </sheetViews>
  <sheetFormatPr defaultRowHeight="12.75" x14ac:dyDescent="0.2"/>
  <cols>
    <col min="1" max="1" width="6" style="25" customWidth="1"/>
    <col min="2" max="2" width="21.42578125" style="7" customWidth="1"/>
    <col min="3" max="3" width="12.7109375" style="7" customWidth="1"/>
    <col min="4" max="4" width="16.7109375" style="7" customWidth="1"/>
    <col min="5" max="5" width="23.140625" style="7" customWidth="1"/>
    <col min="6" max="7" width="11" style="7" customWidth="1"/>
    <col min="8" max="8" width="20.7109375" style="7" customWidth="1"/>
    <col min="9" max="9" width="9.42578125" style="7" bestFit="1" customWidth="1"/>
    <col min="10" max="10" width="10.85546875" style="7" customWidth="1"/>
    <col min="11" max="11" width="10.85546875" style="7" bestFit="1" customWidth="1"/>
    <col min="12" max="12" width="11.28515625" style="7" customWidth="1"/>
    <col min="13" max="13" width="10.85546875" style="7" bestFit="1" customWidth="1"/>
    <col min="14" max="14" width="11.140625" style="7" customWidth="1"/>
    <col min="15" max="15" width="10.5703125" style="7" customWidth="1"/>
    <col min="16" max="16" width="10.85546875" style="7" bestFit="1" customWidth="1"/>
    <col min="17" max="17" width="11.140625" style="7" customWidth="1"/>
    <col min="18" max="18" width="10.85546875" style="7" customWidth="1"/>
    <col min="19" max="19" width="10.85546875" customWidth="1"/>
  </cols>
  <sheetData>
    <row r="1" spans="1:17" ht="15.75" x14ac:dyDescent="0.25">
      <c r="A1" s="25">
        <v>1</v>
      </c>
      <c r="B1" s="28" t="s">
        <v>20</v>
      </c>
      <c r="D1" s="27">
        <f ca="1">NOW()</f>
        <v>41759.387993634256</v>
      </c>
    </row>
    <row r="2" spans="1:17" ht="7.5" customHeight="1" x14ac:dyDescent="0.25">
      <c r="A2" s="25">
        <f>A1+1</f>
        <v>2</v>
      </c>
      <c r="B2" s="28"/>
      <c r="D2" s="27"/>
    </row>
    <row r="3" spans="1:17" ht="15.75" x14ac:dyDescent="0.25">
      <c r="A3" s="25">
        <f>A2+1</f>
        <v>3</v>
      </c>
      <c r="B3" s="28" t="s">
        <v>59</v>
      </c>
      <c r="C3" s="28"/>
      <c r="D3" s="28" t="s">
        <v>167</v>
      </c>
    </row>
    <row r="4" spans="1:17" ht="7.5" customHeight="1" x14ac:dyDescent="0.2">
      <c r="A4" s="25">
        <f t="shared" ref="A4:A71" si="0">A3+1</f>
        <v>4</v>
      </c>
    </row>
    <row r="5" spans="1:17" x14ac:dyDescent="0.2">
      <c r="A5" s="25">
        <f t="shared" si="0"/>
        <v>5</v>
      </c>
      <c r="B5" s="7" t="s">
        <v>17</v>
      </c>
      <c r="D5" s="10"/>
      <c r="F5" s="12"/>
      <c r="G5" s="10"/>
      <c r="I5" s="14">
        <v>2004</v>
      </c>
      <c r="J5" s="14">
        <v>2005</v>
      </c>
      <c r="K5" s="14">
        <v>2006</v>
      </c>
      <c r="L5" s="45">
        <v>2007</v>
      </c>
      <c r="M5" s="20"/>
    </row>
    <row r="6" spans="1:17" x14ac:dyDescent="0.2">
      <c r="A6" s="25">
        <f t="shared" si="0"/>
        <v>6</v>
      </c>
      <c r="B6" s="7" t="s">
        <v>26</v>
      </c>
      <c r="D6" s="10">
        <v>0.02</v>
      </c>
      <c r="F6" s="12" t="s">
        <v>112</v>
      </c>
      <c r="G6" s="10"/>
      <c r="I6" s="14"/>
    </row>
    <row r="7" spans="1:17" x14ac:dyDescent="0.2">
      <c r="A7" s="25">
        <f t="shared" si="0"/>
        <v>7</v>
      </c>
      <c r="B7" s="7" t="s">
        <v>24</v>
      </c>
      <c r="D7" s="10">
        <v>7.0000000000000007E-2</v>
      </c>
      <c r="F7" s="22" t="s">
        <v>152</v>
      </c>
      <c r="G7" s="10"/>
      <c r="I7" s="21">
        <f>Historical!B103/(Historical!B100+Historical!B102)</f>
        <v>0</v>
      </c>
      <c r="J7" s="21">
        <f>Historical!C103/(Historical!C100+Historical!C102)</f>
        <v>0</v>
      </c>
      <c r="K7" s="21">
        <f>Historical!D103/(Historical!D100+Historical!D102)</f>
        <v>0</v>
      </c>
      <c r="L7" s="21">
        <f>Historical!E103/(Historical!E100+Historical!E102)</f>
        <v>0</v>
      </c>
      <c r="M7" s="21"/>
      <c r="N7" s="21"/>
      <c r="O7" s="21"/>
      <c r="P7" s="21"/>
      <c r="Q7" s="21"/>
    </row>
    <row r="8" spans="1:17" x14ac:dyDescent="0.2">
      <c r="A8" s="25">
        <f t="shared" si="0"/>
        <v>8</v>
      </c>
      <c r="B8" s="7" t="s">
        <v>14</v>
      </c>
      <c r="D8" s="10">
        <f>5%</f>
        <v>0.05</v>
      </c>
      <c r="F8" s="12"/>
      <c r="G8" s="10"/>
    </row>
    <row r="9" spans="1:17" ht="7.5" customHeight="1" x14ac:dyDescent="0.2">
      <c r="A9" s="25">
        <f t="shared" si="0"/>
        <v>9</v>
      </c>
      <c r="D9" s="10"/>
      <c r="F9" s="22"/>
      <c r="G9" s="10"/>
    </row>
    <row r="10" spans="1:17" ht="7.5" customHeight="1" x14ac:dyDescent="0.2">
      <c r="A10" s="25">
        <f t="shared" si="0"/>
        <v>10</v>
      </c>
      <c r="F10" s="16"/>
    </row>
    <row r="11" spans="1:17" ht="7.5" customHeight="1" x14ac:dyDescent="0.2">
      <c r="A11" s="25">
        <f t="shared" si="0"/>
        <v>11</v>
      </c>
    </row>
    <row r="12" spans="1:17" x14ac:dyDescent="0.2">
      <c r="A12" s="25">
        <f t="shared" si="0"/>
        <v>12</v>
      </c>
      <c r="B12" s="13" t="s">
        <v>129</v>
      </c>
      <c r="D12" s="10">
        <f>+Historical!L77</f>
        <v>1.9168847930989903E-2</v>
      </c>
      <c r="E12" s="23" t="s">
        <v>153</v>
      </c>
      <c r="F12" s="16"/>
    </row>
    <row r="13" spans="1:17" x14ac:dyDescent="0.2">
      <c r="A13" s="25">
        <f t="shared" si="0"/>
        <v>13</v>
      </c>
      <c r="B13" s="13" t="s">
        <v>130</v>
      </c>
      <c r="E13" s="23"/>
    </row>
    <row r="14" spans="1:17" x14ac:dyDescent="0.2">
      <c r="A14" s="25">
        <f t="shared" si="0"/>
        <v>14</v>
      </c>
      <c r="B14" s="13"/>
      <c r="D14" s="10"/>
      <c r="F14" s="21"/>
      <c r="H14" s="21"/>
    </row>
    <row r="15" spans="1:17" x14ac:dyDescent="0.2">
      <c r="A15" s="25">
        <f t="shared" si="0"/>
        <v>15</v>
      </c>
      <c r="B15" s="15" t="s">
        <v>32</v>
      </c>
    </row>
    <row r="16" spans="1:17" x14ac:dyDescent="0.2">
      <c r="A16" s="25">
        <f t="shared" si="0"/>
        <v>16</v>
      </c>
      <c r="B16" s="7" t="str">
        <f>Historical!A80</f>
        <v>Cost of Purchased Power</v>
      </c>
      <c r="D16" s="10">
        <v>2.0500000000000001E-2</v>
      </c>
      <c r="E16" s="23" t="s">
        <v>168</v>
      </c>
      <c r="F16" s="16"/>
    </row>
    <row r="17" spans="1:17" x14ac:dyDescent="0.2">
      <c r="A17" s="25">
        <f t="shared" si="0"/>
        <v>17</v>
      </c>
      <c r="B17" s="7" t="str">
        <f>Historical!A81</f>
        <v>Administrative and General Expenses</v>
      </c>
      <c r="D17" s="10">
        <f>+Historical!X81-0.015</f>
        <v>3.6253264382263298E-2</v>
      </c>
      <c r="E17" s="23" t="s">
        <v>169</v>
      </c>
      <c r="F17" s="26"/>
    </row>
    <row r="18" spans="1:17" x14ac:dyDescent="0.2">
      <c r="A18" s="25">
        <f t="shared" si="0"/>
        <v>18</v>
      </c>
      <c r="B18" s="7" t="str">
        <f>Historical!A82</f>
        <v xml:space="preserve">   Operating and Maintenance</v>
      </c>
      <c r="D18" s="10">
        <f>+Historical!X82-0.01</f>
        <v>4.093597209130314E-2</v>
      </c>
      <c r="E18" s="23" t="s">
        <v>169</v>
      </c>
      <c r="F18" s="23"/>
      <c r="J18" s="14"/>
      <c r="K18" s="14"/>
      <c r="L18" s="14"/>
      <c r="M18" s="14"/>
      <c r="N18" s="14"/>
      <c r="O18" s="14">
        <v>2005</v>
      </c>
      <c r="P18" s="8" t="s">
        <v>121</v>
      </c>
      <c r="Q18" s="20" t="s">
        <v>122</v>
      </c>
    </row>
    <row r="19" spans="1:17" x14ac:dyDescent="0.2">
      <c r="A19" s="25">
        <f t="shared" si="0"/>
        <v>19</v>
      </c>
      <c r="B19" s="7" t="str">
        <f>Historical!A83</f>
        <v xml:space="preserve">   Depreciation and amortization</v>
      </c>
      <c r="D19" s="10">
        <f>D6</f>
        <v>0.02</v>
      </c>
      <c r="E19" s="23" t="s">
        <v>131</v>
      </c>
      <c r="F19" s="23"/>
      <c r="J19" s="17"/>
      <c r="K19" s="17"/>
      <c r="L19" s="17"/>
      <c r="M19" s="17"/>
      <c r="N19" s="17"/>
      <c r="O19" s="17">
        <f>Historical!B83/Historical!B24</f>
        <v>2.8823992310221692E-2</v>
      </c>
      <c r="P19" s="17">
        <f>40602/(1390087+24077+5)</f>
        <v>2.8710854218979485E-2</v>
      </c>
      <c r="Q19" s="17">
        <f>41285/(1503509+24077+5)</f>
        <v>2.7026213168315341E-2</v>
      </c>
    </row>
    <row r="20" spans="1:17" x14ac:dyDescent="0.2">
      <c r="A20" s="25">
        <f t="shared" si="0"/>
        <v>20</v>
      </c>
      <c r="B20" s="7" t="str">
        <f>Historical!A84</f>
        <v xml:space="preserve">   Sales Expense</v>
      </c>
      <c r="D20" s="10">
        <f>D6*2</f>
        <v>0.04</v>
      </c>
      <c r="E20" s="23" t="s">
        <v>170</v>
      </c>
      <c r="F20" s="23"/>
      <c r="N20" s="17"/>
      <c r="O20" s="17"/>
      <c r="P20" s="17"/>
    </row>
    <row r="21" spans="1:17" x14ac:dyDescent="0.2">
      <c r="B21" s="7" t="str">
        <f>Historical!A85</f>
        <v xml:space="preserve">   Transmission</v>
      </c>
      <c r="D21" s="10">
        <f t="shared" ref="D21" si="1">D8</f>
        <v>0.05</v>
      </c>
      <c r="E21" s="23" t="s">
        <v>131</v>
      </c>
      <c r="F21" s="23"/>
      <c r="N21" s="17"/>
      <c r="O21" s="17"/>
      <c r="P21" s="17"/>
    </row>
    <row r="22" spans="1:17" x14ac:dyDescent="0.2">
      <c r="B22" s="7" t="str">
        <f>Historical!A86</f>
        <v xml:space="preserve">   Consumer Accounts </v>
      </c>
      <c r="D22" s="10">
        <f>D6</f>
        <v>0.02</v>
      </c>
      <c r="E22" s="23" t="s">
        <v>131</v>
      </c>
      <c r="F22" s="23"/>
      <c r="N22" s="17"/>
      <c r="O22" s="17"/>
      <c r="P22" s="17"/>
    </row>
    <row r="23" spans="1:17" x14ac:dyDescent="0.2">
      <c r="B23" s="7" t="str">
        <f>Historical!A87</f>
        <v xml:space="preserve">    Customer Service &amp; Information</v>
      </c>
      <c r="D23" s="10">
        <f>D6</f>
        <v>0.02</v>
      </c>
      <c r="E23" s="23" t="s">
        <v>131</v>
      </c>
      <c r="F23" s="23"/>
      <c r="N23" s="17"/>
      <c r="O23" s="17"/>
      <c r="P23" s="17"/>
    </row>
    <row r="24" spans="1:17" x14ac:dyDescent="0.2">
      <c r="B24" s="7" t="str">
        <f>Historical!A88</f>
        <v xml:space="preserve">    Other Interest</v>
      </c>
      <c r="D24" s="10">
        <f>D6</f>
        <v>0.02</v>
      </c>
      <c r="E24" s="23" t="s">
        <v>131</v>
      </c>
      <c r="F24" s="23"/>
      <c r="N24" s="17"/>
      <c r="O24" s="17"/>
      <c r="P24" s="17"/>
    </row>
    <row r="25" spans="1:17" x14ac:dyDescent="0.2">
      <c r="A25" s="25">
        <f>A20+1</f>
        <v>21</v>
      </c>
      <c r="B25" s="7" t="str">
        <f>Historical!A89</f>
        <v xml:space="preserve">   Taxes, other than income taxes</v>
      </c>
      <c r="D25" s="10">
        <f>D6</f>
        <v>0.02</v>
      </c>
      <c r="E25" s="23" t="s">
        <v>131</v>
      </c>
      <c r="F25" s="16"/>
      <c r="I25" s="10"/>
    </row>
    <row r="26" spans="1:17" x14ac:dyDescent="0.2">
      <c r="A26" s="25">
        <f t="shared" si="0"/>
        <v>22</v>
      </c>
    </row>
    <row r="27" spans="1:17" x14ac:dyDescent="0.2">
      <c r="A27" s="25">
        <f t="shared" si="0"/>
        <v>23</v>
      </c>
      <c r="B27" s="7" t="str">
        <f>'Forecast '!A98</f>
        <v>Interest on (Surplus Cash)/Add. Loans</v>
      </c>
      <c r="D27" s="10">
        <v>0.02</v>
      </c>
      <c r="E27" s="7" t="s">
        <v>90</v>
      </c>
      <c r="F27" s="16" t="s">
        <v>154</v>
      </c>
    </row>
    <row r="28" spans="1:17" x14ac:dyDescent="0.2">
      <c r="A28" s="25">
        <f t="shared" si="0"/>
        <v>24</v>
      </c>
      <c r="B28" s="7" t="str">
        <f>Historical!A94</f>
        <v xml:space="preserve">   Interest on Lont-Term Debt</v>
      </c>
      <c r="D28" s="42">
        <v>5.16E-2</v>
      </c>
      <c r="E28" s="16" t="s">
        <v>139</v>
      </c>
      <c r="F28" s="23" t="s">
        <v>140</v>
      </c>
    </row>
    <row r="29" spans="1:17" x14ac:dyDescent="0.2">
      <c r="A29" s="25">
        <f t="shared" si="0"/>
        <v>25</v>
      </c>
      <c r="B29" s="7" t="str">
        <f>Historical!A95</f>
        <v xml:space="preserve">   Interest and Other Income</v>
      </c>
      <c r="D29" s="42">
        <v>1.1000000000000001E-3</v>
      </c>
      <c r="E29" s="23" t="s">
        <v>138</v>
      </c>
      <c r="F29" s="16"/>
    </row>
    <row r="30" spans="1:17" x14ac:dyDescent="0.2">
      <c r="A30" s="25">
        <f t="shared" si="0"/>
        <v>26</v>
      </c>
      <c r="B30" s="7" t="str">
        <f>Historical!A96</f>
        <v xml:space="preserve">   Loss (Gain) on Sale of Assets</v>
      </c>
      <c r="D30" s="47">
        <f>AVERAGE(Historical!B96:E96)</f>
        <v>0</v>
      </c>
      <c r="E30" s="7" t="s">
        <v>91</v>
      </c>
      <c r="F30" s="7" t="s">
        <v>92</v>
      </c>
    </row>
    <row r="31" spans="1:17" x14ac:dyDescent="0.2">
      <c r="A31" s="25">
        <f t="shared" si="0"/>
        <v>27</v>
      </c>
      <c r="B31" s="7" t="str">
        <f>Historical!A97</f>
        <v xml:space="preserve">   Other (Income) Expense</v>
      </c>
      <c r="D31" s="47">
        <v>-92041</v>
      </c>
      <c r="E31" s="7" t="s">
        <v>91</v>
      </c>
      <c r="F31" s="7" t="s">
        <v>92</v>
      </c>
    </row>
    <row r="32" spans="1:17" x14ac:dyDescent="0.2">
      <c r="A32" s="25">
        <f t="shared" si="0"/>
        <v>28</v>
      </c>
      <c r="B32" s="7" t="str">
        <f>Historical!A102</f>
        <v>Capital Credits</v>
      </c>
      <c r="D32" s="47">
        <v>0</v>
      </c>
      <c r="E32" s="7" t="s">
        <v>93</v>
      </c>
    </row>
    <row r="33" spans="1:15" x14ac:dyDescent="0.2">
      <c r="A33" s="25">
        <f t="shared" si="0"/>
        <v>29</v>
      </c>
      <c r="B33" s="7" t="s">
        <v>25</v>
      </c>
      <c r="D33" s="38">
        <v>0</v>
      </c>
      <c r="E33" s="7" t="s">
        <v>164</v>
      </c>
    </row>
    <row r="34" spans="1:15" x14ac:dyDescent="0.2">
      <c r="A34" s="25">
        <f t="shared" si="0"/>
        <v>30</v>
      </c>
      <c r="D34" s="10"/>
    </row>
    <row r="35" spans="1:15" x14ac:dyDescent="0.2">
      <c r="A35" s="25">
        <f t="shared" si="0"/>
        <v>31</v>
      </c>
      <c r="B35" s="7" t="str">
        <f>Historical!A113</f>
        <v>Preferred Stock Dividends</v>
      </c>
      <c r="D35" s="10">
        <v>0</v>
      </c>
      <c r="E35" s="7" t="s">
        <v>94</v>
      </c>
      <c r="F35" s="7" t="s">
        <v>110</v>
      </c>
    </row>
    <row r="36" spans="1:15" x14ac:dyDescent="0.2">
      <c r="A36" s="25">
        <f t="shared" si="0"/>
        <v>32</v>
      </c>
      <c r="B36" s="7" t="str">
        <f>Historical!A114</f>
        <v>Return of Patrons Capital</v>
      </c>
      <c r="D36" s="10">
        <f>+Historical!X114</f>
        <v>-3.2827854585454973E-2</v>
      </c>
      <c r="E36" s="7" t="s">
        <v>155</v>
      </c>
      <c r="F36" s="7" t="s">
        <v>156</v>
      </c>
    </row>
    <row r="37" spans="1:15" x14ac:dyDescent="0.2">
      <c r="A37" s="25">
        <f t="shared" si="0"/>
        <v>33</v>
      </c>
      <c r="I37" s="14"/>
      <c r="J37" s="14"/>
      <c r="K37" s="14"/>
      <c r="L37" s="14"/>
      <c r="M37" s="14"/>
      <c r="N37" s="14"/>
    </row>
    <row r="38" spans="1:15" x14ac:dyDescent="0.2">
      <c r="A38" s="25">
        <f t="shared" si="0"/>
        <v>34</v>
      </c>
      <c r="B38" s="7" t="str">
        <f>'Forecast '!A12</f>
        <v>Cash &amp; Equivalents</v>
      </c>
      <c r="D38" s="10">
        <f>1/24*2</f>
        <v>8.3333333333333329E-2</v>
      </c>
      <c r="E38" s="16" t="s">
        <v>125</v>
      </c>
      <c r="F38" s="23" t="s">
        <v>124</v>
      </c>
      <c r="I38" s="17"/>
      <c r="J38" s="17"/>
      <c r="K38" s="17"/>
      <c r="L38" s="17"/>
      <c r="M38" s="17"/>
      <c r="N38" s="17"/>
      <c r="O38" s="17"/>
    </row>
    <row r="39" spans="1:15" x14ac:dyDescent="0.2">
      <c r="A39" s="25">
        <f t="shared" si="0"/>
        <v>35</v>
      </c>
      <c r="B39" s="7" t="str">
        <f>'Forecast '!A13</f>
        <v>Surplus Cash</v>
      </c>
      <c r="E39" s="7" t="s">
        <v>8</v>
      </c>
    </row>
    <row r="40" spans="1:15" x14ac:dyDescent="0.2">
      <c r="A40" s="25">
        <f t="shared" si="0"/>
        <v>36</v>
      </c>
      <c r="B40" s="7" t="str">
        <f>'Forecast '!A14</f>
        <v>Accounts Receivable, net</v>
      </c>
      <c r="D40" s="38">
        <f>+Historical!L167</f>
        <v>2.2087930718705545E-2</v>
      </c>
      <c r="E40" s="7" t="s">
        <v>65</v>
      </c>
      <c r="F40" s="7" t="s">
        <v>97</v>
      </c>
      <c r="I40" s="10"/>
      <c r="J40" s="10"/>
      <c r="K40" s="10"/>
      <c r="L40" s="10"/>
      <c r="M40" s="10"/>
      <c r="N40" s="10"/>
      <c r="O40" s="17"/>
    </row>
    <row r="41" spans="1:15" x14ac:dyDescent="0.2">
      <c r="A41" s="25">
        <f t="shared" si="0"/>
        <v>37</v>
      </c>
      <c r="B41" s="7" t="str">
        <f>'Forecast '!A15</f>
        <v>Material and Supplies</v>
      </c>
      <c r="D41" s="38">
        <v>7.6649999999999996E-2</v>
      </c>
      <c r="E41" s="7" t="s">
        <v>96</v>
      </c>
      <c r="F41" s="7" t="s">
        <v>97</v>
      </c>
    </row>
    <row r="42" spans="1:15" x14ac:dyDescent="0.2">
      <c r="A42" s="25">
        <f t="shared" si="0"/>
        <v>38</v>
      </c>
      <c r="B42" s="7" t="str">
        <f>'Forecast '!A16</f>
        <v>Other Current Assets</v>
      </c>
      <c r="D42" s="38">
        <f>+Historical!W16</f>
        <v>3.3903331213886996E-3</v>
      </c>
      <c r="E42" s="7" t="s">
        <v>96</v>
      </c>
      <c r="F42" s="7" t="s">
        <v>97</v>
      </c>
    </row>
    <row r="43" spans="1:15" x14ac:dyDescent="0.2">
      <c r="A43" s="25">
        <f t="shared" si="0"/>
        <v>39</v>
      </c>
      <c r="D43" s="47"/>
    </row>
    <row r="44" spans="1:15" ht="12" customHeight="1" x14ac:dyDescent="0.2">
      <c r="A44" s="25">
        <f t="shared" si="0"/>
        <v>40</v>
      </c>
      <c r="B44" s="7" t="str">
        <f>'Forecast '!A19</f>
        <v>Plant &amp; Equipment:</v>
      </c>
    </row>
    <row r="45" spans="1:15" x14ac:dyDescent="0.2">
      <c r="A45" s="25">
        <f t="shared" si="0"/>
        <v>41</v>
      </c>
      <c r="B45" s="7" t="str">
        <f>'Forecast '!A20</f>
        <v>Plant in Service</v>
      </c>
      <c r="D45" s="10">
        <f>+Historical!L24-0.0035</f>
        <v>2.1272054088936326E-2</v>
      </c>
      <c r="E45" s="23" t="s">
        <v>166</v>
      </c>
      <c r="F45" s="46"/>
      <c r="G45" s="46"/>
    </row>
    <row r="46" spans="1:15" x14ac:dyDescent="0.2">
      <c r="A46" s="25">
        <f t="shared" si="0"/>
        <v>42</v>
      </c>
      <c r="D46" s="10"/>
    </row>
    <row r="47" spans="1:15" x14ac:dyDescent="0.2">
      <c r="A47" s="25">
        <f t="shared" si="0"/>
        <v>43</v>
      </c>
      <c r="B47" s="7" t="str">
        <f>'Forecast '!A21</f>
        <v xml:space="preserve">  Construction Work in Progress</v>
      </c>
      <c r="D47" s="24"/>
      <c r="E47" s="7" t="s">
        <v>158</v>
      </c>
      <c r="F47" s="16"/>
    </row>
    <row r="48" spans="1:15" x14ac:dyDescent="0.2">
      <c r="A48" s="25">
        <f t="shared" si="0"/>
        <v>44</v>
      </c>
    </row>
    <row r="49" spans="1:20" x14ac:dyDescent="0.2">
      <c r="A49" s="25">
        <f t="shared" si="0"/>
        <v>45</v>
      </c>
      <c r="B49" s="7" t="str">
        <f>'Forecast '!A22</f>
        <v>Electric Plant Acquisition Adjustment</v>
      </c>
      <c r="D49" s="7">
        <v>0</v>
      </c>
      <c r="E49" s="7" t="s">
        <v>98</v>
      </c>
      <c r="F49" s="7" t="s">
        <v>93</v>
      </c>
    </row>
    <row r="50" spans="1:20" x14ac:dyDescent="0.2">
      <c r="A50" s="25">
        <f t="shared" si="0"/>
        <v>46</v>
      </c>
      <c r="J50" s="14">
        <v>2004</v>
      </c>
      <c r="K50" s="14">
        <v>2005</v>
      </c>
      <c r="L50" s="14">
        <v>2006</v>
      </c>
      <c r="M50" s="52">
        <f>+L50+1</f>
        <v>2007</v>
      </c>
      <c r="N50" s="53">
        <f>+M50+1</f>
        <v>2008</v>
      </c>
    </row>
    <row r="51" spans="1:20" x14ac:dyDescent="0.2">
      <c r="A51" s="25">
        <f t="shared" si="0"/>
        <v>47</v>
      </c>
      <c r="B51" s="7" t="str">
        <f>'Forecast '!A26</f>
        <v>Accumulated Depreciation &amp; Amort.</v>
      </c>
      <c r="D51" s="38">
        <v>0.46739999999999998</v>
      </c>
      <c r="E51" s="7" t="s">
        <v>162</v>
      </c>
      <c r="F51" s="23"/>
      <c r="J51" s="10">
        <f>Historical!B26/Historical!B20</f>
        <v>0.48871404713768635</v>
      </c>
      <c r="K51" s="10">
        <f>Historical!C26/Historical!C20</f>
        <v>0.49737308361358273</v>
      </c>
      <c r="L51" s="10">
        <f>Historical!D26/Historical!D20</f>
        <v>0.51238634313538567</v>
      </c>
      <c r="M51" s="10">
        <f>Historical!E26/Historical!E20</f>
        <v>0.5120143671641213</v>
      </c>
      <c r="N51" s="10">
        <f>Historical!F26/Historical!F20</f>
        <v>0.50471810704722597</v>
      </c>
      <c r="O51" s="10">
        <f>AVERAGE(J51:N51)</f>
        <v>0.50304118961960032</v>
      </c>
    </row>
    <row r="52" spans="1:20" x14ac:dyDescent="0.2">
      <c r="A52" s="25">
        <f t="shared" si="0"/>
        <v>48</v>
      </c>
      <c r="D52" s="47"/>
    </row>
    <row r="53" spans="1:20" x14ac:dyDescent="0.2">
      <c r="A53" s="25">
        <f t="shared" si="0"/>
        <v>49</v>
      </c>
      <c r="B53" s="7" t="str">
        <f>'Forecast '!A31</f>
        <v>Regulatory Assets</v>
      </c>
      <c r="D53" s="38"/>
      <c r="F53" s="16"/>
    </row>
    <row r="54" spans="1:20" ht="12" customHeight="1" x14ac:dyDescent="0.2">
      <c r="A54" s="25">
        <f t="shared" si="0"/>
        <v>50</v>
      </c>
      <c r="B54" s="7" t="str">
        <f>'Forecast '!A34</f>
        <v>Energy Conservation &amp; Develop Loans</v>
      </c>
      <c r="D54" s="47"/>
    </row>
    <row r="55" spans="1:20" x14ac:dyDescent="0.2">
      <c r="A55" s="25">
        <f t="shared" si="0"/>
        <v>51</v>
      </c>
      <c r="B55" s="7" t="str">
        <f>'Forecast '!A35</f>
        <v>Other Non-Current Assets</v>
      </c>
      <c r="D55" s="47">
        <f>+Historical!F35</f>
        <v>836458</v>
      </c>
      <c r="E55" s="7" t="s">
        <v>172</v>
      </c>
      <c r="F55" s="16" t="s">
        <v>149</v>
      </c>
    </row>
    <row r="56" spans="1:20" x14ac:dyDescent="0.2">
      <c r="A56" s="25">
        <f t="shared" si="0"/>
        <v>52</v>
      </c>
      <c r="D56" s="47"/>
      <c r="F56" s="12"/>
    </row>
    <row r="57" spans="1:20" x14ac:dyDescent="0.2">
      <c r="A57" s="25">
        <f t="shared" si="0"/>
        <v>53</v>
      </c>
      <c r="B57" s="7" t="str">
        <f>'Forecast '!A41</f>
        <v>Current Portion of LTD</v>
      </c>
      <c r="C57" s="18"/>
      <c r="D57" s="38">
        <f>+Historical!L169</f>
        <v>8.7452556367422773E-2</v>
      </c>
      <c r="E57" s="23" t="s">
        <v>159</v>
      </c>
      <c r="F57" s="29"/>
      <c r="I57" s="14">
        <v>2004</v>
      </c>
      <c r="J57" s="14">
        <v>2005</v>
      </c>
      <c r="K57" s="14">
        <v>2006</v>
      </c>
      <c r="L57" s="45">
        <v>2007</v>
      </c>
      <c r="M57" s="14"/>
      <c r="N57" s="14"/>
    </row>
    <row r="58" spans="1:20" x14ac:dyDescent="0.2">
      <c r="A58" s="25">
        <f t="shared" si="0"/>
        <v>54</v>
      </c>
      <c r="B58" s="7" t="str">
        <f>'Forecast '!A42</f>
        <v>Acounts Payable</v>
      </c>
      <c r="C58" s="18"/>
      <c r="D58" s="38">
        <f>+Historical!L171</f>
        <v>2.2528124517610607E-2</v>
      </c>
      <c r="E58" s="7" t="s">
        <v>150</v>
      </c>
      <c r="F58" s="22" t="s">
        <v>148</v>
      </c>
      <c r="I58" s="10">
        <f>Historical!B42/Historical!B77</f>
        <v>9.6440542359453995E-3</v>
      </c>
      <c r="J58" s="10">
        <f>Historical!C42/Historical!C77</f>
        <v>1.0300597623990333E-2</v>
      </c>
      <c r="K58" s="10">
        <f>Historical!D42/Historical!D77</f>
        <v>7.5142852134390779E-3</v>
      </c>
      <c r="L58" s="10">
        <f>Historical!E42/Historical!E77</f>
        <v>1.2382572720319849E-2</v>
      </c>
      <c r="M58" s="10"/>
      <c r="N58" s="10">
        <f>AVERAGE(I58:L58)</f>
        <v>9.9603774484236657E-3</v>
      </c>
      <c r="O58" s="10"/>
    </row>
    <row r="59" spans="1:20" x14ac:dyDescent="0.2">
      <c r="A59" s="25">
        <f t="shared" si="0"/>
        <v>55</v>
      </c>
      <c r="B59" s="7" t="str">
        <f>'Forecast '!A43</f>
        <v>Acounts Payable, Affiliates</v>
      </c>
      <c r="C59" s="18"/>
      <c r="D59" s="38">
        <v>4.4275000000000002E-2</v>
      </c>
      <c r="E59" s="7" t="s">
        <v>150</v>
      </c>
      <c r="F59" s="22"/>
    </row>
    <row r="60" spans="1:20" x14ac:dyDescent="0.2">
      <c r="A60" s="25">
        <f t="shared" si="0"/>
        <v>56</v>
      </c>
      <c r="B60" s="7" t="str">
        <f>'Forecast '!A44</f>
        <v>Customer Deposits</v>
      </c>
      <c r="C60" s="18"/>
      <c r="D60" s="50">
        <v>36610</v>
      </c>
      <c r="E60" s="7" t="s">
        <v>173</v>
      </c>
      <c r="F60" s="22" t="s">
        <v>151</v>
      </c>
    </row>
    <row r="61" spans="1:20" x14ac:dyDescent="0.2">
      <c r="A61" s="25">
        <f t="shared" si="0"/>
        <v>57</v>
      </c>
      <c r="B61" s="7" t="str">
        <f>'Forecast '!A45</f>
        <v>Rate-Refund Obligation</v>
      </c>
      <c r="C61" s="18"/>
      <c r="D61" s="38">
        <v>0</v>
      </c>
      <c r="E61" s="7" t="s">
        <v>99</v>
      </c>
      <c r="F61" s="12" t="s">
        <v>95</v>
      </c>
    </row>
    <row r="62" spans="1:20" x14ac:dyDescent="0.2">
      <c r="A62" s="25">
        <f t="shared" si="0"/>
        <v>58</v>
      </c>
      <c r="B62" s="7" t="str">
        <f>'Forecast '!A47</f>
        <v xml:space="preserve">Other </v>
      </c>
      <c r="C62" s="18"/>
      <c r="D62" s="38">
        <v>1.4999999999999999E-2</v>
      </c>
      <c r="E62" s="7" t="s">
        <v>96</v>
      </c>
      <c r="F62" s="7" t="s">
        <v>97</v>
      </c>
    </row>
    <row r="63" spans="1:20" x14ac:dyDescent="0.2">
      <c r="A63" s="25">
        <f t="shared" si="0"/>
        <v>59</v>
      </c>
      <c r="B63" s="7" t="s">
        <v>160</v>
      </c>
      <c r="C63" s="18"/>
      <c r="D63" s="38">
        <v>0.06</v>
      </c>
      <c r="F63" s="12"/>
      <c r="I63"/>
      <c r="J63"/>
      <c r="K63"/>
      <c r="L63"/>
      <c r="M63"/>
      <c r="N63"/>
      <c r="O63"/>
      <c r="P63"/>
      <c r="Q63"/>
      <c r="R63"/>
      <c r="T63" s="30"/>
    </row>
    <row r="64" spans="1:20" x14ac:dyDescent="0.2">
      <c r="A64" s="25">
        <f t="shared" si="0"/>
        <v>60</v>
      </c>
      <c r="B64" s="7" t="str">
        <f>'Forecast '!A50</f>
        <v>Long-Term Debt</v>
      </c>
      <c r="C64" s="18"/>
      <c r="D64" s="38">
        <f>+D57*-1</f>
        <v>-8.7452556367422773E-2</v>
      </c>
      <c r="E64" s="16" t="s">
        <v>139</v>
      </c>
      <c r="F64" s="23"/>
      <c r="I64"/>
      <c r="J64"/>
      <c r="K64"/>
      <c r="L64"/>
      <c r="M64"/>
      <c r="N64"/>
      <c r="O64"/>
      <c r="P64"/>
      <c r="Q64"/>
      <c r="R64"/>
    </row>
    <row r="65" spans="1:19" x14ac:dyDescent="0.2">
      <c r="A65" s="25">
        <f t="shared" si="0"/>
        <v>61</v>
      </c>
      <c r="B65" s="7" t="str">
        <f>'Forecast '!A51</f>
        <v>Deferred Income Taxes</v>
      </c>
      <c r="C65" s="18"/>
      <c r="D65" s="38">
        <f>Historical!T51</f>
        <v>0</v>
      </c>
      <c r="E65" s="7" t="s">
        <v>133</v>
      </c>
      <c r="F65" s="16" t="s">
        <v>126</v>
      </c>
      <c r="I65" s="10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x14ac:dyDescent="0.2">
      <c r="A66" s="25">
        <f t="shared" si="0"/>
        <v>62</v>
      </c>
      <c r="B66" s="7" t="str">
        <f>'Forecast '!A52</f>
        <v>Other Deferred Credits</v>
      </c>
      <c r="C66" s="18"/>
      <c r="D66" s="47">
        <f>+Historical!O52</f>
        <v>5.7030801896384216E-2</v>
      </c>
      <c r="E66" s="7" t="s">
        <v>96</v>
      </c>
      <c r="F66" s="16" t="s">
        <v>126</v>
      </c>
    </row>
    <row r="67" spans="1:19" x14ac:dyDescent="0.2">
      <c r="A67" s="25">
        <f t="shared" si="0"/>
        <v>63</v>
      </c>
      <c r="B67" s="7" t="str">
        <f>'Forecast '!A53</f>
        <v>Additional Loans</v>
      </c>
      <c r="C67" s="18"/>
      <c r="D67" s="38">
        <v>0.05</v>
      </c>
      <c r="E67" s="7" t="s">
        <v>100</v>
      </c>
    </row>
    <row r="68" spans="1:19" x14ac:dyDescent="0.2">
      <c r="A68" s="25">
        <f t="shared" si="0"/>
        <v>64</v>
      </c>
      <c r="C68" s="18"/>
      <c r="D68" s="47"/>
      <c r="E68" s="12"/>
    </row>
    <row r="69" spans="1:19" x14ac:dyDescent="0.2">
      <c r="A69" s="25">
        <f t="shared" si="0"/>
        <v>65</v>
      </c>
      <c r="B69" s="7" t="str">
        <f>'Forecast '!A58</f>
        <v>Preferred Stock</v>
      </c>
      <c r="C69" s="18"/>
      <c r="D69" s="48">
        <v>0</v>
      </c>
      <c r="E69" s="7" t="s">
        <v>101</v>
      </c>
      <c r="F69" s="7" t="s">
        <v>93</v>
      </c>
    </row>
    <row r="70" spans="1:19" x14ac:dyDescent="0.2">
      <c r="A70" s="25">
        <f t="shared" si="0"/>
        <v>66</v>
      </c>
      <c r="C70" s="18"/>
      <c r="D70" s="47"/>
      <c r="E70" s="12"/>
    </row>
    <row r="71" spans="1:19" x14ac:dyDescent="0.2">
      <c r="A71" s="25">
        <f t="shared" si="0"/>
        <v>67</v>
      </c>
      <c r="B71" s="7" t="str">
        <f>'Forecast '!A61</f>
        <v>Patrons Capital</v>
      </c>
      <c r="C71" s="18"/>
      <c r="D71" s="48">
        <v>0</v>
      </c>
      <c r="E71" s="7" t="s">
        <v>128</v>
      </c>
      <c r="F71" s="16" t="s">
        <v>161</v>
      </c>
    </row>
    <row r="72" spans="1:19" x14ac:dyDescent="0.2">
      <c r="A72" s="25">
        <f>A71+1</f>
        <v>68</v>
      </c>
      <c r="B72" s="7" t="str">
        <f>'Forecast '!A62</f>
        <v>Retained Earnings</v>
      </c>
      <c r="C72" s="18"/>
      <c r="E72" s="12" t="s">
        <v>100</v>
      </c>
    </row>
    <row r="73" spans="1:19" x14ac:dyDescent="0.2">
      <c r="B73" s="7" t="s">
        <v>0</v>
      </c>
    </row>
    <row r="74" spans="1:19" x14ac:dyDescent="0.2">
      <c r="C74" s="18"/>
      <c r="E74" s="12"/>
    </row>
    <row r="75" spans="1:19" x14ac:dyDescent="0.2">
      <c r="C75" s="18"/>
      <c r="E75" s="12"/>
    </row>
    <row r="77" spans="1:19" x14ac:dyDescent="0.2">
      <c r="C77" s="7">
        <f>+Historical!C24-Historical!B24</f>
        <v>1298081</v>
      </c>
      <c r="D77" s="7">
        <f>+Historical!D24-Historical!C24</f>
        <v>1298070</v>
      </c>
      <c r="E77" s="7">
        <f>+Historical!E24-Historical!D24</f>
        <v>2633111</v>
      </c>
      <c r="F77" s="7">
        <f>+Historical!F24-Historical!E24</f>
        <v>2704188</v>
      </c>
      <c r="H77" s="7" t="e">
        <f>+Historical!M24-Historical!L24</f>
        <v>#VALUE!</v>
      </c>
    </row>
    <row r="78" spans="1:19" x14ac:dyDescent="0.2">
      <c r="C78" s="7">
        <f>+'Forecast '!D24-'Forecast '!C24</f>
        <v>1448101.804073438</v>
      </c>
      <c r="D78" s="7">
        <f>+'Forecast '!E24-'Forecast '!D24</f>
        <v>1478905.9039759785</v>
      </c>
      <c r="E78" s="7">
        <f>+'Forecast '!F24-'Forecast '!E24</f>
        <v>1510365.2703578025</v>
      </c>
      <c r="F78" s="7">
        <f>+'Forecast '!G24-'Forecast '!F24</f>
        <v>1542493.8420829028</v>
      </c>
    </row>
    <row r="79" spans="1:19" x14ac:dyDescent="0.2">
      <c r="D79" s="10"/>
      <c r="E79" s="10"/>
    </row>
    <row r="80" spans="1:19" x14ac:dyDescent="0.2">
      <c r="D80" s="10"/>
      <c r="E80" s="10"/>
    </row>
    <row r="81" spans="4:5" x14ac:dyDescent="0.2">
      <c r="D81" s="10"/>
      <c r="E81" s="10"/>
    </row>
    <row r="82" spans="4:5" x14ac:dyDescent="0.2">
      <c r="D82" s="10"/>
      <c r="E82" s="10"/>
    </row>
    <row r="83" spans="4:5" x14ac:dyDescent="0.2">
      <c r="D83" s="10"/>
      <c r="E83" s="10"/>
    </row>
    <row r="84" spans="4:5" x14ac:dyDescent="0.2">
      <c r="D84" s="10"/>
      <c r="E84" s="10"/>
    </row>
    <row r="85" spans="4:5" x14ac:dyDescent="0.2">
      <c r="D85" s="10"/>
      <c r="E85" s="10"/>
    </row>
    <row r="86" spans="4:5" x14ac:dyDescent="0.2">
      <c r="D86" s="10"/>
      <c r="E86" s="10"/>
    </row>
    <row r="87" spans="4:5" x14ac:dyDescent="0.2">
      <c r="D87" s="10"/>
      <c r="E87" s="10"/>
    </row>
    <row r="88" spans="4:5" x14ac:dyDescent="0.2">
      <c r="D88" s="10"/>
      <c r="E88" s="10"/>
    </row>
    <row r="89" spans="4:5" x14ac:dyDescent="0.2">
      <c r="D89" s="10"/>
      <c r="E89" s="10"/>
    </row>
    <row r="90" spans="4:5" x14ac:dyDescent="0.2">
      <c r="D90" s="10"/>
      <c r="E90" s="10"/>
    </row>
    <row r="91" spans="4:5" x14ac:dyDescent="0.2">
      <c r="D91" s="10"/>
      <c r="E91" s="10"/>
    </row>
    <row r="92" spans="4:5" x14ac:dyDescent="0.2">
      <c r="D92" s="10"/>
      <c r="E92" s="10"/>
    </row>
    <row r="93" spans="4:5" x14ac:dyDescent="0.2">
      <c r="D93" s="10"/>
      <c r="E93" s="10"/>
    </row>
    <row r="94" spans="4:5" x14ac:dyDescent="0.2">
      <c r="D94" s="10"/>
      <c r="E94" s="10"/>
    </row>
    <row r="95" spans="4:5" x14ac:dyDescent="0.2">
      <c r="D95" s="10"/>
      <c r="E95" s="10"/>
    </row>
    <row r="96" spans="4:5" x14ac:dyDescent="0.2">
      <c r="D96" s="10"/>
      <c r="E96" s="10"/>
    </row>
    <row r="97" spans="2:4" x14ac:dyDescent="0.2">
      <c r="C97" s="10"/>
      <c r="D97" s="10"/>
    </row>
    <row r="100" spans="2:4" x14ac:dyDescent="0.2">
      <c r="B100" s="10"/>
      <c r="C100" s="10"/>
      <c r="D100" s="10"/>
    </row>
    <row r="101" spans="2:4" x14ac:dyDescent="0.2">
      <c r="B101" s="10"/>
      <c r="C101" s="10"/>
      <c r="D101" s="10"/>
    </row>
    <row r="102" spans="2:4" x14ac:dyDescent="0.2">
      <c r="B102" s="10"/>
      <c r="C102" s="10"/>
      <c r="D102" s="10"/>
    </row>
    <row r="103" spans="2:4" x14ac:dyDescent="0.2">
      <c r="B103" s="10"/>
      <c r="C103" s="10"/>
      <c r="D103" s="10"/>
    </row>
    <row r="104" spans="2:4" x14ac:dyDescent="0.2">
      <c r="B104" s="10"/>
      <c r="C104" s="10"/>
      <c r="D104" s="10"/>
    </row>
    <row r="105" spans="2:4" x14ac:dyDescent="0.2">
      <c r="B105" s="10"/>
      <c r="C105" s="10"/>
      <c r="D105" s="10"/>
    </row>
    <row r="106" spans="2:4" x14ac:dyDescent="0.2">
      <c r="B106" s="10"/>
      <c r="C106" s="10"/>
      <c r="D106" s="10"/>
    </row>
    <row r="107" spans="2:4" x14ac:dyDescent="0.2">
      <c r="B107" s="10"/>
      <c r="C107" s="10"/>
      <c r="D107" s="10"/>
    </row>
    <row r="108" spans="2:4" x14ac:dyDescent="0.2">
      <c r="B108" s="10"/>
      <c r="C108" s="10"/>
      <c r="D108" s="10"/>
    </row>
    <row r="109" spans="2:4" x14ac:dyDescent="0.2">
      <c r="B109" s="10"/>
      <c r="C109" s="10"/>
      <c r="D109" s="10"/>
    </row>
    <row r="110" spans="2:4" x14ac:dyDescent="0.2">
      <c r="B110" s="10"/>
      <c r="C110" s="10"/>
      <c r="D110" s="10"/>
    </row>
    <row r="111" spans="2:4" x14ac:dyDescent="0.2">
      <c r="B111" s="10"/>
      <c r="C111" s="10"/>
      <c r="D111" s="10"/>
    </row>
    <row r="112" spans="2:4" x14ac:dyDescent="0.2">
      <c r="B112" s="10"/>
      <c r="C112" s="10"/>
      <c r="D112" s="10"/>
    </row>
    <row r="113" spans="2:4" x14ac:dyDescent="0.2">
      <c r="B113" s="10"/>
      <c r="C113" s="10"/>
      <c r="D113" s="10"/>
    </row>
    <row r="114" spans="2:4" x14ac:dyDescent="0.2">
      <c r="B114" s="10"/>
      <c r="C114" s="10"/>
      <c r="D114" s="10"/>
    </row>
    <row r="115" spans="2:4" x14ac:dyDescent="0.2">
      <c r="B115" s="10"/>
      <c r="C115" s="10"/>
      <c r="D115" s="10"/>
    </row>
    <row r="116" spans="2:4" x14ac:dyDescent="0.2">
      <c r="B116" s="10"/>
      <c r="C116" s="10"/>
      <c r="D116" s="10"/>
    </row>
    <row r="117" spans="2:4" x14ac:dyDescent="0.2">
      <c r="B117" s="10"/>
      <c r="C117" s="10"/>
      <c r="D117" s="10"/>
    </row>
    <row r="118" spans="2:4" x14ac:dyDescent="0.2">
      <c r="B118" s="10"/>
      <c r="C118" s="10"/>
      <c r="D118" s="10"/>
    </row>
    <row r="119" spans="2:4" x14ac:dyDescent="0.2">
      <c r="B119" s="10"/>
      <c r="C119" s="10"/>
      <c r="D119" s="10"/>
    </row>
    <row r="120" spans="2:4" x14ac:dyDescent="0.2">
      <c r="B120" s="10"/>
      <c r="C120" s="10"/>
      <c r="D120" s="10"/>
    </row>
    <row r="121" spans="2:4" x14ac:dyDescent="0.2">
      <c r="B121" s="10"/>
      <c r="C121" s="10"/>
      <c r="D121" s="10"/>
    </row>
    <row r="122" spans="2:4" x14ac:dyDescent="0.2">
      <c r="B122" s="10"/>
      <c r="C122" s="10"/>
      <c r="D122" s="10"/>
    </row>
    <row r="140" spans="6:6" x14ac:dyDescent="0.2">
      <c r="F140" s="12"/>
    </row>
    <row r="141" spans="6:6" x14ac:dyDescent="0.2">
      <c r="F141" s="12"/>
    </row>
    <row r="142" spans="6:6" x14ac:dyDescent="0.2">
      <c r="F142" s="12"/>
    </row>
    <row r="143" spans="6:6" x14ac:dyDescent="0.2">
      <c r="F143" s="12"/>
    </row>
    <row r="183" spans="6:6" x14ac:dyDescent="0.2">
      <c r="F183" s="12"/>
    </row>
    <row r="184" spans="6:6" x14ac:dyDescent="0.2">
      <c r="F184" s="12"/>
    </row>
    <row r="185" spans="6:6" x14ac:dyDescent="0.2">
      <c r="F185" s="12"/>
    </row>
    <row r="186" spans="6:6" x14ac:dyDescent="0.2">
      <c r="F186" s="12"/>
    </row>
  </sheetData>
  <phoneticPr fontId="6" type="noConversion"/>
  <pageMargins left="0.46" right="0.28000000000000003" top="0.53" bottom="0.53" header="0.5" footer="0.5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Historical</vt:lpstr>
      <vt:lpstr>Cash Flow</vt:lpstr>
      <vt:lpstr>Forecast </vt:lpstr>
      <vt:lpstr>Assumptions</vt:lpstr>
      <vt:lpstr>Chart1</vt:lpstr>
      <vt:lpstr>Assumptions!Print_Area</vt:lpstr>
      <vt:lpstr>'Forecast '!Print_Area</vt:lpstr>
      <vt:lpstr>Historical!Print_Area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Harris Wirz</dc:creator>
  <cp:lastModifiedBy>laurieharris</cp:lastModifiedBy>
  <cp:lastPrinted>2014-04-21T16:50:07Z</cp:lastPrinted>
  <dcterms:created xsi:type="dcterms:W3CDTF">2005-09-19T14:11:29Z</dcterms:created>
  <dcterms:modified xsi:type="dcterms:W3CDTF">2014-04-30T15:18:42Z</dcterms:modified>
</cp:coreProperties>
</file>