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0170" yWindow="300" windowWidth="14460" windowHeight="5670" activeTab="1"/>
  </bookViews>
  <sheets>
    <sheet name="Balancing acct" sheetId="3" r:id="rId1"/>
    <sheet name="Projected Expense" sheetId="2" r:id="rId2"/>
  </sheets>
  <externalReferences>
    <externalReference r:id="rId3"/>
  </externalReferences>
  <definedNames>
    <definedName name="__123Graph_A" hidden="1">[1]Inputs!#REF!</definedName>
    <definedName name="__123Graph_B" hidden="1">[1]Inputs!#REF!</definedName>
    <definedName name="__123Graph_D" hidden="1">[1]Inputs!#REF!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0</definedName>
    <definedName name="_Sort" hidden="1">#REF!</definedName>
    <definedName name="a" hidden="1">#REF!</definedName>
    <definedName name="DUDE" hidden="1">#REF!</definedName>
    <definedName name="limcount" hidden="1">1</definedName>
    <definedName name="_xlnm.Print_Area" localSheetId="1">'Projected Expense'!$A$1:$AA$42</definedName>
    <definedName name="_xlnm.Print_Titles" localSheetId="0">'Balancing acct'!$4:$4</definedName>
    <definedName name="_xlnm.Print_Titles" localSheetId="1">'Projected Expense'!$A:$A</definedName>
    <definedName name="retail" localSheetId="1" hidden="1">{#N/A,#N/A,FALSE,"Loans";#N/A,#N/A,FALSE,"Program Costs";#N/A,#N/A,FALSE,"Measures";#N/A,#N/A,FALSE,"Net Lost Rev";#N/A,#N/A,FALSE,"Incentive"}</definedName>
    <definedName name="retail" hidden="1">{#N/A,#N/A,FALSE,"Loans";#N/A,#N/A,FALSE,"Program Costs";#N/A,#N/A,FALSE,"Measures";#N/A,#N/A,FALSE,"Net Lost Rev";#N/A,#N/A,FALSE,"Incentive"}</definedName>
    <definedName name="retail_CC" localSheetId="1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localSheetId="1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wrn.All._.Pages." hidden="1">{#N/A,#N/A,FALSE,"Cover";#N/A,#N/A,FALSE,"Lead Sheet";#N/A,#N/A,FALSE,"Interest Expense A ";#N/A,#N/A,FALSE,"Deposits 3 01";#N/A,#N/A,FALSE,"Deposits 3 02";#N/A,#N/A,FALSE,"T-Accounts";#N/A,#N/A,FALSE,"Interest Expense B";#N/A,#N/A,FALSE,"IntRate"}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OR._.Carrying._.Charge._.JV." localSheetId="1" hidden="1">{#N/A,#N/A,FALSE,"Loans";#N/A,#N/A,FALSE,"Program Costs";#N/A,#N/A,FALSE,"Measures";#N/A,#N/A,FALSE,"Net Lost Rev";#N/A,#N/A,FALSE,"Incentive"}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localSheetId="1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#REF!</definedName>
    <definedName name="z" hidden="1">#REF!</definedName>
  </definedNames>
  <calcPr calcId="152511"/>
</workbook>
</file>

<file path=xl/calcChain.xml><?xml version="1.0" encoding="utf-8"?>
<calcChain xmlns="http://schemas.openxmlformats.org/spreadsheetml/2006/main">
  <c r="E54" i="2" l="1"/>
  <c r="E55" i="2"/>
  <c r="E56" i="2"/>
  <c r="E57" i="2"/>
  <c r="E58" i="2"/>
  <c r="E59" i="2"/>
  <c r="E60" i="2"/>
  <c r="E61" i="2"/>
  <c r="E53" i="2"/>
  <c r="E52" i="2"/>
  <c r="E51" i="2"/>
  <c r="E50" i="2"/>
  <c r="M10" i="2" l="1"/>
  <c r="Y10" i="2" s="1"/>
  <c r="J11" i="2" l="1"/>
  <c r="Y7" i="2"/>
  <c r="O22" i="2"/>
  <c r="W22" i="2"/>
  <c r="N27" i="2"/>
  <c r="O27" i="2"/>
  <c r="P27" i="2"/>
  <c r="Q27" i="2"/>
  <c r="R27" i="2"/>
  <c r="S27" i="2"/>
  <c r="T27" i="2"/>
  <c r="U27" i="2"/>
  <c r="V27" i="2"/>
  <c r="W27" i="2"/>
  <c r="X27" i="2"/>
  <c r="M27" i="2"/>
  <c r="U21" i="2"/>
  <c r="V21" i="2"/>
  <c r="N16" i="2"/>
  <c r="R16" i="2"/>
  <c r="S16" i="2"/>
  <c r="V16" i="2"/>
  <c r="W16" i="2"/>
  <c r="N11" i="2"/>
  <c r="O11" i="2"/>
  <c r="P11" i="2"/>
  <c r="Q11" i="2"/>
  <c r="R11" i="2"/>
  <c r="S11" i="2"/>
  <c r="T11" i="2"/>
  <c r="U11" i="2"/>
  <c r="V11" i="2"/>
  <c r="W11" i="2"/>
  <c r="X11" i="2"/>
  <c r="M11" i="2"/>
  <c r="N12" i="2"/>
  <c r="O12" i="2"/>
  <c r="P12" i="2"/>
  <c r="Q12" i="2"/>
  <c r="R12" i="2"/>
  <c r="S12" i="2"/>
  <c r="T12" i="2"/>
  <c r="U12" i="2"/>
  <c r="V12" i="2"/>
  <c r="W12" i="2"/>
  <c r="X12" i="2"/>
  <c r="M12" i="2"/>
  <c r="N9" i="2"/>
  <c r="O9" i="2"/>
  <c r="P9" i="2"/>
  <c r="Q9" i="2"/>
  <c r="R9" i="2"/>
  <c r="S9" i="2"/>
  <c r="T9" i="2"/>
  <c r="U9" i="2"/>
  <c r="V9" i="2"/>
  <c r="W9" i="2"/>
  <c r="X9" i="2"/>
  <c r="M9" i="2"/>
  <c r="N8" i="2"/>
  <c r="O8" i="2"/>
  <c r="P8" i="2"/>
  <c r="Q8" i="2"/>
  <c r="R8" i="2"/>
  <c r="S8" i="2"/>
  <c r="T8" i="2"/>
  <c r="U8" i="2"/>
  <c r="V8" i="2"/>
  <c r="W8" i="2"/>
  <c r="X8" i="2"/>
  <c r="M8" i="2"/>
  <c r="AA22" i="2"/>
  <c r="S22" i="2" s="1"/>
  <c r="AA17" i="2"/>
  <c r="Q17" i="2" s="1"/>
  <c r="AA21" i="2"/>
  <c r="P21" i="2" s="1"/>
  <c r="AA16" i="2"/>
  <c r="P16" i="2" s="1"/>
  <c r="B21" i="2"/>
  <c r="B24" i="2" s="1"/>
  <c r="B16" i="2"/>
  <c r="AA13" i="2"/>
  <c r="K21" i="2"/>
  <c r="K16" i="2"/>
  <c r="K8" i="2"/>
  <c r="B10" i="2"/>
  <c r="W18" i="2" l="1"/>
  <c r="V18" i="2"/>
  <c r="S18" i="2"/>
  <c r="N18" i="2"/>
  <c r="S21" i="2"/>
  <c r="R21" i="2"/>
  <c r="O16" i="2"/>
  <c r="O18" i="2" s="1"/>
  <c r="Q21" i="2"/>
  <c r="O21" i="2"/>
  <c r="M21" i="2"/>
  <c r="N21" i="2"/>
  <c r="AA24" i="2"/>
  <c r="W21" i="2"/>
  <c r="P17" i="2"/>
  <c r="P18" i="2" s="1"/>
  <c r="X17" i="2"/>
  <c r="T17" i="2"/>
  <c r="V22" i="2"/>
  <c r="R22" i="2"/>
  <c r="N22" i="2"/>
  <c r="W17" i="2"/>
  <c r="S17" i="2"/>
  <c r="O17" i="2"/>
  <c r="M16" i="2"/>
  <c r="U16" i="2"/>
  <c r="Q16" i="2"/>
  <c r="Q18" i="2" s="1"/>
  <c r="M22" i="2"/>
  <c r="U22" i="2"/>
  <c r="Q22" i="2"/>
  <c r="V17" i="2"/>
  <c r="R17" i="2"/>
  <c r="R18" i="2" s="1"/>
  <c r="N17" i="2"/>
  <c r="X16" i="2"/>
  <c r="X18" i="2" s="1"/>
  <c r="T16" i="2"/>
  <c r="T18" i="2" s="1"/>
  <c r="X21" i="2"/>
  <c r="T21" i="2"/>
  <c r="X22" i="2"/>
  <c r="T22" i="2"/>
  <c r="P22" i="2"/>
  <c r="M17" i="2"/>
  <c r="U17" i="2"/>
  <c r="Y22" i="2"/>
  <c r="AA18" i="2"/>
  <c r="D10" i="2"/>
  <c r="G10" i="2"/>
  <c r="F10" i="2"/>
  <c r="E10" i="2"/>
  <c r="U18" i="2" l="1"/>
  <c r="M18" i="2"/>
  <c r="J10" i="2"/>
  <c r="AA31" i="2"/>
  <c r="Y17" i="2"/>
  <c r="J22" i="2"/>
  <c r="J17" i="2"/>
  <c r="E27" i="2"/>
  <c r="H9" i="2" l="1"/>
  <c r="H12" i="2"/>
  <c r="J12" i="2" s="1"/>
  <c r="G7" i="2"/>
  <c r="K24" i="2"/>
  <c r="I9" i="2"/>
  <c r="G9" i="2"/>
  <c r="F9" i="2"/>
  <c r="E9" i="2"/>
  <c r="D9" i="2"/>
  <c r="J9" i="2" s="1"/>
  <c r="G23" i="2"/>
  <c r="K18" i="2"/>
  <c r="H8" i="2"/>
  <c r="G8" i="2"/>
  <c r="F8" i="2"/>
  <c r="E8" i="2"/>
  <c r="D8" i="2"/>
  <c r="I8" i="2"/>
  <c r="K13" i="2"/>
  <c r="C21" i="2"/>
  <c r="C16" i="2"/>
  <c r="C7" i="2"/>
  <c r="J8" i="2" l="1"/>
  <c r="J7" i="2"/>
  <c r="K31" i="2"/>
  <c r="G21" i="2"/>
  <c r="F21" i="2"/>
  <c r="I21" i="2"/>
  <c r="E21" i="2"/>
  <c r="H21" i="2"/>
  <c r="D21" i="2"/>
  <c r="H16" i="2"/>
  <c r="D16" i="2"/>
  <c r="G16" i="2"/>
  <c r="F16" i="2"/>
  <c r="I16" i="2"/>
  <c r="E16" i="2"/>
  <c r="B18" i="2"/>
  <c r="G71" i="3" l="1"/>
  <c r="C62" i="3"/>
  <c r="D62" i="3" l="1"/>
  <c r="Y28" i="2"/>
  <c r="Y21" i="2" l="1"/>
  <c r="Y27" i="2" l="1"/>
  <c r="I18" i="2" l="1"/>
  <c r="H18" i="2"/>
  <c r="G18" i="2"/>
  <c r="F18" i="2"/>
  <c r="E18" i="2"/>
  <c r="D18" i="2"/>
  <c r="C18" i="2"/>
  <c r="C24" i="2" l="1"/>
  <c r="J29" i="2"/>
  <c r="J27" i="2" l="1"/>
  <c r="C13" i="2"/>
  <c r="C31" i="2" s="1"/>
  <c r="C48" i="3"/>
  <c r="C34" i="3"/>
  <c r="D20" i="3"/>
  <c r="C20" i="3"/>
  <c r="B20" i="3"/>
  <c r="D24" i="2" l="1"/>
  <c r="D34" i="3"/>
  <c r="E24" i="2"/>
  <c r="F24" i="2"/>
  <c r="B13" i="2"/>
  <c r="D13" i="2"/>
  <c r="E13" i="2"/>
  <c r="F13" i="2"/>
  <c r="J26" i="2"/>
  <c r="J21" i="2"/>
  <c r="F31" i="2" l="1"/>
  <c r="E31" i="2"/>
  <c r="B31" i="2"/>
  <c r="E9" i="3" l="1"/>
  <c r="J9" i="3" s="1"/>
  <c r="F9" i="3" l="1"/>
  <c r="M13" i="2"/>
  <c r="E10" i="3" l="1"/>
  <c r="G9" i="3"/>
  <c r="J10" i="3" l="1"/>
  <c r="F10" i="3"/>
  <c r="E11" i="3" l="1"/>
  <c r="F11" i="3" s="1"/>
  <c r="G10" i="3"/>
  <c r="Y26" i="2"/>
  <c r="X24" i="2"/>
  <c r="W24" i="2"/>
  <c r="V24" i="2"/>
  <c r="U24" i="2"/>
  <c r="T24" i="2"/>
  <c r="S24" i="2"/>
  <c r="R24" i="2"/>
  <c r="Q24" i="2"/>
  <c r="P24" i="2"/>
  <c r="O24" i="2"/>
  <c r="N24" i="2"/>
  <c r="M24" i="2"/>
  <c r="M31" i="2" s="1"/>
  <c r="I24" i="2"/>
  <c r="H24" i="2"/>
  <c r="Y16" i="2"/>
  <c r="Y18" i="2" s="1"/>
  <c r="X13" i="2"/>
  <c r="W13" i="2"/>
  <c r="V13" i="2"/>
  <c r="U13" i="2"/>
  <c r="T13" i="2"/>
  <c r="S13" i="2"/>
  <c r="R13" i="2"/>
  <c r="Q13" i="2"/>
  <c r="P13" i="2"/>
  <c r="O13" i="2"/>
  <c r="N13" i="2"/>
  <c r="H13" i="2"/>
  <c r="G13" i="2"/>
  <c r="Y12" i="2"/>
  <c r="I13" i="2"/>
  <c r="Y11" i="2"/>
  <c r="Y9" i="2"/>
  <c r="Y8" i="2"/>
  <c r="Y13" i="2" s="1"/>
  <c r="S31" i="2" l="1"/>
  <c r="W31" i="2"/>
  <c r="P31" i="2"/>
  <c r="T31" i="2"/>
  <c r="X31" i="2"/>
  <c r="Q31" i="2"/>
  <c r="U31" i="2"/>
  <c r="O31" i="2"/>
  <c r="N31" i="2"/>
  <c r="R31" i="2"/>
  <c r="V31" i="2"/>
  <c r="H31" i="2"/>
  <c r="I31" i="2"/>
  <c r="B48" i="3" s="1"/>
  <c r="J33" i="2" s="1"/>
  <c r="E12" i="3"/>
  <c r="F12" i="3" s="1"/>
  <c r="G11" i="3"/>
  <c r="J11" i="3"/>
  <c r="J13" i="2"/>
  <c r="Y23" i="2"/>
  <c r="G67" i="3" l="1"/>
  <c r="B62" i="3"/>
  <c r="E13" i="3"/>
  <c r="F13" i="3" s="1"/>
  <c r="G12" i="3"/>
  <c r="J12" i="3"/>
  <c r="Y24" i="2"/>
  <c r="Y31" i="2" s="1"/>
  <c r="E14" i="3" l="1"/>
  <c r="F14" i="3" s="1"/>
  <c r="G13" i="3"/>
  <c r="J13" i="3"/>
  <c r="E15" i="3" l="1"/>
  <c r="F15" i="3" s="1"/>
  <c r="G14" i="3"/>
  <c r="J14" i="3"/>
  <c r="E16" i="3" l="1"/>
  <c r="F16" i="3" s="1"/>
  <c r="G15" i="3"/>
  <c r="J15" i="3"/>
  <c r="E17" i="3" l="1"/>
  <c r="F17" i="3" s="1"/>
  <c r="G16" i="3"/>
  <c r="J16" i="3"/>
  <c r="F18" i="3" l="1"/>
  <c r="G17" i="3"/>
  <c r="J17" i="3"/>
  <c r="J18" i="3" s="1"/>
  <c r="E19" i="3" l="1"/>
  <c r="E20" i="3" s="1"/>
  <c r="G18" i="3"/>
  <c r="J19" i="3" l="1"/>
  <c r="F19" i="3"/>
  <c r="E22" i="3" l="1"/>
  <c r="J22" i="3" s="1"/>
  <c r="G19" i="3"/>
  <c r="F22" i="3" l="1"/>
  <c r="E23" i="3" l="1"/>
  <c r="F23" i="3" s="1"/>
  <c r="G22" i="3"/>
  <c r="E24" i="3" l="1"/>
  <c r="F24" i="3" s="1"/>
  <c r="G23" i="3"/>
  <c r="J23" i="3"/>
  <c r="E25" i="3" l="1"/>
  <c r="G24" i="3"/>
  <c r="J24" i="3"/>
  <c r="J25" i="3" l="1"/>
  <c r="F25" i="3"/>
  <c r="E26" i="3" l="1"/>
  <c r="J26" i="3" s="1"/>
  <c r="G25" i="3"/>
  <c r="F26" i="3" l="1"/>
  <c r="E27" i="3" l="1"/>
  <c r="F27" i="3" s="1"/>
  <c r="G26" i="3"/>
  <c r="G27" i="3" l="1"/>
  <c r="J27" i="3"/>
  <c r="J16" i="2"/>
  <c r="D31" i="2"/>
  <c r="J18" i="2" l="1"/>
  <c r="B34" i="3"/>
  <c r="E28" i="3"/>
  <c r="F28" i="3" s="1"/>
  <c r="J28" i="3" l="1"/>
  <c r="E29" i="3"/>
  <c r="G28" i="3"/>
  <c r="J29" i="3" l="1"/>
  <c r="F29" i="3"/>
  <c r="E30" i="3" s="1"/>
  <c r="J30" i="3" l="1"/>
  <c r="G29" i="3"/>
  <c r="F30" i="3"/>
  <c r="E31" i="3" s="1"/>
  <c r="J31" i="3" l="1"/>
  <c r="G30" i="3"/>
  <c r="F31" i="3"/>
  <c r="J32" i="3" l="1"/>
  <c r="F32" i="3"/>
  <c r="G31" i="3"/>
  <c r="E33" i="3" l="1"/>
  <c r="J33" i="3" s="1"/>
  <c r="G32" i="3"/>
  <c r="E34" i="3" l="1"/>
  <c r="F33" i="3"/>
  <c r="E36" i="3" s="1"/>
  <c r="G33" i="3" l="1"/>
  <c r="D48" i="3" l="1"/>
  <c r="F36" i="3" l="1"/>
  <c r="J36" i="3"/>
  <c r="E37" i="3" l="1"/>
  <c r="F37" i="3" s="1"/>
  <c r="G36" i="3"/>
  <c r="J37" i="3" l="1"/>
  <c r="E38" i="3"/>
  <c r="F38" i="3" s="1"/>
  <c r="G37" i="3"/>
  <c r="E39" i="3" l="1"/>
  <c r="F39" i="3" s="1"/>
  <c r="G38" i="3"/>
  <c r="J38" i="3"/>
  <c r="J39" i="3" l="1"/>
  <c r="E40" i="3"/>
  <c r="G39" i="3"/>
  <c r="J40" i="3" l="1"/>
  <c r="F40" i="3"/>
  <c r="E41" i="3" l="1"/>
  <c r="G40" i="3"/>
  <c r="J41" i="3" l="1"/>
  <c r="F41" i="3"/>
  <c r="E42" i="3" l="1"/>
  <c r="G41" i="3"/>
  <c r="G65" i="3" s="1"/>
  <c r="J42" i="3" l="1"/>
  <c r="F42" i="3"/>
  <c r="E43" i="3" l="1"/>
  <c r="G42" i="3"/>
  <c r="J43" i="3" l="1"/>
  <c r="F43" i="3"/>
  <c r="E44" i="3" l="1"/>
  <c r="G43" i="3"/>
  <c r="J44" i="3" l="1"/>
  <c r="F44" i="3"/>
  <c r="E45" i="3" l="1"/>
  <c r="F45" i="3" s="1"/>
  <c r="G44" i="3"/>
  <c r="E46" i="3" l="1"/>
  <c r="F46" i="3" s="1"/>
  <c r="G45" i="3"/>
  <c r="J45" i="3"/>
  <c r="E47" i="3" l="1"/>
  <c r="G46" i="3"/>
  <c r="J46" i="3"/>
  <c r="J47" i="3" l="1"/>
  <c r="E48" i="3"/>
  <c r="F47" i="3"/>
  <c r="E50" i="3" s="1"/>
  <c r="G47" i="3" l="1"/>
  <c r="F50" i="3" l="1"/>
  <c r="E51" i="3" s="1"/>
  <c r="J50" i="3"/>
  <c r="G50" i="3" l="1"/>
  <c r="J51" i="3" l="1"/>
  <c r="F51" i="3"/>
  <c r="E52" i="3" s="1"/>
  <c r="G51" i="3" l="1"/>
  <c r="F52" i="3" l="1"/>
  <c r="E53" i="3" s="1"/>
  <c r="J52" i="3"/>
  <c r="G52" i="3" l="1"/>
  <c r="F53" i="3"/>
  <c r="E54" i="3" s="1"/>
  <c r="J53" i="3" l="1"/>
  <c r="G53" i="3"/>
  <c r="F54" i="3"/>
  <c r="E55" i="3" s="1"/>
  <c r="G54" i="3" l="1"/>
  <c r="F55" i="3"/>
  <c r="E56" i="3" s="1"/>
  <c r="J54" i="3"/>
  <c r="G55" i="3" l="1"/>
  <c r="F56" i="3"/>
  <c r="E57" i="3" s="1"/>
  <c r="J55" i="3"/>
  <c r="G56" i="3" l="1"/>
  <c r="F57" i="3"/>
  <c r="E58" i="3" s="1"/>
  <c r="J56" i="3"/>
  <c r="J57" i="3" l="1"/>
  <c r="F58" i="3"/>
  <c r="E59" i="3" s="1"/>
  <c r="G57" i="3"/>
  <c r="J58" i="3" l="1"/>
  <c r="G58" i="3"/>
  <c r="F59" i="3"/>
  <c r="E60" i="3" s="1"/>
  <c r="J59" i="3" l="1"/>
  <c r="G59" i="3"/>
  <c r="F60" i="3"/>
  <c r="E61" i="3" s="1"/>
  <c r="J60" i="3" l="1"/>
  <c r="G60" i="3"/>
  <c r="F61" i="3" l="1"/>
  <c r="G61" i="3" s="1"/>
  <c r="G68" i="3"/>
  <c r="G69" i="3" s="1"/>
  <c r="G73" i="3" s="1"/>
  <c r="J61" i="3"/>
  <c r="E62" i="3"/>
  <c r="G24" i="2"/>
  <c r="G31" i="2" s="1"/>
  <c r="J23" i="2"/>
  <c r="J24" i="2" s="1"/>
  <c r="J31" i="2" s="1"/>
  <c r="J34" i="2" s="1"/>
</calcChain>
</file>

<file path=xl/sharedStrings.xml><?xml version="1.0" encoding="utf-8"?>
<sst xmlns="http://schemas.openxmlformats.org/spreadsheetml/2006/main" count="116" uniqueCount="77">
  <si>
    <t>Residential Programs</t>
  </si>
  <si>
    <t>Low Income (Sch. 118)</t>
  </si>
  <si>
    <t>New Construction (Sch. 110)</t>
  </si>
  <si>
    <t>Total DSM Program Expenditures</t>
  </si>
  <si>
    <t xml:space="preserve"> </t>
  </si>
  <si>
    <t>DSM Program Expenditures &amp; Revenues</t>
  </si>
  <si>
    <t>Jan - Dec</t>
  </si>
  <si>
    <t>Home Energy Reports (Sch N/A)</t>
  </si>
  <si>
    <t>YTD Balance</t>
  </si>
  <si>
    <t>Projected</t>
  </si>
  <si>
    <t>Attachment A</t>
  </si>
  <si>
    <t>Utah Demand-Side Management Balance Account Analysis</t>
  </si>
  <si>
    <t/>
  </si>
  <si>
    <t>Monthly Program Costs - Fixed Assets</t>
  </si>
  <si>
    <t>Accrued Program Costs</t>
  </si>
  <si>
    <t>Rate Recovery</t>
  </si>
  <si>
    <t xml:space="preserve">Carrying Charge </t>
  </si>
  <si>
    <t>Cash Basis Accumulated Balance</t>
  </si>
  <si>
    <t xml:space="preserve">Accrual Based Accumulated Balance </t>
  </si>
  <si>
    <t>AFUDC Rate</t>
  </si>
  <si>
    <t xml:space="preserve">Accumulated Balance Total Carrying Costs  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</si>
  <si>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</si>
  <si>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</si>
  <si>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</si>
  <si>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</si>
  <si>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</si>
  <si>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</si>
  <si>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</si>
  <si>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</si>
  <si>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</si>
  <si>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</si>
  <si>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</si>
  <si>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</si>
  <si>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2011 totals</t>
  </si>
  <si>
    <t>2012 totals</t>
  </si>
  <si>
    <t>2013 totals</t>
  </si>
  <si>
    <t>2014 totals</t>
  </si>
  <si>
    <t>Accrual</t>
  </si>
  <si>
    <t>Notes;</t>
  </si>
  <si>
    <t>Forecast</t>
  </si>
  <si>
    <t>Notes:</t>
  </si>
  <si>
    <t>Forecast DSM expenses through December 2015</t>
  </si>
  <si>
    <t>Forecast carrying charges through December 2015</t>
  </si>
  <si>
    <t>Total DSM surcharge collections through December 2015</t>
  </si>
  <si>
    <t>Forecast DSM balancing account as of December 31, 2015</t>
  </si>
  <si>
    <t>2015 totals</t>
  </si>
  <si>
    <t>2014 charges</t>
  </si>
  <si>
    <t>2015 Totals</t>
  </si>
  <si>
    <t>Total expenses through December 2015</t>
  </si>
  <si>
    <t>Refrigerator Recycle (Sch. 117)</t>
  </si>
  <si>
    <t>Home Energy Savings Incentive Prgm (Sch. 111)</t>
  </si>
  <si>
    <t>Commercial Sector Programs</t>
  </si>
  <si>
    <t>wattsmart business (Sch. 140)</t>
  </si>
  <si>
    <t>Industrial Sectgor Programs</t>
  </si>
  <si>
    <t>Industrial Irrigation Load Control (Sch. N/A)</t>
  </si>
  <si>
    <t>Outreach and Communications</t>
  </si>
  <si>
    <t>Portfolio (Technical Reference Library &amp; DSM Central)</t>
  </si>
  <si>
    <t>Program Evaluation Cost</t>
  </si>
  <si>
    <t>Started May 2014 actuals and used Nov 2013 forecast from filing</t>
  </si>
  <si>
    <t>Split for WSB program cost was based on YTD kWh savings (69%/31%)</t>
  </si>
  <si>
    <t>Starting in 2014, bill credits are now a program costs.</t>
  </si>
  <si>
    <t>wattsmart business (Sch. 140) - bill credits</t>
  </si>
  <si>
    <t>Actual June expenses from SAP, report ran on 7-7-14</t>
  </si>
  <si>
    <t xml:space="preserve">A/C Load Control Program </t>
  </si>
  <si>
    <t>for June</t>
  </si>
  <si>
    <t>C&amp;I eval cost of $1m split 42/58 based on inv date of 12/20/13</t>
  </si>
  <si>
    <t>Student Ambassador - University of Utah</t>
  </si>
  <si>
    <t>June 2014</t>
  </si>
  <si>
    <t>Nov 1, 2013</t>
  </si>
  <si>
    <t>2015 Budget</t>
  </si>
  <si>
    <t>Forecast if programs are not approved.</t>
  </si>
  <si>
    <t>Accruals to capture full cost through June</t>
  </si>
  <si>
    <t>Deferred Acct</t>
  </si>
  <si>
    <t>Diff is Accrual at state level</t>
  </si>
  <si>
    <t xml:space="preserve">   Figures provided through June 2014 are actuals.</t>
  </si>
  <si>
    <t xml:space="preserve">   Rate Recovery estimates reflect the proposed rates in the stipulation filed on June 25, 2014.</t>
  </si>
  <si>
    <t>DSM balancing account as of June 30,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</si>
</sst>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General_)"/>
    <numFmt numFmtId="167" formatCode="0.000000"/>
    <numFmt numFmtId="168" formatCode="&quot;$&quot;#,##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1"/>
      <color indexed="8"/>
      <name val="TimesNewRomanPS"/>
    </font>
    <font>
      <sz val="10"/>
      <name val="LinePrinter"/>
      <family val="3"/>
    </font>
    <font>
      <sz val="11"/>
      <color theme="1"/>
      <name val="Calibri"/>
      <family val="2"/>
      <scheme val="minor"/>
    </font>
    <font>
      <sz val="12"/>
      <name val="Arial MT"/>
    </font>
    <font>
      <sz val="10"/>
      <name val="LinePrinter"/>
    </font>
    <font>
      <sz val="12"/>
      <name val="Arial"/>
      <family val="2"/>
    </font>
    <font>
      <b/>
      <u/>
      <sz val="1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u val="singleAccounting"/>
      <sz val="10"/>
      <name val="Arial"/>
      <family val="2"/>
    </font>
    <font>
      <b/>
      <u val="singleAccounting"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0"/>
      <color indexed="1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79">
    <xf numFmtId="0" fontId="0" fillId="0" borderId="0"/>
    <xf numFmtId="0" fontId="4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/>
    </xf>
    <xf numFmtId="37" fontId="6" fillId="0" borderId="0" applyNumberFormat="0" applyFill="0" applyBorder="0"/>
    <xf numFmtId="9" fontId="1" fillId="0" borderId="0" applyFont="0" applyFill="0" applyBorder="0" applyAlignment="0" applyProtection="0"/>
    <xf numFmtId="166" fontId="7" fillId="0" borderId="0">
      <alignment horizontal="left"/>
    </xf>
    <xf numFmtId="0" fontId="3" fillId="0" borderId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8" fillId="0" borderId="0"/>
    <xf numFmtId="0" fontId="9" fillId="0" borderId="0"/>
    <xf numFmtId="9" fontId="3" fillId="0" borderId="0" applyFont="0" applyFill="0" applyBorder="0" applyAlignment="0" applyProtection="0"/>
    <xf numFmtId="166" fontId="10" fillId="0" borderId="0">
      <alignment horizontal="left"/>
    </xf>
    <xf numFmtId="44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3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7" applyNumberFormat="0" applyAlignment="0" applyProtection="0"/>
    <xf numFmtId="0" fontId="27" fillId="9" borderId="8" applyNumberFormat="0" applyAlignment="0" applyProtection="0"/>
    <xf numFmtId="0" fontId="28" fillId="9" borderId="7" applyNumberFormat="0" applyAlignment="0" applyProtection="0"/>
    <xf numFmtId="0" fontId="29" fillId="0" borderId="9" applyNumberFormat="0" applyFill="0" applyAlignment="0" applyProtection="0"/>
    <xf numFmtId="0" fontId="30" fillId="10" borderId="10" applyNumberFormat="0" applyAlignment="0" applyProtection="0"/>
    <xf numFmtId="0" fontId="31" fillId="0" borderId="0" applyNumberFormat="0" applyFill="0" applyBorder="0" applyAlignment="0" applyProtection="0"/>
    <xf numFmtId="0" fontId="8" fillId="11" borderId="11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2" applyNumberFormat="0" applyFill="0" applyAlignment="0" applyProtection="0"/>
    <xf numFmtId="0" fontId="34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4" fillId="35" borderId="0" applyNumberFormat="0" applyBorder="0" applyAlignment="0" applyProtection="0"/>
    <xf numFmtId="166" fontId="7" fillId="0" borderId="0">
      <alignment horizontal="left"/>
    </xf>
    <xf numFmtId="0" fontId="8" fillId="0" borderId="0"/>
    <xf numFmtId="0" fontId="3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3" fillId="0" borderId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101">
    <xf numFmtId="0" fontId="0" fillId="0" borderId="0" xfId="0"/>
    <xf numFmtId="0" fontId="3" fillId="0" borderId="0" xfId="1" applyFont="1" applyFill="1"/>
    <xf numFmtId="164" fontId="3" fillId="0" borderId="0" xfId="2" applyNumberFormat="1" applyFont="1" applyFill="1"/>
    <xf numFmtId="164" fontId="3" fillId="0" borderId="2" xfId="2" applyNumberFormat="1" applyFont="1" applyFill="1" applyBorder="1"/>
    <xf numFmtId="164" fontId="3" fillId="0" borderId="0" xfId="2" applyNumberFormat="1" applyFont="1" applyFill="1" applyBorder="1"/>
    <xf numFmtId="0" fontId="2" fillId="0" borderId="0" xfId="1" applyFont="1" applyFill="1"/>
    <xf numFmtId="165" fontId="2" fillId="0" borderId="0" xfId="3" applyNumberFormat="1" applyFont="1" applyFill="1" applyBorder="1"/>
    <xf numFmtId="0" fontId="2" fillId="0" borderId="0" xfId="1" quotePrefix="1" applyFont="1" applyFill="1" applyAlignment="1">
      <alignment horizontal="left"/>
    </xf>
    <xf numFmtId="0" fontId="3" fillId="0" borderId="0" xfId="1" applyFont="1" applyFill="1" applyAlignment="1">
      <alignment horizontal="left" indent="1"/>
    </xf>
    <xf numFmtId="0" fontId="2" fillId="0" borderId="0" xfId="1" applyFont="1" applyFill="1" applyAlignment="1">
      <alignment horizontal="center"/>
    </xf>
    <xf numFmtId="0" fontId="3" fillId="0" borderId="0" xfId="1" applyFont="1" applyFill="1" applyBorder="1"/>
    <xf numFmtId="17" fontId="2" fillId="0" borderId="0" xfId="1" applyNumberFormat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17" fontId="2" fillId="0" borderId="1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39" fontId="2" fillId="0" borderId="0" xfId="1" applyNumberFormat="1" applyFont="1" applyFill="1" applyBorder="1" applyAlignment="1">
      <alignment horizontal="center"/>
    </xf>
    <xf numFmtId="0" fontId="2" fillId="0" borderId="0" xfId="1" applyFont="1" applyFill="1" applyAlignment="1" applyProtection="1">
      <protection locked="0"/>
    </xf>
    <xf numFmtId="167" fontId="3" fillId="0" borderId="0" xfId="1" applyNumberFormat="1" applyFont="1" applyFill="1"/>
    <xf numFmtId="168" fontId="3" fillId="0" borderId="0" xfId="2" applyNumberFormat="1" applyFont="1" applyFill="1"/>
    <xf numFmtId="0" fontId="2" fillId="0" borderId="0" xfId="0" applyFont="1" applyFill="1" applyAlignment="1" applyProtection="1">
      <alignment horizontal="centerContinuous" vertical="center"/>
      <protection locked="0"/>
    </xf>
    <xf numFmtId="0" fontId="12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 vertical="center"/>
      <protection locked="0"/>
    </xf>
    <xf numFmtId="0" fontId="3" fillId="0" borderId="0" xfId="0" applyFont="1" applyFill="1" applyAlignment="1" applyProtection="1">
      <alignment horizontal="centerContinuous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Fill="1" applyAlignment="1" applyProtection="1">
      <protection locked="0"/>
    </xf>
    <xf numFmtId="0" fontId="13" fillId="0" borderId="0" xfId="8" applyFont="1" applyAlignment="1" applyProtection="1">
      <alignment horizontal="centerContinuous"/>
      <protection locked="0"/>
    </xf>
    <xf numFmtId="0" fontId="14" fillId="0" borderId="0" xfId="8" applyFont="1" applyAlignment="1" applyProtection="1">
      <alignment horizontal="center"/>
      <protection locked="0"/>
    </xf>
    <xf numFmtId="0" fontId="14" fillId="0" borderId="0" xfId="8" applyFont="1" applyAlignment="1" applyProtection="1">
      <protection locked="0"/>
    </xf>
    <xf numFmtId="0" fontId="3" fillId="0" borderId="0" xfId="8" applyFont="1"/>
    <xf numFmtId="0" fontId="15" fillId="0" borderId="0" xfId="0" applyFont="1"/>
    <xf numFmtId="0" fontId="16" fillId="0" borderId="0" xfId="8" quotePrefix="1" applyFont="1" applyFill="1" applyAlignment="1" applyProtection="1">
      <alignment horizontal="center"/>
      <protection locked="0"/>
    </xf>
    <xf numFmtId="0" fontId="14" fillId="0" borderId="0" xfId="8" quotePrefix="1" applyFont="1" applyAlignment="1" applyProtection="1">
      <alignment horizontal="center"/>
      <protection locked="0"/>
    </xf>
    <xf numFmtId="0" fontId="14" fillId="0" borderId="0" xfId="8" applyFont="1"/>
    <xf numFmtId="0" fontId="14" fillId="0" borderId="0" xfId="8" quotePrefix="1" applyFont="1" applyFill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40" fontId="18" fillId="0" borderId="0" xfId="0" quotePrefix="1" applyNumberFormat="1" applyFont="1" applyFill="1" applyAlignment="1" applyProtection="1">
      <alignment horizontal="center" wrapText="1"/>
      <protection locked="0"/>
    </xf>
    <xf numFmtId="10" fontId="18" fillId="0" borderId="0" xfId="0" quotePrefix="1" applyNumberFormat="1" applyFont="1" applyFill="1" applyAlignment="1" applyProtection="1">
      <alignment horizontal="center" wrapText="1"/>
      <protection locked="0"/>
    </xf>
    <xf numFmtId="0" fontId="2" fillId="0" borderId="0" xfId="0" applyFont="1" applyFill="1" applyAlignment="1" applyProtection="1">
      <protection locked="0"/>
    </xf>
    <xf numFmtId="0" fontId="2" fillId="0" borderId="0" xfId="8" applyFont="1" applyFill="1" applyAlignment="1" applyProtection="1">
      <alignment horizontal="center"/>
      <protection locked="0"/>
    </xf>
    <xf numFmtId="44" fontId="3" fillId="0" borderId="0" xfId="8" applyNumberFormat="1" applyFont="1" applyFill="1" applyBorder="1" applyAlignment="1" applyProtection="1">
      <protection locked="0"/>
    </xf>
    <xf numFmtId="10" fontId="3" fillId="0" borderId="0" xfId="16" applyNumberFormat="1" applyFont="1" applyAlignment="1" applyProtection="1">
      <alignment horizontal="center"/>
      <protection locked="0"/>
    </xf>
    <xf numFmtId="44" fontId="3" fillId="0" borderId="0" xfId="8" applyNumberFormat="1" applyFont="1" applyFill="1" applyAlignment="1" applyProtection="1">
      <protection locked="0"/>
    </xf>
    <xf numFmtId="44" fontId="2" fillId="0" borderId="0" xfId="12" quotePrefix="1" applyFont="1" applyAlignment="1" applyProtection="1">
      <alignment horizontal="center"/>
      <protection locked="0"/>
    </xf>
    <xf numFmtId="10" fontId="3" fillId="0" borderId="0" xfId="8" applyNumberFormat="1" applyFont="1" applyAlignment="1" applyProtection="1">
      <protection locked="0"/>
    </xf>
    <xf numFmtId="44" fontId="3" fillId="0" borderId="0" xfId="12" applyFont="1" applyAlignment="1" applyProtection="1">
      <alignment horizontal="center"/>
      <protection locked="0"/>
    </xf>
    <xf numFmtId="0" fontId="3" fillId="0" borderId="0" xfId="8" applyFont="1" applyAlignment="1" applyProtection="1">
      <protection locked="0"/>
    </xf>
    <xf numFmtId="0" fontId="3" fillId="0" borderId="0" xfId="8" applyFont="1" applyFill="1" applyAlignment="1" applyProtection="1">
      <protection locked="0"/>
    </xf>
    <xf numFmtId="0" fontId="3" fillId="0" borderId="0" xfId="8" applyFont="1" applyBorder="1" applyAlignment="1" applyProtection="1">
      <protection locked="0"/>
    </xf>
    <xf numFmtId="0" fontId="3" fillId="0" borderId="0" xfId="8" applyFont="1" applyFill="1" applyBorder="1" applyAlignment="1" applyProtection="1">
      <protection locked="0"/>
    </xf>
    <xf numFmtId="0" fontId="3" fillId="0" borderId="0" xfId="8" applyFont="1" applyFill="1"/>
    <xf numFmtId="0" fontId="3" fillId="0" borderId="0" xfId="80" applyFont="1" applyFill="1"/>
    <xf numFmtId="0" fontId="3" fillId="0" borderId="0" xfId="80" applyFill="1"/>
    <xf numFmtId="0" fontId="3" fillId="0" borderId="0" xfId="80" applyFont="1" applyFill="1" applyBorder="1" applyAlignment="1" applyProtection="1">
      <protection locked="0"/>
    </xf>
    <xf numFmtId="0" fontId="3" fillId="0" borderId="0" xfId="80" applyFont="1" applyFill="1" applyAlignment="1">
      <alignment horizontal="left" indent="1"/>
    </xf>
    <xf numFmtId="37" fontId="2" fillId="0" borderId="0" xfId="1" applyNumberFormat="1" applyFont="1" applyFill="1" applyAlignment="1" applyProtection="1">
      <protection locked="0"/>
    </xf>
    <xf numFmtId="37" fontId="2" fillId="0" borderId="0" xfId="1" applyNumberFormat="1" applyFont="1" applyFill="1"/>
    <xf numFmtId="37" fontId="2" fillId="0" borderId="0" xfId="1" applyNumberFormat="1" applyFont="1" applyFill="1" applyAlignment="1">
      <alignment horizontal="center"/>
    </xf>
    <xf numFmtId="37" fontId="3" fillId="0" borderId="0" xfId="1" applyNumberFormat="1" applyFont="1" applyFill="1"/>
    <xf numFmtId="37" fontId="2" fillId="0" borderId="0" xfId="1" applyNumberFormat="1" applyFont="1" applyFill="1" applyAlignment="1">
      <alignment horizontal="right"/>
    </xf>
    <xf numFmtId="37" fontId="3" fillId="0" borderId="0" xfId="1" applyNumberFormat="1" applyFont="1" applyFill="1" applyAlignment="1">
      <alignment horizontal="right"/>
    </xf>
    <xf numFmtId="37" fontId="2" fillId="0" borderId="0" xfId="1" quotePrefix="1" applyNumberFormat="1" applyFont="1" applyFill="1" applyAlignment="1">
      <alignment horizontal="center"/>
    </xf>
    <xf numFmtId="164" fontId="3" fillId="0" borderId="0" xfId="85" applyNumberFormat="1" applyFont="1" applyFill="1"/>
    <xf numFmtId="17" fontId="2" fillId="4" borderId="1" xfId="1" applyNumberFormat="1" applyFont="1" applyFill="1" applyBorder="1" applyAlignment="1">
      <alignment horizontal="center"/>
    </xf>
    <xf numFmtId="0" fontId="2" fillId="0" borderId="0" xfId="1" applyFont="1" applyFill="1" applyBorder="1"/>
    <xf numFmtId="164" fontId="3" fillId="0" borderId="0" xfId="8" applyNumberFormat="1" applyFont="1" applyFill="1" applyAlignment="1" applyProtection="1">
      <protection locked="0"/>
    </xf>
    <xf numFmtId="164" fontId="3" fillId="0" borderId="0" xfId="8" applyNumberFormat="1" applyFont="1" applyAlignment="1" applyProtection="1">
      <protection locked="0"/>
    </xf>
    <xf numFmtId="164" fontId="3" fillId="0" borderId="0" xfId="12" applyNumberFormat="1" applyFont="1" applyBorder="1" applyAlignment="1" applyProtection="1">
      <protection locked="0"/>
    </xf>
    <xf numFmtId="164" fontId="3" fillId="0" borderId="0" xfId="12" applyNumberFormat="1" applyFont="1" applyAlignment="1" applyProtection="1">
      <protection locked="0"/>
    </xf>
    <xf numFmtId="164" fontId="3" fillId="0" borderId="2" xfId="12" applyNumberFormat="1" applyFont="1" applyBorder="1" applyAlignment="1" applyProtection="1">
      <protection locked="0"/>
    </xf>
    <xf numFmtId="164" fontId="3" fillId="2" borderId="0" xfId="8" applyNumberFormat="1" applyFont="1" applyFill="1" applyAlignment="1" applyProtection="1">
      <protection locked="0"/>
    </xf>
    <xf numFmtId="164" fontId="3" fillId="3" borderId="0" xfId="8" applyNumberFormat="1" applyFont="1" applyFill="1" applyAlignment="1" applyProtection="1">
      <protection locked="0"/>
    </xf>
    <xf numFmtId="164" fontId="15" fillId="0" borderId="0" xfId="0" applyNumberFormat="1" applyFont="1"/>
    <xf numFmtId="164" fontId="15" fillId="0" borderId="2" xfId="0" applyNumberFormat="1" applyFont="1" applyBorder="1"/>
    <xf numFmtId="164" fontId="15" fillId="0" borderId="3" xfId="0" applyNumberFormat="1" applyFont="1" applyBorder="1"/>
    <xf numFmtId="164" fontId="3" fillId="0" borderId="0" xfId="8" applyNumberFormat="1" applyFont="1" applyFill="1" applyBorder="1" applyAlignment="1" applyProtection="1">
      <protection locked="0"/>
    </xf>
    <xf numFmtId="164" fontId="3" fillId="0" borderId="2" xfId="12" applyNumberFormat="1" applyFont="1" applyFill="1" applyBorder="1" applyAlignment="1" applyProtection="1">
      <protection locked="0"/>
    </xf>
    <xf numFmtId="164" fontId="3" fillId="0" borderId="0" xfId="12" applyNumberFormat="1" applyFont="1" applyFill="1" applyAlignment="1" applyProtection="1">
      <protection locked="0"/>
    </xf>
    <xf numFmtId="44" fontId="3" fillId="0" borderId="0" xfId="12" applyFont="1" applyFill="1" applyAlignment="1" applyProtection="1">
      <alignment horizontal="center"/>
      <protection locked="0"/>
    </xf>
    <xf numFmtId="164" fontId="3" fillId="0" borderId="0" xfId="12" applyNumberFormat="1" applyFont="1" applyFill="1" applyBorder="1" applyAlignment="1" applyProtection="1">
      <protection locked="0"/>
    </xf>
    <xf numFmtId="164" fontId="15" fillId="0" borderId="0" xfId="0" applyNumberFormat="1" applyFont="1" applyFill="1"/>
    <xf numFmtId="0" fontId="15" fillId="0" borderId="0" xfId="0" applyFont="1" applyFill="1"/>
    <xf numFmtId="17" fontId="2" fillId="4" borderId="0" xfId="1" applyNumberFormat="1" applyFont="1" applyFill="1" applyAlignment="1">
      <alignment horizontal="center"/>
    </xf>
    <xf numFmtId="0" fontId="3" fillId="0" borderId="0" xfId="64" applyFont="1" applyFill="1" applyAlignment="1">
      <alignment horizontal="left" indent="1"/>
    </xf>
    <xf numFmtId="0" fontId="3" fillId="0" borderId="0" xfId="64" applyFont="1" applyFill="1" applyAlignment="1">
      <alignment horizontal="left" indent="1"/>
    </xf>
    <xf numFmtId="0" fontId="3" fillId="0" borderId="0" xfId="64" applyFont="1" applyFill="1" applyAlignment="1">
      <alignment horizontal="left" indent="1"/>
    </xf>
    <xf numFmtId="37" fontId="3" fillId="0" borderId="2" xfId="2" applyNumberFormat="1" applyFont="1" applyFill="1" applyBorder="1" applyAlignment="1">
      <alignment horizontal="right"/>
    </xf>
    <xf numFmtId="164" fontId="3" fillId="0" borderId="0" xfId="85" applyNumberFormat="1" applyFont="1" applyFill="1" applyAlignment="1">
      <alignment horizontal="left" indent="1"/>
    </xf>
    <xf numFmtId="41" fontId="3" fillId="0" borderId="0" xfId="85" applyNumberFormat="1" applyFont="1" applyFill="1" applyAlignment="1">
      <alignment horizontal="left" indent="1"/>
    </xf>
    <xf numFmtId="164" fontId="3" fillId="0" borderId="0" xfId="85" applyNumberFormat="1" applyFont="1" applyFill="1" applyAlignment="1">
      <alignment horizontal="right" indent="1"/>
    </xf>
    <xf numFmtId="164" fontId="3" fillId="0" borderId="0" xfId="85" applyNumberFormat="1" applyFont="1" applyFill="1" applyBorder="1"/>
    <xf numFmtId="164" fontId="3" fillId="0" borderId="0" xfId="85" applyNumberFormat="1" applyFont="1" applyFill="1" applyAlignment="1">
      <alignment horizontal="right"/>
    </xf>
    <xf numFmtId="0" fontId="2" fillId="0" borderId="0" xfId="1" applyFont="1" applyFill="1" applyAlignment="1">
      <alignment horizontal="left"/>
    </xf>
    <xf numFmtId="39" fontId="2" fillId="0" borderId="0" xfId="1" quotePrefix="1" applyNumberFormat="1" applyFont="1" applyFill="1" applyBorder="1" applyAlignment="1">
      <alignment horizontal="center"/>
    </xf>
    <xf numFmtId="164" fontId="3" fillId="0" borderId="0" xfId="1" applyNumberFormat="1" applyFont="1" applyFill="1"/>
    <xf numFmtId="168" fontId="3" fillId="0" borderId="2" xfId="2" applyNumberFormat="1" applyFont="1" applyFill="1" applyBorder="1"/>
    <xf numFmtId="43" fontId="3" fillId="0" borderId="0" xfId="2" applyNumberFormat="1" applyFont="1" applyFill="1"/>
    <xf numFmtId="168" fontId="3" fillId="0" borderId="0" xfId="2" applyNumberFormat="1" applyFont="1" applyFill="1" applyBorder="1"/>
    <xf numFmtId="168" fontId="2" fillId="0" borderId="0" xfId="3" applyNumberFormat="1" applyFont="1" applyFill="1" applyBorder="1"/>
    <xf numFmtId="0" fontId="3" fillId="0" borderId="0" xfId="1" applyFont="1" applyFill="1" applyAlignment="1">
      <alignment horizontal="right"/>
    </xf>
    <xf numFmtId="3" fontId="3" fillId="0" borderId="0" xfId="2" applyNumberFormat="1" applyFont="1" applyFill="1" applyBorder="1"/>
    <xf numFmtId="3" fontId="3" fillId="0" borderId="0" xfId="1" applyNumberFormat="1" applyFont="1" applyFill="1"/>
  </cellXfs>
  <cellStyles count="279">
    <cellStyle name="20% - Accent1" xfId="104" builtinId="30" customBuiltin="1"/>
    <cellStyle name="20% - Accent2" xfId="108" builtinId="34" customBuiltin="1"/>
    <cellStyle name="20% - Accent3" xfId="112" builtinId="38" customBuiltin="1"/>
    <cellStyle name="20% - Accent4" xfId="116" builtinId="42" customBuiltin="1"/>
    <cellStyle name="20% - Accent5" xfId="120" builtinId="46" customBuiltin="1"/>
    <cellStyle name="20% - Accent6" xfId="124" builtinId="50" customBuiltin="1"/>
    <cellStyle name="40% - Accent1" xfId="105" builtinId="31" customBuiltin="1"/>
    <cellStyle name="40% - Accent2" xfId="109" builtinId="35" customBuiltin="1"/>
    <cellStyle name="40% - Accent3" xfId="113" builtinId="39" customBuiltin="1"/>
    <cellStyle name="40% - Accent4" xfId="117" builtinId="43" customBuiltin="1"/>
    <cellStyle name="40% - Accent5" xfId="121" builtinId="47" customBuiltin="1"/>
    <cellStyle name="40% - Accent6" xfId="125" builtinId="51" customBuiltin="1"/>
    <cellStyle name="60% - Accent1" xfId="106" builtinId="32" customBuiltin="1"/>
    <cellStyle name="60% - Accent2" xfId="110" builtinId="36" customBuiltin="1"/>
    <cellStyle name="60% - Accent3" xfId="114" builtinId="40" customBuiltin="1"/>
    <cellStyle name="60% - Accent4" xfId="118" builtinId="44" customBuiltin="1"/>
    <cellStyle name="60% - Accent5" xfId="122" builtinId="48" customBuiltin="1"/>
    <cellStyle name="60% - Accent6" xfId="126" builtinId="52" customBuiltin="1"/>
    <cellStyle name="Accent1" xfId="103" builtinId="29" customBuiltin="1"/>
    <cellStyle name="Accent2" xfId="107" builtinId="33" customBuiltin="1"/>
    <cellStyle name="Accent3" xfId="111" builtinId="37" customBuiltin="1"/>
    <cellStyle name="Accent4" xfId="115" builtinId="41" customBuiltin="1"/>
    <cellStyle name="Accent5" xfId="119" builtinId="45" customBuiltin="1"/>
    <cellStyle name="Accent6" xfId="123" builtinId="49" customBuiltin="1"/>
    <cellStyle name="Bad" xfId="92" builtinId="27" customBuiltin="1"/>
    <cellStyle name="Calculation" xfId="96" builtinId="22" customBuiltin="1"/>
    <cellStyle name="Check Cell" xfId="98" builtinId="23" customBuiltin="1"/>
    <cellStyle name="Comma" xfId="85" builtinId="3"/>
    <cellStyle name="Comma 10" xfId="33"/>
    <cellStyle name="Comma 11" xfId="35"/>
    <cellStyle name="Comma 12" xfId="37"/>
    <cellStyle name="Comma 13" xfId="39"/>
    <cellStyle name="Comma 14" xfId="41"/>
    <cellStyle name="Comma 15" xfId="43"/>
    <cellStyle name="Comma 16" xfId="45"/>
    <cellStyle name="Comma 17" xfId="47"/>
    <cellStyle name="Comma 18" xfId="49"/>
    <cellStyle name="Comma 19" xfId="51"/>
    <cellStyle name="Comma 2" xfId="2"/>
    <cellStyle name="Comma 2 2" xfId="11"/>
    <cellStyle name="Comma 2 3" xfId="83"/>
    <cellStyle name="Comma 2 4" xfId="10"/>
    <cellStyle name="Comma 20" xfId="53"/>
    <cellStyle name="Comma 21" xfId="55"/>
    <cellStyle name="Comma 22" xfId="57"/>
    <cellStyle name="Comma 23" xfId="59"/>
    <cellStyle name="Comma 24" xfId="61"/>
    <cellStyle name="Comma 25" xfId="63"/>
    <cellStyle name="Comma 26" xfId="67"/>
    <cellStyle name="Comma 27" xfId="69"/>
    <cellStyle name="Comma 28" xfId="71"/>
    <cellStyle name="Comma 29" xfId="73"/>
    <cellStyle name="Comma 3" xfId="19"/>
    <cellStyle name="Comma 3 2" xfId="158"/>
    <cellStyle name="Comma 3 2 2" xfId="178"/>
    <cellStyle name="Comma 3 2 3" xfId="232"/>
    <cellStyle name="Comma 3 3" xfId="177"/>
    <cellStyle name="Comma 3 4" xfId="231"/>
    <cellStyle name="Comma 3 5" xfId="136"/>
    <cellStyle name="Comma 30" xfId="75"/>
    <cellStyle name="Comma 31" xfId="77"/>
    <cellStyle name="Comma 32" xfId="79"/>
    <cellStyle name="Comma 33" xfId="9"/>
    <cellStyle name="Comma 4" xfId="21"/>
    <cellStyle name="Comma 4 2" xfId="170"/>
    <cellStyle name="Comma 4 2 2" xfId="179"/>
    <cellStyle name="Comma 4 2 3" xfId="233"/>
    <cellStyle name="Comma 4 3" xfId="176"/>
    <cellStyle name="Comma 4 4" xfId="226"/>
    <cellStyle name="Comma 4 5" xfId="230"/>
    <cellStyle name="Comma 5" xfId="23"/>
    <cellStyle name="Comma 5 2" xfId="173"/>
    <cellStyle name="Comma 5 2 2" xfId="181"/>
    <cellStyle name="Comma 5 2 3" xfId="235"/>
    <cellStyle name="Comma 5 3" xfId="180"/>
    <cellStyle name="Comma 5 4" xfId="234"/>
    <cellStyle name="Comma 6" xfId="25"/>
    <cellStyle name="Comma 7" xfId="27"/>
    <cellStyle name="Comma 8" xfId="29"/>
    <cellStyle name="Comma 9" xfId="31"/>
    <cellStyle name="Currency 2" xfId="3"/>
    <cellStyle name="Currency 2 2" xfId="82"/>
    <cellStyle name="Currency 2 3" xfId="13"/>
    <cellStyle name="Currency 3" xfId="18"/>
    <cellStyle name="Currency 3 2" xfId="159"/>
    <cellStyle name="Currency 3 2 2" xfId="183"/>
    <cellStyle name="Currency 3 2 3" xfId="237"/>
    <cellStyle name="Currency 3 3" xfId="182"/>
    <cellStyle name="Currency 3 4" xfId="236"/>
    <cellStyle name="Currency 3 5" xfId="137"/>
    <cellStyle name="Currency 4" xfId="12"/>
    <cellStyle name="Explanatory Text" xfId="101" builtinId="53" customBuiltin="1"/>
    <cellStyle name="General" xfId="4"/>
    <cellStyle name="Good" xfId="91" builtinId="26" customBuiltin="1"/>
    <cellStyle name="Heading 1" xfId="87" builtinId="16" customBuiltin="1"/>
    <cellStyle name="Heading 2" xfId="88" builtinId="17" customBuiltin="1"/>
    <cellStyle name="Heading 3" xfId="89" builtinId="18" customBuiltin="1"/>
    <cellStyle name="Heading 4" xfId="90" builtinId="19" customBuiltin="1"/>
    <cellStyle name="Hyperlink 2" xfId="129"/>
    <cellStyle name="Input" xfId="94" builtinId="20" customBuiltin="1"/>
    <cellStyle name="Linked Cell" xfId="97" builtinId="24" customBuiltin="1"/>
    <cellStyle name="Neutral" xfId="93" builtinId="28" customBuiltin="1"/>
    <cellStyle name="nONE" xfId="5"/>
    <cellStyle name="Normal" xfId="0" builtinId="0"/>
    <cellStyle name="Normal 10" xfId="32"/>
    <cellStyle name="Normal 11" xfId="34"/>
    <cellStyle name="Normal 12" xfId="36"/>
    <cellStyle name="Normal 13" xfId="38"/>
    <cellStyle name="Normal 14" xfId="40"/>
    <cellStyle name="Normal 15" xfId="42"/>
    <cellStyle name="Normal 16" xfId="44"/>
    <cellStyle name="Normal 17" xfId="46"/>
    <cellStyle name="Normal 18" xfId="48"/>
    <cellStyle name="Normal 19" xfId="50"/>
    <cellStyle name="Normal 2" xfId="1"/>
    <cellStyle name="Normal 2 2" xfId="64"/>
    <cellStyle name="Normal 2 2 2" xfId="134"/>
    <cellStyle name="Normal 2 2 2 2" xfId="144"/>
    <cellStyle name="Normal 2 2 2 2 2" xfId="166"/>
    <cellStyle name="Normal 2 2 2 2 2 2" xfId="188"/>
    <cellStyle name="Normal 2 2 2 2 2 3" xfId="242"/>
    <cellStyle name="Normal 2 2 2 2 3" xfId="187"/>
    <cellStyle name="Normal 2 2 2 2 4" xfId="241"/>
    <cellStyle name="Normal 2 2 2 3" xfId="155"/>
    <cellStyle name="Normal 2 2 2 3 2" xfId="189"/>
    <cellStyle name="Normal 2 2 2 3 3" xfId="243"/>
    <cellStyle name="Normal 2 2 2 4" xfId="186"/>
    <cellStyle name="Normal 2 2 2 5" xfId="240"/>
    <cellStyle name="Normal 2 2 3" xfId="140"/>
    <cellStyle name="Normal 2 2 3 2" xfId="162"/>
    <cellStyle name="Normal 2 2 3 2 2" xfId="191"/>
    <cellStyle name="Normal 2 2 3 2 3" xfId="245"/>
    <cellStyle name="Normal 2 2 3 3" xfId="190"/>
    <cellStyle name="Normal 2 2 3 4" xfId="244"/>
    <cellStyle name="Normal 2 2 4" xfId="151"/>
    <cellStyle name="Normal 2 2 4 2" xfId="192"/>
    <cellStyle name="Normal 2 2 4 3" xfId="246"/>
    <cellStyle name="Normal 2 2 5" xfId="185"/>
    <cellStyle name="Normal 2 2 6" xfId="239"/>
    <cellStyle name="Normal 2 2 7" xfId="130"/>
    <cellStyle name="Normal 2 3" xfId="84"/>
    <cellStyle name="Normal 2 3 2" xfId="142"/>
    <cellStyle name="Normal 2 3 2 2" xfId="164"/>
    <cellStyle name="Normal 2 3 2 2 2" xfId="195"/>
    <cellStyle name="Normal 2 3 2 2 3" xfId="249"/>
    <cellStyle name="Normal 2 3 2 3" xfId="194"/>
    <cellStyle name="Normal 2 3 2 4" xfId="248"/>
    <cellStyle name="Normal 2 3 3" xfId="153"/>
    <cellStyle name="Normal 2 3 3 2" xfId="196"/>
    <cellStyle name="Normal 2 3 3 3" xfId="250"/>
    <cellStyle name="Normal 2 3 4" xfId="193"/>
    <cellStyle name="Normal 2 3 5" xfId="247"/>
    <cellStyle name="Normal 2 3 6" xfId="132"/>
    <cellStyle name="Normal 2 4" xfId="14"/>
    <cellStyle name="Normal 2 4 2" xfId="160"/>
    <cellStyle name="Normal 2 4 2 2" xfId="198"/>
    <cellStyle name="Normal 2 4 2 3" xfId="252"/>
    <cellStyle name="Normal 2 4 3" xfId="197"/>
    <cellStyle name="Normal 2 4 4" xfId="251"/>
    <cellStyle name="Normal 2 5" xfId="147"/>
    <cellStyle name="Normal 2 6" xfId="149"/>
    <cellStyle name="Normal 2 6 2" xfId="199"/>
    <cellStyle name="Normal 2 6 3" xfId="253"/>
    <cellStyle name="Normal 2 7" xfId="184"/>
    <cellStyle name="Normal 2 8" xfId="238"/>
    <cellStyle name="Normal 20" xfId="52"/>
    <cellStyle name="Normal 21" xfId="54"/>
    <cellStyle name="Normal 22" xfId="56"/>
    <cellStyle name="Normal 23" xfId="58"/>
    <cellStyle name="Normal 24" xfId="60"/>
    <cellStyle name="Normal 25" xfId="62"/>
    <cellStyle name="Normal 26" xfId="66"/>
    <cellStyle name="Normal 27" xfId="68"/>
    <cellStyle name="Normal 28" xfId="70"/>
    <cellStyle name="Normal 29" xfId="72"/>
    <cellStyle name="Normal 3" xfId="15"/>
    <cellStyle name="Normal 3 2" xfId="80"/>
    <cellStyle name="Normal 3 2 2" xfId="135"/>
    <cellStyle name="Normal 3 2 2 2" xfId="145"/>
    <cellStyle name="Normal 3 2 2 2 2" xfId="167"/>
    <cellStyle name="Normal 3 2 2 2 2 2" xfId="204"/>
    <cellStyle name="Normal 3 2 2 2 2 3" xfId="258"/>
    <cellStyle name="Normal 3 2 2 2 3" xfId="203"/>
    <cellStyle name="Normal 3 2 2 2 4" xfId="257"/>
    <cellStyle name="Normal 3 2 2 3" xfId="156"/>
    <cellStyle name="Normal 3 2 2 3 2" xfId="205"/>
    <cellStyle name="Normal 3 2 2 3 3" xfId="259"/>
    <cellStyle name="Normal 3 2 2 4" xfId="202"/>
    <cellStyle name="Normal 3 2 2 5" xfId="256"/>
    <cellStyle name="Normal 3 2 3" xfId="141"/>
    <cellStyle name="Normal 3 2 3 2" xfId="163"/>
    <cellStyle name="Normal 3 2 3 2 2" xfId="207"/>
    <cellStyle name="Normal 3 2 3 2 3" xfId="261"/>
    <cellStyle name="Normal 3 2 3 3" xfId="206"/>
    <cellStyle name="Normal 3 2 3 4" xfId="260"/>
    <cellStyle name="Normal 3 2 4" xfId="152"/>
    <cellStyle name="Normal 3 2 4 2" xfId="208"/>
    <cellStyle name="Normal 3 2 4 3" xfId="262"/>
    <cellStyle name="Normal 3 2 5" xfId="201"/>
    <cellStyle name="Normal 3 2 6" xfId="255"/>
    <cellStyle name="Normal 3 2 7" xfId="131"/>
    <cellStyle name="Normal 3 3" xfId="133"/>
    <cellStyle name="Normal 3 3 2" xfId="143"/>
    <cellStyle name="Normal 3 3 2 2" xfId="165"/>
    <cellStyle name="Normal 3 3 2 2 2" xfId="211"/>
    <cellStyle name="Normal 3 3 2 2 3" xfId="265"/>
    <cellStyle name="Normal 3 3 2 3" xfId="210"/>
    <cellStyle name="Normal 3 3 2 4" xfId="264"/>
    <cellStyle name="Normal 3 3 3" xfId="154"/>
    <cellStyle name="Normal 3 3 3 2" xfId="212"/>
    <cellStyle name="Normal 3 3 3 3" xfId="266"/>
    <cellStyle name="Normal 3 3 4" xfId="209"/>
    <cellStyle name="Normal 3 3 5" xfId="263"/>
    <cellStyle name="Normal 3 4" xfId="139"/>
    <cellStyle name="Normal 3 4 2" xfId="161"/>
    <cellStyle name="Normal 3 4 2 2" xfId="214"/>
    <cellStyle name="Normal 3 4 2 3" xfId="268"/>
    <cellStyle name="Normal 3 4 3" xfId="213"/>
    <cellStyle name="Normal 3 4 4" xfId="267"/>
    <cellStyle name="Normal 3 5" xfId="150"/>
    <cellStyle name="Normal 3 5 2" xfId="215"/>
    <cellStyle name="Normal 3 5 3" xfId="269"/>
    <cellStyle name="Normal 3 6" xfId="200"/>
    <cellStyle name="Normal 3 7" xfId="254"/>
    <cellStyle name="Normal 3 8" xfId="128"/>
    <cellStyle name="Normal 30" xfId="74"/>
    <cellStyle name="Normal 31" xfId="76"/>
    <cellStyle name="Normal 32" xfId="78"/>
    <cellStyle name="Normal 33" xfId="8"/>
    <cellStyle name="Normal 4" xfId="20"/>
    <cellStyle name="Normal 4 2" xfId="138"/>
    <cellStyle name="Normal 5" xfId="22"/>
    <cellStyle name="Normal 5 2" xfId="157"/>
    <cellStyle name="Normal 5 2 2" xfId="217"/>
    <cellStyle name="Normal 5 2 3" xfId="271"/>
    <cellStyle name="Normal 5 3" xfId="216"/>
    <cellStyle name="Normal 5 4" xfId="270"/>
    <cellStyle name="Normal 6" xfId="24"/>
    <cellStyle name="Normal 6 2" xfId="168"/>
    <cellStyle name="Normal 6 2 2" xfId="218"/>
    <cellStyle name="Normal 6 2 3" xfId="272"/>
    <cellStyle name="Normal 6 3" xfId="174"/>
    <cellStyle name="Normal 6 4" xfId="224"/>
    <cellStyle name="Normal 6 5" xfId="228"/>
    <cellStyle name="Normal 7" xfId="26"/>
    <cellStyle name="Normal 7 2" xfId="172"/>
    <cellStyle name="Normal 7 2 2" xfId="220"/>
    <cellStyle name="Normal 7 2 3" xfId="274"/>
    <cellStyle name="Normal 7 3" xfId="219"/>
    <cellStyle name="Normal 7 4" xfId="227"/>
    <cellStyle name="Normal 7 5" xfId="273"/>
    <cellStyle name="Normal 8" xfId="28"/>
    <cellStyle name="Normal 9" xfId="30"/>
    <cellStyle name="Note" xfId="100" builtinId="10" customBuiltin="1"/>
    <cellStyle name="Output" xfId="95" builtinId="21" customBuiltin="1"/>
    <cellStyle name="Percent 2" xfId="6"/>
    <cellStyle name="Percent 2 2" xfId="81"/>
    <cellStyle name="Percent 2 3" xfId="65"/>
    <cellStyle name="Percent 3" xfId="16"/>
    <cellStyle name="Percent 3 2" xfId="169"/>
    <cellStyle name="Percent 3 2 2" xfId="221"/>
    <cellStyle name="Percent 3 2 3" xfId="275"/>
    <cellStyle name="Percent 3 3" xfId="175"/>
    <cellStyle name="Percent 3 4" xfId="225"/>
    <cellStyle name="Percent 3 5" xfId="229"/>
    <cellStyle name="Percent 3 6" xfId="146"/>
    <cellStyle name="Percent 4" xfId="148"/>
    <cellStyle name="Percent 4 2" xfId="171"/>
    <cellStyle name="Percent 4 2 2" xfId="223"/>
    <cellStyle name="Percent 4 2 3" xfId="277"/>
    <cellStyle name="Percent 4 3" xfId="222"/>
    <cellStyle name="Percent 4 4" xfId="276"/>
    <cellStyle name="Percent 5" xfId="278"/>
    <cellStyle name="Title" xfId="86" builtinId="15" customBuiltin="1"/>
    <cellStyle name="Total" xfId="102" builtinId="25" customBuiltin="1"/>
    <cellStyle name="TRANSMISSION RELIABILITY PORTION OF PROJECT" xfId="7"/>
    <cellStyle name="TRANSMISSION RELIABILITY PORTION OF PROJECT 2" xfId="17"/>
    <cellStyle name="TRANSMISSION RELIABILITY PORTION OF PROJECT 2 2" xfId="127"/>
    <cellStyle name="Warning Text" xfId="99" builtinId="11" customBuiltin="1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psc.state.ut.us/SHR02/ACCTNG/GENERAL/JAN%20LEWIS/DSM/Recovery%20Files/RECOV03-May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Codes"/>
      <sheetName val="SCRInput2"/>
      <sheetName val="Inputs"/>
      <sheetName val="DSM Output"/>
      <sheetName val="DSM Dollars"/>
      <sheetName val="Centralia Credit"/>
      <sheetName val="Y2K"/>
      <sheetName val="Deferred Acct."/>
      <sheetName val="PCA"/>
      <sheetName val="Hermiston"/>
      <sheetName val="Trail Mtn."/>
      <sheetName val="WA SBC"/>
      <sheetName val="0103 Proration (191)"/>
      <sheetName val="WA Centralia"/>
      <sheetName val="WA SBC - Class 48T"/>
      <sheetName val="Module2"/>
    </sheetNames>
    <sheetDataSet>
      <sheetData sheetId="0"/>
      <sheetData sheetId="1"/>
      <sheetData sheetId="2"/>
      <sheetData sheetId="3"/>
      <sheetData sheetId="4"/>
      <sheetData sheetId="5">
        <row r="1">
          <cell r="AL1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D78"/>
  <sheetViews>
    <sheetView zoomScaleNormal="100" workbookViewId="0">
      <pane ySplit="4" topLeftCell="A5" activePane="bottomLeft" state="frozen"/>
      <selection pane="bottomLeft" activeCell="E50" sqref="E50"/>
    </sheetView>
  </sheetViews>
  <sheetFormatPr defaultRowHeight="14.25"/>
  <cols>
    <col min="1" max="1" width="17.5703125" style="29" customWidth="1"/>
    <col min="2" max="2" width="17.28515625" style="29" customWidth="1"/>
    <col min="3" max="3" width="15.28515625" style="29" customWidth="1"/>
    <col min="4" max="4" width="17" style="29" customWidth="1"/>
    <col min="5" max="5" width="15.7109375" style="29" bestFit="1" customWidth="1"/>
    <col min="6" max="6" width="17" style="29" bestFit="1" customWidth="1"/>
    <col min="7" max="7" width="19.140625" style="29" bestFit="1" customWidth="1"/>
    <col min="8" max="8" width="9.28515625" style="29" customWidth="1"/>
    <col min="9" max="9" width="1.42578125" style="29" customWidth="1"/>
    <col min="10" max="10" width="16.42578125" style="29" customWidth="1"/>
    <col min="11" max="11" width="2.7109375" style="29" customWidth="1"/>
    <col min="12" max="16384" width="9.140625" style="29"/>
  </cols>
  <sheetData>
    <row r="1" spans="1:134" s="23" customFormat="1" ht="12.75" customHeight="1">
      <c r="A1" s="19" t="s">
        <v>10</v>
      </c>
      <c r="B1" s="19"/>
      <c r="C1" s="19"/>
      <c r="D1" s="20"/>
      <c r="E1" s="19"/>
      <c r="F1" s="19"/>
      <c r="G1" s="19"/>
      <c r="H1" s="21"/>
      <c r="I1" s="22"/>
      <c r="J1" s="22"/>
    </row>
    <row r="2" spans="1:134" s="24" customFormat="1" ht="12.75" customHeight="1">
      <c r="A2" s="19" t="s">
        <v>11</v>
      </c>
      <c r="B2" s="19"/>
      <c r="C2" s="19"/>
      <c r="D2" s="20"/>
      <c r="E2" s="19"/>
      <c r="F2" s="19"/>
      <c r="G2" s="19"/>
      <c r="H2" s="21"/>
      <c r="I2" s="22"/>
      <c r="J2" s="22"/>
    </row>
    <row r="3" spans="1:134">
      <c r="A3" s="25"/>
      <c r="B3" s="26"/>
      <c r="C3" s="26"/>
      <c r="D3" s="26"/>
      <c r="E3" s="30"/>
      <c r="F3" s="31" t="s">
        <v>12</v>
      </c>
      <c r="G3" s="31"/>
      <c r="H3" s="32"/>
      <c r="I3" s="28"/>
      <c r="J3" s="33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28"/>
      <c r="DC3" s="28"/>
      <c r="DD3" s="28"/>
      <c r="DE3" s="28"/>
      <c r="DF3" s="28"/>
      <c r="DG3" s="28"/>
      <c r="DH3" s="28"/>
      <c r="DI3" s="28"/>
      <c r="DJ3" s="28"/>
      <c r="DK3" s="28"/>
      <c r="DL3" s="28"/>
      <c r="DM3" s="28"/>
      <c r="DN3" s="28"/>
      <c r="DO3" s="28"/>
      <c r="DP3" s="28"/>
      <c r="DQ3" s="28"/>
      <c r="DR3" s="28"/>
      <c r="DS3" s="28"/>
      <c r="DT3" s="28"/>
      <c r="DU3" s="28"/>
      <c r="DV3" s="28"/>
      <c r="DW3" s="28"/>
      <c r="DX3" s="28"/>
      <c r="DY3" s="28"/>
      <c r="DZ3" s="28"/>
      <c r="EA3" s="28"/>
      <c r="EB3" s="28"/>
      <c r="EC3" s="28"/>
      <c r="ED3" s="28"/>
    </row>
    <row r="4" spans="1:134" s="23" customFormat="1" ht="51" customHeight="1">
      <c r="A4" s="34"/>
      <c r="B4" s="35" t="s">
        <v>13</v>
      </c>
      <c r="C4" s="35" t="s">
        <v>14</v>
      </c>
      <c r="D4" s="35" t="s">
        <v>15</v>
      </c>
      <c r="E4" s="35" t="s">
        <v>16</v>
      </c>
      <c r="F4" s="35" t="s">
        <v>17</v>
      </c>
      <c r="G4" s="35" t="s">
        <v>18</v>
      </c>
      <c r="H4" s="36" t="s">
        <v>19</v>
      </c>
      <c r="I4" s="37"/>
      <c r="J4" s="36" t="s">
        <v>20</v>
      </c>
    </row>
    <row r="5" spans="1:134">
      <c r="A5" s="38"/>
      <c r="B5" s="39"/>
      <c r="C5" s="39"/>
      <c r="D5" s="39"/>
      <c r="E5" s="39"/>
      <c r="F5" s="39"/>
      <c r="G5" s="39"/>
      <c r="H5" s="40"/>
      <c r="I5" s="28"/>
      <c r="J5" s="41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7"/>
      <c r="EA5" s="27"/>
      <c r="EB5" s="27"/>
      <c r="EC5" s="28"/>
      <c r="ED5" s="28"/>
    </row>
    <row r="6" spans="1:134">
      <c r="A6" s="42" t="s">
        <v>33</v>
      </c>
      <c r="B6" s="68">
        <v>43638929.749999993</v>
      </c>
      <c r="C6" s="68">
        <v>3865060.19</v>
      </c>
      <c r="D6" s="68">
        <v>-54147493.57</v>
      </c>
      <c r="E6" s="68">
        <v>-428385</v>
      </c>
      <c r="F6" s="65">
        <v>-8770676.345999999</v>
      </c>
      <c r="G6" s="65">
        <v>-4905616.1559999995</v>
      </c>
      <c r="H6" s="44"/>
      <c r="I6" s="28"/>
      <c r="J6" s="74"/>
    </row>
    <row r="7" spans="1:134">
      <c r="A7" s="42"/>
      <c r="B7" s="66"/>
      <c r="C7" s="66"/>
      <c r="D7" s="66"/>
      <c r="E7" s="66"/>
      <c r="F7" s="67"/>
      <c r="G7" s="67"/>
      <c r="H7" s="44"/>
      <c r="I7" s="28"/>
      <c r="J7" s="74"/>
    </row>
    <row r="8" spans="1:134">
      <c r="A8" s="45" t="s">
        <v>21</v>
      </c>
      <c r="B8" s="64">
        <v>2035552.58</v>
      </c>
      <c r="C8" s="65">
        <v>743676.71000000043</v>
      </c>
      <c r="D8" s="64">
        <v>-4535374.0599999996</v>
      </c>
      <c r="E8" s="64">
        <v>-63881</v>
      </c>
      <c r="F8" s="65">
        <v>-11334378.825999998</v>
      </c>
      <c r="G8" s="64">
        <v>-6725641.9259999972</v>
      </c>
      <c r="H8" s="43">
        <v>7.8299999999999995E-2</v>
      </c>
      <c r="I8" s="28"/>
      <c r="J8" s="64">
        <v>4507675</v>
      </c>
    </row>
    <row r="9" spans="1:134">
      <c r="A9" s="46" t="s">
        <v>22</v>
      </c>
      <c r="B9" s="64">
        <v>3193737.73</v>
      </c>
      <c r="C9" s="65">
        <v>-860971.41000000015</v>
      </c>
      <c r="D9" s="64">
        <v>-3862872.07</v>
      </c>
      <c r="E9" s="64">
        <f t="shared" ref="E9:E17" si="0">ROUND((((B9+D9)/2)+F8)*(7.65%/12),0)</f>
        <v>-74390</v>
      </c>
      <c r="F9" s="65">
        <f t="shared" ref="F9:F19" si="1">+F8+B9+D9+E9</f>
        <v>-12077903.165999997</v>
      </c>
      <c r="G9" s="64">
        <f>SUM(C8:C9)+$C$6+F9</f>
        <v>-8330137.6759999972</v>
      </c>
      <c r="H9" s="43">
        <v>7.8299999999999995E-2</v>
      </c>
      <c r="I9" s="28"/>
      <c r="J9" s="64">
        <f t="shared" ref="J9:J14" si="2">+J8+E9</f>
        <v>4433285</v>
      </c>
    </row>
    <row r="10" spans="1:134">
      <c r="A10" s="47" t="s">
        <v>23</v>
      </c>
      <c r="B10" s="64">
        <v>2149971.48</v>
      </c>
      <c r="C10" s="65">
        <v>505170.29</v>
      </c>
      <c r="D10" s="64">
        <v>-3413817.31</v>
      </c>
      <c r="E10" s="64">
        <f t="shared" si="0"/>
        <v>-81025</v>
      </c>
      <c r="F10" s="65">
        <f t="shared" si="1"/>
        <v>-13422773.995999997</v>
      </c>
      <c r="G10" s="64">
        <f>SUM(C8:C10)+$C$6+F10</f>
        <v>-9169838.2159999982</v>
      </c>
      <c r="H10" s="43">
        <v>7.8299999999999995E-2</v>
      </c>
      <c r="I10" s="48"/>
      <c r="J10" s="64">
        <f t="shared" si="2"/>
        <v>4352260</v>
      </c>
    </row>
    <row r="11" spans="1:134">
      <c r="A11" s="45" t="s">
        <v>24</v>
      </c>
      <c r="B11" s="64">
        <v>3154287.41</v>
      </c>
      <c r="C11" s="65">
        <v>-48581.33</v>
      </c>
      <c r="D11" s="64">
        <v>-3256842.93</v>
      </c>
      <c r="E11" s="64">
        <f t="shared" si="0"/>
        <v>-85897</v>
      </c>
      <c r="F11" s="65">
        <f t="shared" si="1"/>
        <v>-13611226.515999997</v>
      </c>
      <c r="G11" s="64">
        <f>SUM(C8:C11)+$C$6+F11</f>
        <v>-9406872.0659999959</v>
      </c>
      <c r="H11" s="43">
        <v>7.8299999999999995E-2</v>
      </c>
      <c r="I11" s="28"/>
      <c r="J11" s="64">
        <f t="shared" si="2"/>
        <v>4266363</v>
      </c>
    </row>
    <row r="12" spans="1:134">
      <c r="A12" s="45" t="s">
        <v>25</v>
      </c>
      <c r="B12" s="64">
        <v>3051084.96</v>
      </c>
      <c r="C12" s="65">
        <v>-32772.42</v>
      </c>
      <c r="D12" s="64">
        <v>-3579247.55</v>
      </c>
      <c r="E12" s="64">
        <f t="shared" si="0"/>
        <v>-88455</v>
      </c>
      <c r="F12" s="65">
        <f t="shared" si="1"/>
        <v>-14227844.105999999</v>
      </c>
      <c r="G12" s="64">
        <f>SUM(C8:C12)+$C$6+F12</f>
        <v>-10056262.075999998</v>
      </c>
      <c r="H12" s="43">
        <v>7.8299999999999995E-2</v>
      </c>
      <c r="I12" s="28"/>
      <c r="J12" s="64">
        <f t="shared" si="2"/>
        <v>4177908</v>
      </c>
    </row>
    <row r="13" spans="1:134">
      <c r="A13" s="45" t="s">
        <v>26</v>
      </c>
      <c r="B13" s="64">
        <v>3856812.28</v>
      </c>
      <c r="C13" s="65">
        <v>91098.19</v>
      </c>
      <c r="D13" s="64">
        <v>-4145533.85</v>
      </c>
      <c r="E13" s="64">
        <f t="shared" si="0"/>
        <v>-91623</v>
      </c>
      <c r="F13" s="65">
        <f t="shared" si="1"/>
        <v>-14608188.675999999</v>
      </c>
      <c r="G13" s="64">
        <f>SUM(C8:C13)+$C$6+F13</f>
        <v>-10345508.455999998</v>
      </c>
      <c r="H13" s="43">
        <v>7.8299999999999995E-2</v>
      </c>
      <c r="I13" s="28"/>
      <c r="J13" s="64">
        <f t="shared" si="2"/>
        <v>4086285</v>
      </c>
    </row>
    <row r="14" spans="1:134">
      <c r="A14" s="45" t="s">
        <v>27</v>
      </c>
      <c r="B14" s="64">
        <v>2807664.03</v>
      </c>
      <c r="C14" s="65">
        <v>528549.84</v>
      </c>
      <c r="D14" s="64">
        <v>-4867370.49</v>
      </c>
      <c r="E14" s="64">
        <f t="shared" si="0"/>
        <v>-99693</v>
      </c>
      <c r="F14" s="65">
        <f t="shared" si="1"/>
        <v>-16767588.136</v>
      </c>
      <c r="G14" s="64">
        <f>SUM(C8:C14)+$C$6+F14</f>
        <v>-11976358.075999999</v>
      </c>
      <c r="H14" s="43">
        <v>7.8299999999999995E-2</v>
      </c>
      <c r="I14" s="28"/>
      <c r="J14" s="64">
        <f t="shared" si="2"/>
        <v>3986592</v>
      </c>
    </row>
    <row r="15" spans="1:134">
      <c r="A15" s="45" t="s">
        <v>28</v>
      </c>
      <c r="B15" s="64">
        <v>3068278.63</v>
      </c>
      <c r="C15" s="65">
        <v>3016070.23</v>
      </c>
      <c r="D15" s="64">
        <v>-5186367.51</v>
      </c>
      <c r="E15" s="64">
        <f t="shared" si="0"/>
        <v>-113645</v>
      </c>
      <c r="F15" s="65">
        <f t="shared" si="1"/>
        <v>-18999322.016000003</v>
      </c>
      <c r="G15" s="64">
        <f>SUM(C8:C15)+$C$6+F15</f>
        <v>-11192021.726000004</v>
      </c>
      <c r="H15" s="43">
        <v>7.8299999999999995E-2</v>
      </c>
      <c r="I15" s="28"/>
      <c r="J15" s="64">
        <f>+J14+E15</f>
        <v>3872947</v>
      </c>
    </row>
    <row r="16" spans="1:134">
      <c r="A16" s="45" t="s">
        <v>29</v>
      </c>
      <c r="B16" s="64">
        <v>4293491.51</v>
      </c>
      <c r="C16" s="65">
        <v>182812.08</v>
      </c>
      <c r="D16" s="64">
        <v>-4702265.68</v>
      </c>
      <c r="E16" s="64">
        <f t="shared" si="0"/>
        <v>-122424</v>
      </c>
      <c r="F16" s="65">
        <f t="shared" si="1"/>
        <v>-19530520.186000004</v>
      </c>
      <c r="G16" s="64">
        <f>SUM(C8:C16)+$C$6+F16</f>
        <v>-11540407.816000003</v>
      </c>
      <c r="H16" s="43">
        <v>7.8299999999999995E-2</v>
      </c>
      <c r="I16" s="28"/>
      <c r="J16" s="64">
        <f>+J15+E16</f>
        <v>3750523</v>
      </c>
    </row>
    <row r="17" spans="1:10">
      <c r="A17" s="45" t="s">
        <v>30</v>
      </c>
      <c r="B17" s="64">
        <v>4884267.2699999996</v>
      </c>
      <c r="C17" s="65">
        <v>642118.97</v>
      </c>
      <c r="D17" s="64">
        <v>-3545468.62</v>
      </c>
      <c r="E17" s="64">
        <f t="shared" si="0"/>
        <v>-120240</v>
      </c>
      <c r="F17" s="65">
        <f t="shared" si="1"/>
        <v>-18311961.536000006</v>
      </c>
      <c r="G17" s="64">
        <f>SUM(C8:C17)+$C$6+F17</f>
        <v>-9679730.196000006</v>
      </c>
      <c r="H17" s="43">
        <v>7.8299999999999995E-2</v>
      </c>
      <c r="I17" s="28"/>
      <c r="J17" s="64">
        <f>+J16+E17</f>
        <v>3630283</v>
      </c>
    </row>
    <row r="18" spans="1:10">
      <c r="A18" s="45" t="s">
        <v>31</v>
      </c>
      <c r="B18" s="64">
        <v>8022526.7000000002</v>
      </c>
      <c r="C18" s="65">
        <v>-3250194.49</v>
      </c>
      <c r="D18" s="64">
        <v>-3292615.61</v>
      </c>
      <c r="E18" s="64">
        <v>-126929</v>
      </c>
      <c r="F18" s="65">
        <f t="shared" si="1"/>
        <v>-13708979.446000006</v>
      </c>
      <c r="G18" s="64">
        <f>SUM(C8:C18)+$C$6+F18</f>
        <v>-8326942.5960000064</v>
      </c>
      <c r="H18" s="43">
        <v>7.8299999999999995E-2</v>
      </c>
      <c r="I18" s="28"/>
      <c r="J18" s="64">
        <f>+J17+E18</f>
        <v>3503354</v>
      </c>
    </row>
    <row r="19" spans="1:10">
      <c r="A19" s="45" t="s">
        <v>32</v>
      </c>
      <c r="B19" s="64">
        <v>4369420.42</v>
      </c>
      <c r="C19" s="65">
        <v>-735403.22</v>
      </c>
      <c r="D19" s="64">
        <v>-3513303.55</v>
      </c>
      <c r="E19" s="64">
        <f>ROUND((((B19+D19)/2)+F18)*(H19/12),0)</f>
        <v>-86658</v>
      </c>
      <c r="F19" s="65">
        <f t="shared" si="1"/>
        <v>-12939520.576000005</v>
      </c>
      <c r="G19" s="64">
        <f>SUM(C8:C19)+$C$6+F19</f>
        <v>-8292886.9460000051</v>
      </c>
      <c r="H19" s="43">
        <v>7.8299999999999995E-2</v>
      </c>
      <c r="I19" s="28"/>
      <c r="J19" s="64">
        <f>+J18+E19</f>
        <v>3416696</v>
      </c>
    </row>
    <row r="20" spans="1:10">
      <c r="A20" s="42" t="s">
        <v>34</v>
      </c>
      <c r="B20" s="68">
        <f>SUM(B8:B19)</f>
        <v>44887095</v>
      </c>
      <c r="C20" s="68">
        <f>SUM(C8:C19)</f>
        <v>781573.44000000018</v>
      </c>
      <c r="D20" s="68">
        <f>SUM(D8:D19)</f>
        <v>-47901079.229999989</v>
      </c>
      <c r="E20" s="68">
        <f>SUM(E8:E19)</f>
        <v>-1154860</v>
      </c>
      <c r="F20" s="67"/>
      <c r="G20" s="67"/>
      <c r="H20" s="44"/>
      <c r="I20" s="28"/>
      <c r="J20" s="74"/>
    </row>
    <row r="21" spans="1:10">
      <c r="A21" s="42"/>
      <c r="B21" s="66"/>
      <c r="C21" s="66"/>
      <c r="D21" s="66"/>
      <c r="E21" s="66"/>
      <c r="F21" s="67"/>
      <c r="G21" s="67"/>
      <c r="H21" s="44"/>
      <c r="I21" s="28"/>
      <c r="J21" s="74"/>
    </row>
    <row r="22" spans="1:10">
      <c r="A22" s="45" t="s">
        <v>21</v>
      </c>
      <c r="B22" s="64">
        <v>2239835.92</v>
      </c>
      <c r="C22" s="65">
        <v>468371.4</v>
      </c>
      <c r="D22" s="64">
        <v>-3769989.72</v>
      </c>
      <c r="E22" s="64">
        <f>ROUND((((B22+D22)/2)+F19)*(7.83%/12),0)</f>
        <v>-89422</v>
      </c>
      <c r="F22" s="65">
        <f>+F19+B22+D22+E22</f>
        <v>-14559096.376000006</v>
      </c>
      <c r="G22" s="64">
        <f>SUM(C22)+$C$6+$C$20+F22</f>
        <v>-9444091.3460000046</v>
      </c>
      <c r="H22" s="43">
        <v>7.7700000000000005E-2</v>
      </c>
      <c r="I22" s="28"/>
      <c r="J22" s="64">
        <f>+J19+E22</f>
        <v>3327274</v>
      </c>
    </row>
    <row r="23" spans="1:10">
      <c r="A23" s="46" t="s">
        <v>22</v>
      </c>
      <c r="B23" s="64">
        <v>1840981.91</v>
      </c>
      <c r="C23" s="65">
        <v>556090.38</v>
      </c>
      <c r="D23" s="64">
        <v>-3595521.42</v>
      </c>
      <c r="E23" s="64">
        <f t="shared" ref="E23:E29" si="3">ROUND((((B23+D23)/2)+F22)*(7.83%/12),0)</f>
        <v>-100722</v>
      </c>
      <c r="F23" s="65">
        <f t="shared" ref="F23:F33" si="4">+F22+B23+D23+E23</f>
        <v>-16414357.886000006</v>
      </c>
      <c r="G23" s="64">
        <f>SUM(C22:C23)+$C$6+$C$20+F23</f>
        <v>-10743262.476000005</v>
      </c>
      <c r="H23" s="43">
        <v>7.7700000000000005E-2</v>
      </c>
      <c r="I23" s="28"/>
      <c r="J23" s="64">
        <f t="shared" ref="J23:J28" si="5">+J22+E23</f>
        <v>3226552</v>
      </c>
    </row>
    <row r="24" spans="1:10">
      <c r="A24" s="47" t="s">
        <v>23</v>
      </c>
      <c r="B24" s="64">
        <v>4105879.7</v>
      </c>
      <c r="C24" s="65">
        <v>-378161.72</v>
      </c>
      <c r="D24" s="64">
        <v>-3171663.13</v>
      </c>
      <c r="E24" s="64">
        <f t="shared" si="3"/>
        <v>-104056</v>
      </c>
      <c r="F24" s="65">
        <f t="shared" si="4"/>
        <v>-15584197.316000003</v>
      </c>
      <c r="G24" s="64">
        <f>SUM(C22:C24)+$C$6+$C$20+F24</f>
        <v>-10291263.626000002</v>
      </c>
      <c r="H24" s="43">
        <v>7.7700000000000005E-2</v>
      </c>
      <c r="I24" s="48"/>
      <c r="J24" s="64">
        <f t="shared" si="5"/>
        <v>3122496</v>
      </c>
    </row>
    <row r="25" spans="1:10">
      <c r="A25" s="45" t="s">
        <v>24</v>
      </c>
      <c r="B25" s="64">
        <v>3968473.7</v>
      </c>
      <c r="C25" s="65">
        <v>55405.23</v>
      </c>
      <c r="D25" s="64">
        <v>-2745404.79</v>
      </c>
      <c r="E25" s="64">
        <f t="shared" si="3"/>
        <v>-97697</v>
      </c>
      <c r="F25" s="65">
        <f t="shared" si="4"/>
        <v>-14458825.406000003</v>
      </c>
      <c r="G25" s="64">
        <f>SUM(C22:C25)+$C$6+$C$20+F25</f>
        <v>-9110486.4860000014</v>
      </c>
      <c r="H25" s="43">
        <v>7.7700000000000005E-2</v>
      </c>
      <c r="I25" s="28"/>
      <c r="J25" s="64">
        <f t="shared" si="5"/>
        <v>3024799</v>
      </c>
    </row>
    <row r="26" spans="1:10">
      <c r="A26" s="45" t="s">
        <v>25</v>
      </c>
      <c r="B26" s="64">
        <v>4432566.2699999996</v>
      </c>
      <c r="C26" s="65">
        <v>-1259705.19</v>
      </c>
      <c r="D26" s="64">
        <v>-2876432.82</v>
      </c>
      <c r="E26" s="64">
        <f t="shared" si="3"/>
        <v>-89267</v>
      </c>
      <c r="F26" s="65">
        <f t="shared" si="4"/>
        <v>-12991958.956000004</v>
      </c>
      <c r="G26" s="64">
        <f>SUM(C22:C26)+$C$6+$C$20+F26</f>
        <v>-8903325.2260000035</v>
      </c>
      <c r="H26" s="43">
        <v>7.7700000000000005E-2</v>
      </c>
      <c r="I26" s="28"/>
      <c r="J26" s="64">
        <f t="shared" si="5"/>
        <v>2935532</v>
      </c>
    </row>
    <row r="27" spans="1:10">
      <c r="A27" s="46" t="s">
        <v>26</v>
      </c>
      <c r="B27" s="64">
        <v>3151913.14</v>
      </c>
      <c r="C27" s="65">
        <v>209875.65</v>
      </c>
      <c r="D27" s="64">
        <v>-3561547.17</v>
      </c>
      <c r="E27" s="64">
        <f t="shared" si="3"/>
        <v>-86109</v>
      </c>
      <c r="F27" s="65">
        <f t="shared" si="4"/>
        <v>-13487701.986000003</v>
      </c>
      <c r="G27" s="64">
        <f>SUM(C22:C27)+$C$6+$C$20+F27</f>
        <v>-9189192.6060000025</v>
      </c>
      <c r="H27" s="43">
        <v>7.7700000000000005E-2</v>
      </c>
      <c r="I27" s="28"/>
      <c r="J27" s="64">
        <f t="shared" si="5"/>
        <v>2849423</v>
      </c>
    </row>
    <row r="28" spans="1:10">
      <c r="A28" s="45" t="s">
        <v>27</v>
      </c>
      <c r="B28" s="64">
        <v>4851756.74</v>
      </c>
      <c r="C28" s="64">
        <v>-244503.08</v>
      </c>
      <c r="D28" s="64">
        <v>-4488209.18</v>
      </c>
      <c r="E28" s="64">
        <f t="shared" si="3"/>
        <v>-86821</v>
      </c>
      <c r="F28" s="64">
        <f t="shared" si="4"/>
        <v>-13210975.426000003</v>
      </c>
      <c r="G28" s="64">
        <f>SUM(C22:C28)+$C$6+$C$20+F28</f>
        <v>-9156969.126000002</v>
      </c>
      <c r="H28" s="43">
        <v>7.7700000000000005E-2</v>
      </c>
      <c r="I28" s="49"/>
      <c r="J28" s="64">
        <f t="shared" si="5"/>
        <v>2762602</v>
      </c>
    </row>
    <row r="29" spans="1:10">
      <c r="A29" s="45" t="s">
        <v>28</v>
      </c>
      <c r="B29" s="64">
        <v>3159027.16</v>
      </c>
      <c r="C29" s="64">
        <v>3252542.93</v>
      </c>
      <c r="D29" s="64">
        <v>-4740990.0199999996</v>
      </c>
      <c r="E29" s="64">
        <f t="shared" si="3"/>
        <v>-91363</v>
      </c>
      <c r="F29" s="64">
        <f t="shared" si="4"/>
        <v>-14884301.286000002</v>
      </c>
      <c r="G29" s="64">
        <f>SUM(C22:C29)+$C$6+$C$20+F29</f>
        <v>-7577752.0560000008</v>
      </c>
      <c r="H29" s="43">
        <v>7.7700000000000005E-2</v>
      </c>
      <c r="I29" s="49"/>
      <c r="J29" s="64">
        <f>+J28+E29</f>
        <v>2671239</v>
      </c>
    </row>
    <row r="30" spans="1:10">
      <c r="A30" s="45" t="s">
        <v>29</v>
      </c>
      <c r="B30" s="64">
        <v>2652617.64</v>
      </c>
      <c r="C30" s="64">
        <v>64462.7</v>
      </c>
      <c r="D30" s="64">
        <v>-4427712.4000000004</v>
      </c>
      <c r="E30" s="64">
        <f>ROUND((((B30+D30)/2)+F29)*(7.83%/12),0)</f>
        <v>-102911</v>
      </c>
      <c r="F30" s="64">
        <f t="shared" si="4"/>
        <v>-16762307.046000002</v>
      </c>
      <c r="G30" s="64">
        <f>SUM(C22:C30)+$C$6+$C$20+F30</f>
        <v>-9391295.1160000004</v>
      </c>
      <c r="H30" s="43">
        <v>7.7700000000000005E-2</v>
      </c>
      <c r="I30" s="49"/>
      <c r="J30" s="64">
        <f>+J29+E30</f>
        <v>2568328</v>
      </c>
    </row>
    <row r="31" spans="1:10">
      <c r="A31" s="45" t="s">
        <v>30</v>
      </c>
      <c r="B31" s="64">
        <v>5504239.0499999998</v>
      </c>
      <c r="C31" s="64">
        <v>-904371.67</v>
      </c>
      <c r="D31" s="64">
        <v>-4114849.64</v>
      </c>
      <c r="E31" s="64">
        <f>ROUND((((B31+D31)/2)+F30)*(7.83%/12),0)</f>
        <v>-104841</v>
      </c>
      <c r="F31" s="64">
        <f t="shared" si="4"/>
        <v>-15477758.636000004</v>
      </c>
      <c r="G31" s="64">
        <f>SUM(C22:C31)+$C$6+$C$20+F31</f>
        <v>-9011118.376000002</v>
      </c>
      <c r="H31" s="43">
        <v>7.7700000000000005E-2</v>
      </c>
      <c r="I31" s="49"/>
      <c r="J31" s="64">
        <f>+J30+E31</f>
        <v>2463487</v>
      </c>
    </row>
    <row r="32" spans="1:10">
      <c r="A32" s="45" t="s">
        <v>31</v>
      </c>
      <c r="B32" s="64">
        <v>3263631.97</v>
      </c>
      <c r="C32" s="64">
        <v>1139336.82</v>
      </c>
      <c r="D32" s="64">
        <v>-3868999.04</v>
      </c>
      <c r="E32" s="64">
        <v>-94611</v>
      </c>
      <c r="F32" s="64">
        <f t="shared" si="4"/>
        <v>-16177736.706000004</v>
      </c>
      <c r="G32" s="64">
        <f>SUM(C22:C32)+$C$6+$C$20+F32</f>
        <v>-8571759.626000002</v>
      </c>
      <c r="H32" s="43">
        <v>7.7700000000000005E-2</v>
      </c>
      <c r="I32" s="49"/>
      <c r="J32" s="64">
        <f>+J31+E32</f>
        <v>2368876</v>
      </c>
    </row>
    <row r="33" spans="1:10">
      <c r="A33" s="45" t="s">
        <v>32</v>
      </c>
      <c r="B33" s="64">
        <v>11905939.859999999</v>
      </c>
      <c r="C33" s="64">
        <v>-4945115.43</v>
      </c>
      <c r="D33" s="64">
        <v>-4580101.47</v>
      </c>
      <c r="E33" s="64">
        <f>ROUND((((B33+D33)/2)+F32)*(7.77%/12),0)</f>
        <v>-81033</v>
      </c>
      <c r="F33" s="64">
        <f t="shared" si="4"/>
        <v>-8932931.3160000034</v>
      </c>
      <c r="G33" s="64">
        <f>SUM(C22:C33)+$C$6+$C$20+F33</f>
        <v>-6272069.6660000021</v>
      </c>
      <c r="H33" s="43">
        <v>7.7700000000000005E-2</v>
      </c>
      <c r="I33" s="49"/>
      <c r="J33" s="64">
        <f>+J32+E33</f>
        <v>2287843</v>
      </c>
    </row>
    <row r="34" spans="1:10">
      <c r="A34" s="42" t="s">
        <v>35</v>
      </c>
      <c r="B34" s="75">
        <f>SUM(B22:B33)</f>
        <v>51076863.060000002</v>
      </c>
      <c r="C34" s="75">
        <f>SUM(C22:C33)</f>
        <v>-1985771.9799999986</v>
      </c>
      <c r="D34" s="75">
        <f>SUM(D22:D33)</f>
        <v>-45941420.799999997</v>
      </c>
      <c r="E34" s="75">
        <f>SUM(E22:E33)</f>
        <v>-1128853</v>
      </c>
      <c r="F34" s="76"/>
      <c r="G34" s="76"/>
      <c r="H34" s="77"/>
      <c r="I34" s="49"/>
      <c r="J34" s="74"/>
    </row>
    <row r="35" spans="1:10">
      <c r="A35" s="42"/>
      <c r="B35" s="78"/>
      <c r="C35" s="78"/>
      <c r="D35" s="78"/>
      <c r="E35" s="78"/>
      <c r="F35" s="76"/>
      <c r="G35" s="76"/>
      <c r="H35" s="77"/>
      <c r="I35" s="49"/>
      <c r="J35" s="74"/>
    </row>
    <row r="36" spans="1:10">
      <c r="A36" s="45" t="s">
        <v>21</v>
      </c>
      <c r="B36" s="64">
        <v>4196557.4000000004</v>
      </c>
      <c r="C36" s="64">
        <v>1838939.81</v>
      </c>
      <c r="D36" s="64">
        <v>-4530672.1500000004</v>
      </c>
      <c r="E36" s="64">
        <f>ROUND((((B36+D36)/2)+F33)*(7.77%/12),0)</f>
        <v>-58922</v>
      </c>
      <c r="F36" s="64">
        <f>+F33+B36+D36+E36</f>
        <v>-9325968.0660000034</v>
      </c>
      <c r="G36" s="64">
        <f>SUM(C36)+$C$6+$C$20+$C$34+F36</f>
        <v>-4826166.6060000015</v>
      </c>
      <c r="H36" s="43">
        <v>7.7700000000000005E-2</v>
      </c>
      <c r="I36" s="49"/>
      <c r="J36" s="64">
        <f>+J33+E36</f>
        <v>2228921</v>
      </c>
    </row>
    <row r="37" spans="1:10">
      <c r="A37" s="46" t="s">
        <v>22</v>
      </c>
      <c r="B37" s="64">
        <v>7301899.2400000002</v>
      </c>
      <c r="C37" s="64">
        <v>-719294.72</v>
      </c>
      <c r="D37" s="64">
        <v>-3936377.67</v>
      </c>
      <c r="E37" s="64">
        <f t="shared" ref="E37:E47" si="6">ROUND((((B37+D37)/2)+F36)*(7.77%/12),0)</f>
        <v>-49490</v>
      </c>
      <c r="F37" s="64">
        <f t="shared" ref="F37:F47" si="7">+F36+B37+D37+E37</f>
        <v>-6009936.4960000031</v>
      </c>
      <c r="G37" s="64">
        <f>SUM(C36:C37)+$C$6+$C$20+$C$34+F37</f>
        <v>-2229429.756000001</v>
      </c>
      <c r="H37" s="43">
        <v>7.7700000000000005E-2</v>
      </c>
      <c r="I37" s="49"/>
      <c r="J37" s="64">
        <f t="shared" ref="J37:J42" si="8">+J36+E37</f>
        <v>2179431</v>
      </c>
    </row>
    <row r="38" spans="1:10">
      <c r="A38" s="47" t="s">
        <v>23</v>
      </c>
      <c r="B38" s="64">
        <v>9513000.9499999993</v>
      </c>
      <c r="C38" s="64">
        <v>107508.32</v>
      </c>
      <c r="D38" s="64">
        <v>-4826683.72</v>
      </c>
      <c r="E38" s="64">
        <f t="shared" si="6"/>
        <v>-23742</v>
      </c>
      <c r="F38" s="64">
        <f t="shared" si="7"/>
        <v>-1347361.2660000036</v>
      </c>
      <c r="G38" s="64">
        <f>SUM(C36:C38)+$C$6+$C$20+$C$34+F38</f>
        <v>2540653.7939999979</v>
      </c>
      <c r="H38" s="43">
        <v>7.7700000000000005E-2</v>
      </c>
      <c r="I38" s="48"/>
      <c r="J38" s="64">
        <f t="shared" si="8"/>
        <v>2155689</v>
      </c>
    </row>
    <row r="39" spans="1:10">
      <c r="A39" s="45" t="s">
        <v>24</v>
      </c>
      <c r="B39" s="64">
        <v>8332524.4299999997</v>
      </c>
      <c r="C39" s="64">
        <v>-364021.59</v>
      </c>
      <c r="D39" s="64">
        <v>-4024107.75</v>
      </c>
      <c r="E39" s="64">
        <f t="shared" si="6"/>
        <v>5224</v>
      </c>
      <c r="F39" s="64">
        <f t="shared" si="7"/>
        <v>2966279.4139999961</v>
      </c>
      <c r="G39" s="64">
        <f>SUM(C36:C39)+$C$6+$C$20+$C$34+F39</f>
        <v>6490272.8839999977</v>
      </c>
      <c r="H39" s="43">
        <v>7.7700000000000005E-2</v>
      </c>
      <c r="I39" s="49"/>
      <c r="J39" s="64">
        <f t="shared" si="8"/>
        <v>2160913</v>
      </c>
    </row>
    <row r="40" spans="1:10">
      <c r="A40" s="46" t="s">
        <v>25</v>
      </c>
      <c r="B40" s="64">
        <v>5867664.04</v>
      </c>
      <c r="C40" s="64">
        <v>86444.05</v>
      </c>
      <c r="D40" s="64">
        <v>-4206797.6900000004</v>
      </c>
      <c r="E40" s="64">
        <f t="shared" si="6"/>
        <v>24584</v>
      </c>
      <c r="F40" s="64">
        <f t="shared" si="7"/>
        <v>4651729.7639999958</v>
      </c>
      <c r="G40" s="64">
        <f>SUM(C36:C40)+$C$6+$C$20+$C$34+F40</f>
        <v>8262167.2839999981</v>
      </c>
      <c r="H40" s="43">
        <v>7.7700000000000005E-2</v>
      </c>
      <c r="I40" s="49"/>
      <c r="J40" s="64">
        <f t="shared" si="8"/>
        <v>2185497</v>
      </c>
    </row>
    <row r="41" spans="1:10">
      <c r="A41" s="46" t="s">
        <v>26</v>
      </c>
      <c r="B41" s="64">
        <v>9395350.6799999997</v>
      </c>
      <c r="C41" s="64">
        <v>-224949.94</v>
      </c>
      <c r="D41" s="64">
        <v>-5230146.9000000004</v>
      </c>
      <c r="E41" s="64">
        <f t="shared" si="6"/>
        <v>43605</v>
      </c>
      <c r="F41" s="64">
        <f t="shared" si="7"/>
        <v>8860538.5439999942</v>
      </c>
      <c r="G41" s="69">
        <f>SUM(C36:C41)+$C$6+$C$20+$C$34+F41</f>
        <v>12246026.123999996</v>
      </c>
      <c r="H41" s="43">
        <v>7.7700000000000005E-2</v>
      </c>
      <c r="I41" s="49"/>
      <c r="J41" s="64">
        <f t="shared" si="8"/>
        <v>2229102</v>
      </c>
    </row>
    <row r="42" spans="1:10">
      <c r="A42" s="45" t="s">
        <v>27</v>
      </c>
      <c r="B42" s="70">
        <v>5468499.418333333</v>
      </c>
      <c r="C42" s="65"/>
      <c r="D42" s="70">
        <v>-6616540.6620480595</v>
      </c>
      <c r="E42" s="64">
        <f t="shared" si="6"/>
        <v>53655</v>
      </c>
      <c r="F42" s="64">
        <f t="shared" si="7"/>
        <v>7766152.3002852676</v>
      </c>
      <c r="G42" s="64">
        <f>SUM(C36:C42)+$C$6+$C$20+$C$34+F42</f>
        <v>11151639.880285271</v>
      </c>
      <c r="H42" s="43">
        <v>7.7700000000000005E-2</v>
      </c>
      <c r="I42" s="49"/>
      <c r="J42" s="64">
        <f t="shared" si="8"/>
        <v>2282757</v>
      </c>
    </row>
    <row r="43" spans="1:10">
      <c r="A43" s="45" t="s">
        <v>28</v>
      </c>
      <c r="B43" s="70">
        <v>4618348.668333333</v>
      </c>
      <c r="C43" s="65"/>
      <c r="D43" s="70">
        <v>-6475234.3133016704</v>
      </c>
      <c r="E43" s="64">
        <f t="shared" si="6"/>
        <v>44274</v>
      </c>
      <c r="F43" s="64">
        <f t="shared" si="7"/>
        <v>5953540.6553169312</v>
      </c>
      <c r="G43" s="64">
        <f>SUM(C36:C43)+$C$6+$C$20+$C$34+F43</f>
        <v>9339028.2353169322</v>
      </c>
      <c r="H43" s="43">
        <v>7.7700000000000005E-2</v>
      </c>
      <c r="I43" s="49"/>
      <c r="J43" s="64">
        <f>+J42+E43</f>
        <v>2327031</v>
      </c>
    </row>
    <row r="44" spans="1:10">
      <c r="A44" s="45" t="s">
        <v>29</v>
      </c>
      <c r="B44" s="70">
        <v>3410317.6683333335</v>
      </c>
      <c r="C44" s="65"/>
      <c r="D44" s="70">
        <v>-5393418.9172699796</v>
      </c>
      <c r="E44" s="64">
        <f t="shared" si="6"/>
        <v>32129</v>
      </c>
      <c r="F44" s="64">
        <f t="shared" si="7"/>
        <v>4002568.4063802855</v>
      </c>
      <c r="G44" s="64">
        <f>SUM(C36:C44)+$C$6+$C$20+$C$34+F44</f>
        <v>7388055.9863802874</v>
      </c>
      <c r="H44" s="43">
        <v>7.7700000000000005E-2</v>
      </c>
      <c r="I44" s="49"/>
      <c r="J44" s="64">
        <f>+J43+E44</f>
        <v>2359160</v>
      </c>
    </row>
    <row r="45" spans="1:10">
      <c r="A45" s="45" t="s">
        <v>30</v>
      </c>
      <c r="B45" s="70">
        <v>4892350.0083333328</v>
      </c>
      <c r="C45" s="65"/>
      <c r="D45" s="70">
        <v>-4486492.7288801512</v>
      </c>
      <c r="E45" s="64">
        <f t="shared" si="6"/>
        <v>27231</v>
      </c>
      <c r="F45" s="64">
        <f t="shared" si="7"/>
        <v>4435656.6858334662</v>
      </c>
      <c r="G45" s="64">
        <f>SUM(C36:C45)+$C$6+$C$20+$C$34+F45</f>
        <v>7821144.2658334682</v>
      </c>
      <c r="H45" s="43">
        <v>7.7700000000000005E-2</v>
      </c>
      <c r="I45" s="49"/>
      <c r="J45" s="64">
        <f>+J44+E45</f>
        <v>2386391</v>
      </c>
    </row>
    <row r="46" spans="1:10">
      <c r="A46" s="45" t="s">
        <v>31</v>
      </c>
      <c r="B46" s="70">
        <v>5488789.668333333</v>
      </c>
      <c r="C46" s="65"/>
      <c r="D46" s="70">
        <v>-4512617.4736102587</v>
      </c>
      <c r="E46" s="64">
        <f t="shared" si="6"/>
        <v>31881</v>
      </c>
      <c r="F46" s="64">
        <f t="shared" si="7"/>
        <v>5443709.8805565396</v>
      </c>
      <c r="G46" s="64">
        <f>SUM(C36:C46)+$C$6+$C$20+$C$34+F46</f>
        <v>8829197.4605565406</v>
      </c>
      <c r="H46" s="43">
        <v>7.7700000000000005E-2</v>
      </c>
      <c r="I46" s="49"/>
      <c r="J46" s="64">
        <f>+J45+E46</f>
        <v>2418272</v>
      </c>
    </row>
    <row r="47" spans="1:10">
      <c r="A47" s="45" t="s">
        <v>32</v>
      </c>
      <c r="B47" s="70">
        <v>3395585.6683333335</v>
      </c>
      <c r="C47" s="65"/>
      <c r="D47" s="70">
        <v>-4871262.2337097125</v>
      </c>
      <c r="E47" s="64">
        <f t="shared" si="6"/>
        <v>30471</v>
      </c>
      <c r="F47" s="64">
        <f t="shared" si="7"/>
        <v>3998504.315180161</v>
      </c>
      <c r="G47" s="64">
        <f>SUM(C36:C47)+$C$6+$C$20+$C$34+F47</f>
        <v>7383991.895180163</v>
      </c>
      <c r="H47" s="43">
        <v>7.7700000000000005E-2</v>
      </c>
      <c r="I47" s="49"/>
      <c r="J47" s="64">
        <f>+J46+E47</f>
        <v>2448743</v>
      </c>
    </row>
    <row r="48" spans="1:10">
      <c r="A48" s="42" t="s">
        <v>36</v>
      </c>
      <c r="B48" s="68">
        <f>SUM(B36:B47)</f>
        <v>71880887.840000004</v>
      </c>
      <c r="C48" s="68">
        <f>SUM(C36:C47)</f>
        <v>724625.93000000017</v>
      </c>
      <c r="D48" s="68">
        <f>SUM(D36:D47)</f>
        <v>-59110352.208819844</v>
      </c>
      <c r="E48" s="75">
        <f>SUM(E36:E47)</f>
        <v>160900</v>
      </c>
      <c r="F48" s="76"/>
      <c r="G48" s="76"/>
      <c r="H48" s="77"/>
      <c r="I48" s="49"/>
      <c r="J48" s="74"/>
    </row>
    <row r="49" spans="1:10">
      <c r="B49" s="71"/>
      <c r="C49" s="71"/>
      <c r="D49" s="71"/>
      <c r="E49" s="79"/>
      <c r="F49" s="79"/>
      <c r="G49" s="79"/>
      <c r="H49" s="80"/>
      <c r="I49" s="80"/>
      <c r="J49" s="79"/>
    </row>
    <row r="50" spans="1:10">
      <c r="A50" s="45" t="s">
        <v>21</v>
      </c>
      <c r="B50" s="70">
        <v>4928183.166666666</v>
      </c>
      <c r="C50" s="65"/>
      <c r="D50" s="70">
        <v>-5136296.4918396929</v>
      </c>
      <c r="E50" s="64">
        <f>ROUND((((B50+D50)/2)+F47)*(7.77%/12),0)</f>
        <v>25217</v>
      </c>
      <c r="F50" s="64">
        <f>+F47+B50+D50+E50</f>
        <v>3815607.9900071351</v>
      </c>
      <c r="G50" s="64">
        <f>SUM(C50)+$C$6+$C$20+$C$34+F50+C48</f>
        <v>7201095.5700071361</v>
      </c>
      <c r="H50" s="43">
        <v>7.7700000000000005E-2</v>
      </c>
      <c r="I50" s="49"/>
      <c r="J50" s="64">
        <f>+J47+E50</f>
        <v>2473960</v>
      </c>
    </row>
    <row r="51" spans="1:10">
      <c r="A51" s="46" t="s">
        <v>22</v>
      </c>
      <c r="B51" s="70">
        <v>4563558.166666666</v>
      </c>
      <c r="C51" s="65"/>
      <c r="D51" s="70">
        <v>-4549686.690970609</v>
      </c>
      <c r="E51" s="64">
        <f>ROUND((((B51+D51)/2)+F50)*(7.77%/12),0)</f>
        <v>24751</v>
      </c>
      <c r="F51" s="64">
        <f t="shared" ref="F51:F61" si="9">+F50+B51+D51+E51</f>
        <v>3854230.4657031922</v>
      </c>
      <c r="G51" s="64">
        <f>SUM(C50:C51)+$C$6+$C$20+$C$34+F51+C48</f>
        <v>7239718.0457031932</v>
      </c>
      <c r="H51" s="43">
        <v>7.7700000000000005E-2</v>
      </c>
      <c r="I51" s="49"/>
      <c r="J51" s="64">
        <f t="shared" ref="J51:J56" si="10">+J50+E51</f>
        <v>2498711</v>
      </c>
    </row>
    <row r="52" spans="1:10">
      <c r="A52" s="47" t="s">
        <v>23</v>
      </c>
      <c r="B52" s="70">
        <v>4869533.166666666</v>
      </c>
      <c r="C52" s="65"/>
      <c r="D52" s="70">
        <v>-4705949.5000041397</v>
      </c>
      <c r="E52" s="64">
        <f>ROUND((((B52+D52)/2)+F51)*(7.77%/12),0)</f>
        <v>25486</v>
      </c>
      <c r="F52" s="64">
        <f t="shared" si="9"/>
        <v>4043300.1323657176</v>
      </c>
      <c r="G52" s="64">
        <f>SUM(C50:C52)+$C$6+$C$20+$C$34+F52+C48</f>
        <v>7428787.7123657186</v>
      </c>
      <c r="H52" s="43">
        <v>7.7700000000000005E-2</v>
      </c>
      <c r="I52" s="48"/>
      <c r="J52" s="64">
        <f t="shared" si="10"/>
        <v>2524197</v>
      </c>
    </row>
    <row r="53" spans="1:10">
      <c r="A53" s="45" t="s">
        <v>24</v>
      </c>
      <c r="B53" s="70">
        <v>4801616.166666666</v>
      </c>
      <c r="C53" s="65"/>
      <c r="D53" s="70">
        <v>-4483550.129725568</v>
      </c>
      <c r="E53" s="64">
        <f>ROUND((((B53+D53)/2)+F52)*(7.77%/12),0)</f>
        <v>27210</v>
      </c>
      <c r="F53" s="64">
        <f t="shared" si="9"/>
        <v>4388576.1693068147</v>
      </c>
      <c r="G53" s="64">
        <f>SUM(C50:C53)+$C$6+$C$20+$C$34+F53+C48</f>
        <v>7774063.7493068166</v>
      </c>
      <c r="H53" s="43">
        <v>7.7700000000000005E-2</v>
      </c>
      <c r="I53" s="49"/>
      <c r="J53" s="64">
        <f t="shared" si="10"/>
        <v>2551407</v>
      </c>
    </row>
    <row r="54" spans="1:10">
      <c r="A54" s="46" t="s">
        <v>25</v>
      </c>
      <c r="B54" s="70">
        <v>4688991.166666666</v>
      </c>
      <c r="C54" s="64"/>
      <c r="D54" s="70">
        <v>-4654274.9345654352</v>
      </c>
      <c r="E54" s="64">
        <f t="shared" ref="E54:E61" si="11">ROUND((((B54+D54)/2)+F53)*(7.77%/12),0)</f>
        <v>28528</v>
      </c>
      <c r="F54" s="64">
        <f t="shared" si="9"/>
        <v>4451820.4014080456</v>
      </c>
      <c r="G54" s="64">
        <f>SUM(C50:C54)+$C$6+$C$20+$C$34+F54+C48</f>
        <v>7837307.9814080466</v>
      </c>
      <c r="H54" s="43">
        <v>7.7700000000000005E-2</v>
      </c>
      <c r="I54" s="49"/>
      <c r="J54" s="64">
        <f t="shared" si="10"/>
        <v>2579935</v>
      </c>
    </row>
    <row r="55" spans="1:10">
      <c r="A55" s="46" t="s">
        <v>26</v>
      </c>
      <c r="B55" s="70">
        <v>4733991.166666666</v>
      </c>
      <c r="C55" s="64"/>
      <c r="D55" s="70">
        <v>-5288598.2802050989</v>
      </c>
      <c r="E55" s="64">
        <f t="shared" si="11"/>
        <v>27030</v>
      </c>
      <c r="F55" s="64">
        <f t="shared" si="9"/>
        <v>3924243.2878696118</v>
      </c>
      <c r="G55" s="64">
        <f>SUM(C50:C55)+$C$6+$C$20+$C$34+F55+C48</f>
        <v>7309730.8678696137</v>
      </c>
      <c r="H55" s="43">
        <v>7.7700000000000005E-2</v>
      </c>
      <c r="I55" s="49"/>
      <c r="J55" s="64">
        <f t="shared" si="10"/>
        <v>2606965</v>
      </c>
    </row>
    <row r="56" spans="1:10">
      <c r="A56" s="45" t="s">
        <v>27</v>
      </c>
      <c r="B56" s="70">
        <v>4894616.166666666</v>
      </c>
      <c r="C56" s="65"/>
      <c r="D56" s="70">
        <v>-6484007.1520985048</v>
      </c>
      <c r="E56" s="64">
        <f t="shared" si="11"/>
        <v>20264</v>
      </c>
      <c r="F56" s="64">
        <f t="shared" si="9"/>
        <v>2355116.302437773</v>
      </c>
      <c r="G56" s="64">
        <f>SUM(C50:C56)+$C$6+$C$20+$C$34+F56+C48</f>
        <v>5740603.8824377749</v>
      </c>
      <c r="H56" s="43">
        <v>7.7700000000000005E-2</v>
      </c>
      <c r="I56" s="49"/>
      <c r="J56" s="64">
        <f t="shared" si="10"/>
        <v>2627229</v>
      </c>
    </row>
    <row r="57" spans="1:10">
      <c r="A57" s="45" t="s">
        <v>28</v>
      </c>
      <c r="B57" s="70">
        <v>4671491.166666666</v>
      </c>
      <c r="C57" s="65"/>
      <c r="D57" s="70">
        <v>-6302905.126094793</v>
      </c>
      <c r="E57" s="64">
        <f t="shared" si="11"/>
        <v>9968</v>
      </c>
      <c r="F57" s="64">
        <f t="shared" si="9"/>
        <v>733670.34300964605</v>
      </c>
      <c r="G57" s="64">
        <f>SUM(C50:C57)+$C$6+$C$20+$C$34+F57+C48</f>
        <v>4119157.9230096475</v>
      </c>
      <c r="H57" s="43">
        <v>7.7700000000000005E-2</v>
      </c>
      <c r="I57" s="49"/>
      <c r="J57" s="64">
        <f>+J56+E57</f>
        <v>2637197</v>
      </c>
    </row>
    <row r="58" spans="1:10">
      <c r="A58" s="45" t="s">
        <v>29</v>
      </c>
      <c r="B58" s="70">
        <v>4677651.166666666</v>
      </c>
      <c r="C58" s="65"/>
      <c r="D58" s="70">
        <v>-5218432.085216105</v>
      </c>
      <c r="E58" s="64">
        <f t="shared" si="11"/>
        <v>3000</v>
      </c>
      <c r="F58" s="64">
        <f t="shared" si="9"/>
        <v>195889.42446020711</v>
      </c>
      <c r="G58" s="64">
        <f>SUM(C50:C58)+$C$6+$C$20+$C$34+F58+C48</f>
        <v>3581377.0044602086</v>
      </c>
      <c r="H58" s="43">
        <v>7.7700000000000005E-2</v>
      </c>
      <c r="I58" s="49"/>
      <c r="J58" s="64">
        <f>+J57+E58</f>
        <v>2640197</v>
      </c>
    </row>
    <row r="59" spans="1:10">
      <c r="A59" s="45" t="s">
        <v>30</v>
      </c>
      <c r="B59" s="70">
        <v>6964225.166666666</v>
      </c>
      <c r="C59" s="65"/>
      <c r="D59" s="70">
        <v>-4779353.3329066932</v>
      </c>
      <c r="E59" s="64">
        <f t="shared" si="11"/>
        <v>8342</v>
      </c>
      <c r="F59" s="64">
        <f t="shared" si="9"/>
        <v>2389103.2582201799</v>
      </c>
      <c r="G59" s="64">
        <f>SUM(C50:C59)+$C$6+$C$20+$C$34+F59+C48</f>
        <v>5774590.8382201809</v>
      </c>
      <c r="H59" s="43">
        <v>7.7700000000000005E-2</v>
      </c>
      <c r="I59" s="49"/>
      <c r="J59" s="64">
        <f>+J58+E59</f>
        <v>2648539</v>
      </c>
    </row>
    <row r="60" spans="1:10">
      <c r="A60" s="45" t="s">
        <v>31</v>
      </c>
      <c r="B60" s="70">
        <v>6995747.166666666</v>
      </c>
      <c r="C60" s="65"/>
      <c r="D60" s="70">
        <v>-4801796.2092312146</v>
      </c>
      <c r="E60" s="64">
        <f t="shared" si="11"/>
        <v>22572</v>
      </c>
      <c r="F60" s="64">
        <f t="shared" si="9"/>
        <v>4605626.2156556305</v>
      </c>
      <c r="G60" s="64">
        <f>SUM(C50:C60)+$C$6+$C$20+$C$34+F60+C48</f>
        <v>7991113.7956556324</v>
      </c>
      <c r="H60" s="43">
        <v>7.7700000000000005E-2</v>
      </c>
      <c r="I60" s="49"/>
      <c r="J60" s="64">
        <f>+J59+E60</f>
        <v>2671111</v>
      </c>
    </row>
    <row r="61" spans="1:10">
      <c r="A61" s="45" t="s">
        <v>32</v>
      </c>
      <c r="B61" s="70">
        <v>4574636.166666666</v>
      </c>
      <c r="C61" s="65"/>
      <c r="D61" s="70">
        <v>-5208949.441969716</v>
      </c>
      <c r="E61" s="64">
        <f t="shared" si="11"/>
        <v>27768</v>
      </c>
      <c r="F61" s="64">
        <f t="shared" si="9"/>
        <v>3999080.9403525805</v>
      </c>
      <c r="G61" s="64">
        <f>SUM(C50:C61)+$C$6+$C$20+$C$34+F61+C48</f>
        <v>7384568.5203525815</v>
      </c>
      <c r="H61" s="43">
        <v>7.7700000000000005E-2</v>
      </c>
      <c r="I61" s="49"/>
      <c r="J61" s="64">
        <f>+J60+E61</f>
        <v>2698879</v>
      </c>
    </row>
    <row r="62" spans="1:10">
      <c r="A62" s="42" t="s">
        <v>45</v>
      </c>
      <c r="B62" s="68">
        <f>SUM(B50:B61)</f>
        <v>61364239.999999978</v>
      </c>
      <c r="C62" s="68">
        <f>SUM(C50:C61)</f>
        <v>0</v>
      </c>
      <c r="D62" s="68">
        <f>SUM(D50:D61)</f>
        <v>-61613799.374827571</v>
      </c>
      <c r="E62" s="75">
        <f>SUM(E50:E61)</f>
        <v>250136</v>
      </c>
      <c r="F62" s="76"/>
      <c r="G62" s="76"/>
      <c r="H62" s="77"/>
      <c r="I62" s="49"/>
      <c r="J62" s="74"/>
    </row>
    <row r="63" spans="1:10">
      <c r="B63" s="71"/>
      <c r="C63" s="71"/>
      <c r="D63" s="71"/>
      <c r="E63" s="79"/>
      <c r="F63" s="79"/>
      <c r="G63" s="79"/>
      <c r="H63" s="80"/>
      <c r="I63" s="80"/>
      <c r="J63" s="79"/>
    </row>
    <row r="64" spans="1:10">
      <c r="B64" s="71"/>
      <c r="C64" s="71"/>
      <c r="D64" s="71"/>
      <c r="E64" s="79"/>
      <c r="F64" s="79"/>
      <c r="G64" s="79"/>
      <c r="H64" s="80"/>
      <c r="I64" s="80"/>
      <c r="J64" s="79"/>
    </row>
    <row r="65" spans="1:10">
      <c r="A65" s="50" t="s">
        <v>76</v>
      </c>
      <c r="B65" s="71"/>
      <c r="C65" s="71"/>
      <c r="D65" s="71"/>
      <c r="E65" s="71"/>
      <c r="F65" s="71"/>
      <c r="G65" s="71">
        <f>+G41</f>
        <v>12246026.123999996</v>
      </c>
      <c r="J65" s="71"/>
    </row>
    <row r="66" spans="1:10">
      <c r="A66" s="51"/>
      <c r="B66" s="71"/>
      <c r="C66" s="71"/>
      <c r="D66" s="71"/>
      <c r="E66" s="71"/>
      <c r="F66" s="71"/>
      <c r="G66" s="71"/>
      <c r="J66" s="71"/>
    </row>
    <row r="67" spans="1:10">
      <c r="A67" s="50" t="s">
        <v>41</v>
      </c>
      <c r="B67" s="71"/>
      <c r="C67" s="71"/>
      <c r="D67" s="71"/>
      <c r="E67" s="71"/>
      <c r="F67" s="71"/>
      <c r="G67" s="71">
        <f>+SUM(B42:B47)+SUM(B50:B61)</f>
        <v>88638131.099999979</v>
      </c>
      <c r="J67" s="71"/>
    </row>
    <row r="68" spans="1:10">
      <c r="A68" s="50" t="s">
        <v>42</v>
      </c>
      <c r="B68" s="71"/>
      <c r="C68" s="71"/>
      <c r="D68" s="71"/>
      <c r="E68" s="71"/>
      <c r="F68" s="71"/>
      <c r="G68" s="71">
        <f>+SUM(E42:E47)+SUM(E50:E61)</f>
        <v>469777</v>
      </c>
    </row>
    <row r="69" spans="1:10">
      <c r="A69" s="50" t="s">
        <v>48</v>
      </c>
      <c r="B69" s="71"/>
      <c r="C69" s="71"/>
      <c r="D69" s="71"/>
      <c r="E69" s="71"/>
      <c r="F69" s="71"/>
      <c r="G69" s="72">
        <f>SUM(G67:G68)</f>
        <v>89107908.099999979</v>
      </c>
    </row>
    <row r="70" spans="1:10">
      <c r="A70" s="51"/>
      <c r="B70" s="71"/>
      <c r="C70" s="71"/>
      <c r="D70" s="71"/>
      <c r="E70" s="71"/>
      <c r="F70" s="71"/>
      <c r="G70" s="71"/>
    </row>
    <row r="71" spans="1:10">
      <c r="A71" s="50" t="s">
        <v>43</v>
      </c>
      <c r="B71" s="71"/>
      <c r="C71" s="71"/>
      <c r="D71" s="71"/>
      <c r="E71" s="71"/>
      <c r="F71" s="71"/>
      <c r="G71" s="71">
        <f>SUM(D42:D47)+SUM(D50:D61)</f>
        <v>-93969365.703647405</v>
      </c>
    </row>
    <row r="72" spans="1:10">
      <c r="A72" s="52"/>
      <c r="B72" s="71"/>
      <c r="C72" s="71"/>
      <c r="D72" s="71"/>
      <c r="E72" s="71"/>
      <c r="F72" s="71"/>
      <c r="G72" s="71"/>
    </row>
    <row r="73" spans="1:10" ht="15" thickBot="1">
      <c r="A73" s="50" t="s">
        <v>44</v>
      </c>
      <c r="B73" s="71"/>
      <c r="C73" s="71"/>
      <c r="D73" s="71"/>
      <c r="E73" s="71"/>
      <c r="F73" s="71"/>
      <c r="G73" s="73">
        <f>+G65+G69+G71</f>
        <v>7384568.5203525722</v>
      </c>
    </row>
    <row r="74" spans="1:10" ht="15" thickTop="1">
      <c r="A74" s="51"/>
      <c r="B74" s="71"/>
      <c r="C74" s="71"/>
      <c r="D74" s="71"/>
      <c r="E74" s="71"/>
      <c r="F74" s="71"/>
      <c r="G74" s="71"/>
    </row>
    <row r="75" spans="1:10">
      <c r="A75" s="53" t="s">
        <v>40</v>
      </c>
      <c r="B75" s="71"/>
      <c r="C75" s="71"/>
      <c r="D75" s="71"/>
      <c r="E75" s="71"/>
      <c r="F75" s="71"/>
      <c r="G75" s="71"/>
    </row>
    <row r="76" spans="1:10">
      <c r="A76" s="53" t="s">
        <v>74</v>
      </c>
      <c r="B76" s="71"/>
      <c r="C76" s="71"/>
      <c r="D76" s="71"/>
      <c r="E76" s="71"/>
      <c r="F76" s="71"/>
      <c r="G76" s="71"/>
    </row>
    <row r="77" spans="1:10">
      <c r="A77" s="53" t="s">
        <v>75</v>
      </c>
      <c r="B77" s="71"/>
      <c r="C77" s="71"/>
      <c r="D77" s="71"/>
      <c r="E77" s="71"/>
      <c r="F77" s="71"/>
      <c r="G77" s="71"/>
    </row>
    <row r="78" spans="1:10">
      <c r="B78" s="71"/>
      <c r="C78" s="71"/>
      <c r="D78" s="71"/>
      <c r="E78" s="71"/>
      <c r="F78" s="71"/>
      <c r="G78" s="71"/>
    </row>
  </sheetData>
  <pageMargins left="0.7" right="0.45" top="0.75" bottom="0.75" header="0.3" footer="0.3"/>
  <pageSetup scale="85" orientation="landscape" r:id="rId1"/>
  <ignoredErrors>
    <ignoredError sqref="J9:J19 J22:J33 J36:J47 E22:E31 F54:G61 J50:J61 E36:G36 F22:G22 E33:G33 F23:F32 E19:G19 E9:F18 E41:G47 E37:F39 E40:F40 C48:E48 B34:E34 B48:B49 D62 B62:C62 E62 F50:G50 F51:G51 F52:G52 F53:G53" unlockedFormula="1"/>
    <ignoredError sqref="G23:G32 G9:G18 G37:G40" formulaRange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1"/>
  <sheetViews>
    <sheetView tabSelected="1" view="pageBreakPreview" zoomScale="85" zoomScaleNormal="90" zoomScaleSheetLayoutView="85" workbookViewId="0">
      <selection activeCell="X44" sqref="X44"/>
    </sheetView>
  </sheetViews>
  <sheetFormatPr defaultRowHeight="12.75"/>
  <cols>
    <col min="1" max="1" width="62.7109375" style="1" customWidth="1"/>
    <col min="2" max="2" width="14.42578125" style="57" bestFit="1" customWidth="1"/>
    <col min="3" max="3" width="11.42578125" style="57" customWidth="1"/>
    <col min="4" max="6" width="13.140625" style="1" bestFit="1" customWidth="1"/>
    <col min="7" max="7" width="12.42578125" style="1" bestFit="1" customWidth="1"/>
    <col min="8" max="11" width="14.28515625" style="1" customWidth="1"/>
    <col min="12" max="12" width="1.5703125" style="1" customWidth="1"/>
    <col min="13" max="13" width="11.140625" style="1" bestFit="1" customWidth="1"/>
    <col min="14" max="14" width="11.85546875" style="1" customWidth="1"/>
    <col min="15" max="24" width="11.140625" style="1" bestFit="1" customWidth="1"/>
    <col min="25" max="25" width="12.140625" style="1" bestFit="1" customWidth="1"/>
    <col min="26" max="26" width="1.7109375" style="1" customWidth="1"/>
    <col min="27" max="27" width="13" style="1" bestFit="1" customWidth="1"/>
    <col min="28" max="28" width="9.140625" style="1" customWidth="1"/>
    <col min="29" max="29" width="12.140625" style="1" bestFit="1" customWidth="1"/>
    <col min="30" max="16384" width="9.140625" style="1"/>
  </cols>
  <sheetData>
    <row r="1" spans="1:37">
      <c r="A1" s="16"/>
      <c r="B1" s="54"/>
      <c r="C1" s="54"/>
      <c r="D1" s="16"/>
      <c r="E1" s="16"/>
      <c r="F1" s="16"/>
    </row>
    <row r="2" spans="1:37">
      <c r="A2" s="5" t="s">
        <v>5</v>
      </c>
      <c r="B2" s="55"/>
      <c r="C2" s="55"/>
      <c r="D2" s="5"/>
      <c r="E2" s="5"/>
      <c r="F2" s="5"/>
      <c r="N2" s="5" t="s">
        <v>70</v>
      </c>
    </row>
    <row r="3" spans="1:37">
      <c r="B3" s="56" t="s">
        <v>8</v>
      </c>
      <c r="C3" s="56" t="s">
        <v>37</v>
      </c>
      <c r="J3" s="15" t="s">
        <v>9</v>
      </c>
      <c r="K3" s="92" t="s">
        <v>68</v>
      </c>
      <c r="Y3" s="9" t="s">
        <v>6</v>
      </c>
      <c r="AA3" s="9" t="s">
        <v>69</v>
      </c>
    </row>
    <row r="4" spans="1:37">
      <c r="B4" s="60" t="s">
        <v>67</v>
      </c>
      <c r="C4" s="60" t="s">
        <v>64</v>
      </c>
      <c r="D4" s="81">
        <v>41821</v>
      </c>
      <c r="E4" s="81">
        <v>41852</v>
      </c>
      <c r="F4" s="81">
        <v>41883</v>
      </c>
      <c r="G4" s="62">
        <v>41913</v>
      </c>
      <c r="H4" s="62">
        <v>41944</v>
      </c>
      <c r="I4" s="62">
        <v>41974</v>
      </c>
      <c r="J4" s="14" t="s">
        <v>46</v>
      </c>
      <c r="K4" s="12" t="s">
        <v>39</v>
      </c>
      <c r="L4" s="11"/>
      <c r="M4" s="62">
        <v>42005</v>
      </c>
      <c r="N4" s="62">
        <v>42036</v>
      </c>
      <c r="O4" s="62">
        <v>42064</v>
      </c>
      <c r="P4" s="62">
        <v>42095</v>
      </c>
      <c r="Q4" s="62">
        <v>42125</v>
      </c>
      <c r="R4" s="62">
        <v>42156</v>
      </c>
      <c r="S4" s="62">
        <v>42186</v>
      </c>
      <c r="T4" s="62">
        <v>42217</v>
      </c>
      <c r="U4" s="62">
        <v>42248</v>
      </c>
      <c r="V4" s="62">
        <v>42278</v>
      </c>
      <c r="W4" s="62">
        <v>42309</v>
      </c>
      <c r="X4" s="62">
        <v>42339</v>
      </c>
      <c r="Y4" s="13" t="s">
        <v>47</v>
      </c>
      <c r="Z4" s="10"/>
      <c r="AA4" s="12" t="s">
        <v>39</v>
      </c>
      <c r="AB4" s="10"/>
      <c r="AC4" s="10"/>
      <c r="AD4" s="10"/>
      <c r="AE4" s="10"/>
      <c r="AF4" s="10"/>
      <c r="AG4" s="10"/>
      <c r="AH4" s="10"/>
      <c r="AI4" s="10"/>
      <c r="AJ4" s="10"/>
      <c r="AK4" s="10"/>
    </row>
    <row r="5" spans="1:37">
      <c r="G5" s="11"/>
      <c r="H5" s="11"/>
      <c r="I5" s="11"/>
      <c r="J5" s="12"/>
      <c r="K5" s="12"/>
      <c r="L5" s="10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0"/>
      <c r="AA5" s="2"/>
      <c r="AB5" s="10"/>
      <c r="AC5" s="10"/>
      <c r="AD5" s="10"/>
      <c r="AE5" s="10"/>
      <c r="AF5" s="10"/>
      <c r="AG5" s="10"/>
      <c r="AH5" s="10"/>
      <c r="AI5" s="10"/>
      <c r="AJ5" s="10"/>
      <c r="AK5" s="10"/>
    </row>
    <row r="6" spans="1:37">
      <c r="A6" s="5" t="s">
        <v>0</v>
      </c>
      <c r="B6" s="58"/>
      <c r="C6" s="58"/>
      <c r="D6" s="5"/>
      <c r="E6" s="5"/>
      <c r="F6" s="5"/>
      <c r="G6" s="10"/>
      <c r="H6" s="10"/>
      <c r="I6" s="10"/>
      <c r="J6" s="10"/>
      <c r="K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AA6" s="2"/>
    </row>
    <row r="7" spans="1:37">
      <c r="A7" s="8" t="s">
        <v>63</v>
      </c>
      <c r="B7" s="59">
        <v>19883573.68</v>
      </c>
      <c r="C7" s="59">
        <f>1022745.31+300000</f>
        <v>1322745.31</v>
      </c>
      <c r="D7" s="88">
        <v>751675</v>
      </c>
      <c r="E7" s="88">
        <v>171654</v>
      </c>
      <c r="F7" s="88">
        <v>153160</v>
      </c>
      <c r="G7" s="88">
        <f>147728+10000</f>
        <v>157728</v>
      </c>
      <c r="H7" s="88">
        <v>2238675</v>
      </c>
      <c r="I7" s="88">
        <v>199340</v>
      </c>
      <c r="J7" s="4">
        <f t="shared" ref="J7:J12" si="0">SUM(B7:I7)</f>
        <v>24878550.989999998</v>
      </c>
      <c r="K7" s="4">
        <v>22669582</v>
      </c>
      <c r="M7" s="4">
        <v>321193</v>
      </c>
      <c r="N7" s="4">
        <v>150443</v>
      </c>
      <c r="O7" s="4">
        <v>456418</v>
      </c>
      <c r="P7" s="4">
        <v>170376</v>
      </c>
      <c r="Q7" s="4">
        <v>170376</v>
      </c>
      <c r="R7" s="4">
        <v>235376</v>
      </c>
      <c r="S7" s="4">
        <v>170376</v>
      </c>
      <c r="T7" s="4">
        <v>170376</v>
      </c>
      <c r="U7" s="4">
        <v>174036</v>
      </c>
      <c r="V7" s="4">
        <v>167885</v>
      </c>
      <c r="W7" s="4">
        <v>2557632</v>
      </c>
      <c r="X7" s="4">
        <v>205521</v>
      </c>
      <c r="Y7" s="96">
        <f t="shared" ref="Y7:Y12" si="1">SUM(M7:X7)</f>
        <v>4950008</v>
      </c>
      <c r="AA7" s="2">
        <v>4950008</v>
      </c>
    </row>
    <row r="8" spans="1:37">
      <c r="A8" s="8" t="s">
        <v>1</v>
      </c>
      <c r="B8" s="59">
        <v>61215.77</v>
      </c>
      <c r="C8" s="59"/>
      <c r="D8" s="86">
        <f>(142200-(SUM($B$8:$C$8)-17976.25))/6+11303.75</f>
        <v>27797.163333333334</v>
      </c>
      <c r="E8" s="86">
        <f>(142200-(SUM($B$8:$C$8)-17976.25))/6+11167</f>
        <v>27660.413333333334</v>
      </c>
      <c r="F8" s="86">
        <f>(142200-(SUM($B$8:$C$8)-17976.25))/6+11167</f>
        <v>27660.413333333334</v>
      </c>
      <c r="G8" s="86">
        <f>(142200-(SUM($B$8:$C$8)-17976.25))/6+11167</f>
        <v>27660.413333333334</v>
      </c>
      <c r="H8" s="86">
        <f>(142200-(SUM($B$8:$C$8)-17976.25))/6+11219</f>
        <v>27712.413333333334</v>
      </c>
      <c r="I8" s="86">
        <f>(142200-(SUM($B$8:$C$8)-17976.25))/6</f>
        <v>16493.413333333334</v>
      </c>
      <c r="J8" s="4">
        <f t="shared" si="0"/>
        <v>216200</v>
      </c>
      <c r="K8" s="4">
        <f>142200</f>
        <v>142200</v>
      </c>
      <c r="M8" s="2">
        <f>+$AA$8/12</f>
        <v>20833.333333333332</v>
      </c>
      <c r="N8" s="2">
        <f t="shared" ref="N8:X8" si="2">+$AA$8/12</f>
        <v>20833.333333333332</v>
      </c>
      <c r="O8" s="2">
        <f t="shared" si="2"/>
        <v>20833.333333333332</v>
      </c>
      <c r="P8" s="2">
        <f t="shared" si="2"/>
        <v>20833.333333333332</v>
      </c>
      <c r="Q8" s="2">
        <f t="shared" si="2"/>
        <v>20833.333333333332</v>
      </c>
      <c r="R8" s="2">
        <f t="shared" si="2"/>
        <v>20833.333333333332</v>
      </c>
      <c r="S8" s="2">
        <f t="shared" si="2"/>
        <v>20833.333333333332</v>
      </c>
      <c r="T8" s="2">
        <f t="shared" si="2"/>
        <v>20833.333333333332</v>
      </c>
      <c r="U8" s="2">
        <f t="shared" si="2"/>
        <v>20833.333333333332</v>
      </c>
      <c r="V8" s="2">
        <f t="shared" si="2"/>
        <v>20833.333333333332</v>
      </c>
      <c r="W8" s="2">
        <f t="shared" si="2"/>
        <v>20833.333333333332</v>
      </c>
      <c r="X8" s="2">
        <f t="shared" si="2"/>
        <v>20833.333333333332</v>
      </c>
      <c r="Y8" s="96">
        <f t="shared" si="1"/>
        <v>250000.00000000003</v>
      </c>
      <c r="AA8" s="2">
        <v>250000</v>
      </c>
    </row>
    <row r="9" spans="1:37">
      <c r="A9" s="8" t="s">
        <v>2</v>
      </c>
      <c r="B9" s="59">
        <v>520571.58</v>
      </c>
      <c r="C9" s="59">
        <v>137653.03</v>
      </c>
      <c r="D9" s="86">
        <f>(1934880-(SUM($B$9:$C$9)))/6</f>
        <v>212775.89833333335</v>
      </c>
      <c r="E9" s="86">
        <f>(1934880-(SUM($B$9:$C$9)))/6</f>
        <v>212775.89833333335</v>
      </c>
      <c r="F9" s="86">
        <f>(1934880-(SUM($B$9:$C$9)))/6</f>
        <v>212775.89833333335</v>
      </c>
      <c r="G9" s="86">
        <f>(1934880-(SUM($B$9:$C$9)))/6</f>
        <v>212775.89833333335</v>
      </c>
      <c r="H9" s="86">
        <f>(1934880-(SUM($B$9:$C$9)))/6+10000</f>
        <v>222775.89833333335</v>
      </c>
      <c r="I9" s="86">
        <f>(1934880-(SUM($B$9:$C$9)))/6</f>
        <v>212775.89833333335</v>
      </c>
      <c r="J9" s="4">
        <f t="shared" si="0"/>
        <v>1944880.0000000005</v>
      </c>
      <c r="K9" s="4">
        <v>1934880</v>
      </c>
      <c r="M9" s="2">
        <f>+$AA$9/12</f>
        <v>116197.66666666667</v>
      </c>
      <c r="N9" s="2">
        <f t="shared" ref="N9:X9" si="3">+$AA$9/12</f>
        <v>116197.66666666667</v>
      </c>
      <c r="O9" s="2">
        <f t="shared" si="3"/>
        <v>116197.66666666667</v>
      </c>
      <c r="P9" s="2">
        <f t="shared" si="3"/>
        <v>116197.66666666667</v>
      </c>
      <c r="Q9" s="2">
        <f t="shared" si="3"/>
        <v>116197.66666666667</v>
      </c>
      <c r="R9" s="2">
        <f t="shared" si="3"/>
        <v>116197.66666666667</v>
      </c>
      <c r="S9" s="2">
        <f t="shared" si="3"/>
        <v>116197.66666666667</v>
      </c>
      <c r="T9" s="2">
        <f t="shared" si="3"/>
        <v>116197.66666666667</v>
      </c>
      <c r="U9" s="2">
        <f t="shared" si="3"/>
        <v>116197.66666666667</v>
      </c>
      <c r="V9" s="2">
        <f t="shared" si="3"/>
        <v>116197.66666666667</v>
      </c>
      <c r="W9" s="2">
        <f t="shared" si="3"/>
        <v>116197.66666666667</v>
      </c>
      <c r="X9" s="2">
        <f t="shared" si="3"/>
        <v>116197.66666666667</v>
      </c>
      <c r="Y9" s="96">
        <f t="shared" si="1"/>
        <v>1394372</v>
      </c>
      <c r="AA9" s="2">
        <v>1394372</v>
      </c>
    </row>
    <row r="10" spans="1:37">
      <c r="A10" s="8" t="s">
        <v>7</v>
      </c>
      <c r="B10" s="59">
        <f>466012.69+595.55</f>
        <v>466608.24</v>
      </c>
      <c r="C10" s="59"/>
      <c r="D10" s="88">
        <f>178125+6300+11000</f>
        <v>195425</v>
      </c>
      <c r="E10" s="88">
        <f>3700+2500</f>
        <v>6200</v>
      </c>
      <c r="F10" s="88">
        <f>3700+2500</f>
        <v>6200</v>
      </c>
      <c r="G10" s="90">
        <f>178125+3700</f>
        <v>181825</v>
      </c>
      <c r="H10" s="88">
        <v>3700</v>
      </c>
      <c r="I10" s="88">
        <v>3700</v>
      </c>
      <c r="J10" s="4">
        <f t="shared" si="0"/>
        <v>863658.24</v>
      </c>
      <c r="K10" s="4">
        <v>843046</v>
      </c>
      <c r="M10" s="2">
        <f>328573-50000</f>
        <v>278573</v>
      </c>
      <c r="N10" s="2">
        <v>3698</v>
      </c>
      <c r="O10" s="2">
        <v>3698</v>
      </c>
      <c r="P10" s="2">
        <v>181823</v>
      </c>
      <c r="Q10" s="2">
        <v>3698</v>
      </c>
      <c r="R10" s="2">
        <v>3698</v>
      </c>
      <c r="S10" s="2">
        <v>181823</v>
      </c>
      <c r="T10" s="2">
        <v>3698</v>
      </c>
      <c r="U10" s="2">
        <v>3698</v>
      </c>
      <c r="V10" s="2">
        <v>181823</v>
      </c>
      <c r="W10" s="2">
        <v>3698</v>
      </c>
      <c r="X10" s="2">
        <v>3698</v>
      </c>
      <c r="Y10" s="96">
        <f>SUM(M10:X10)</f>
        <v>853626</v>
      </c>
      <c r="AA10" s="2">
        <v>853626</v>
      </c>
    </row>
    <row r="11" spans="1:37">
      <c r="A11" s="8" t="s">
        <v>49</v>
      </c>
      <c r="B11" s="59">
        <v>761881.51</v>
      </c>
      <c r="C11" s="59">
        <v>144000</v>
      </c>
      <c r="D11" s="88">
        <v>184000</v>
      </c>
      <c r="E11" s="88">
        <v>166000</v>
      </c>
      <c r="F11" s="88">
        <v>166000</v>
      </c>
      <c r="G11" s="88">
        <v>166000</v>
      </c>
      <c r="H11" s="90">
        <v>145000</v>
      </c>
      <c r="I11" s="90">
        <v>125100</v>
      </c>
      <c r="J11" s="4">
        <f t="shared" si="0"/>
        <v>1857981.51</v>
      </c>
      <c r="K11" s="4">
        <v>1857982</v>
      </c>
      <c r="M11" s="2">
        <f>+$AA$11/12</f>
        <v>120114.08333333333</v>
      </c>
      <c r="N11" s="2">
        <f t="shared" ref="N11:X11" si="4">+$AA$11/12</f>
        <v>120114.08333333333</v>
      </c>
      <c r="O11" s="2">
        <f t="shared" si="4"/>
        <v>120114.08333333333</v>
      </c>
      <c r="P11" s="2">
        <f t="shared" si="4"/>
        <v>120114.08333333333</v>
      </c>
      <c r="Q11" s="2">
        <f t="shared" si="4"/>
        <v>120114.08333333333</v>
      </c>
      <c r="R11" s="2">
        <f t="shared" si="4"/>
        <v>120114.08333333333</v>
      </c>
      <c r="S11" s="2">
        <f t="shared" si="4"/>
        <v>120114.08333333333</v>
      </c>
      <c r="T11" s="2">
        <f t="shared" si="4"/>
        <v>120114.08333333333</v>
      </c>
      <c r="U11" s="2">
        <f t="shared" si="4"/>
        <v>120114.08333333333</v>
      </c>
      <c r="V11" s="2">
        <f t="shared" si="4"/>
        <v>120114.08333333333</v>
      </c>
      <c r="W11" s="2">
        <f t="shared" si="4"/>
        <v>120114.08333333333</v>
      </c>
      <c r="X11" s="2">
        <f t="shared" si="4"/>
        <v>120114.08333333333</v>
      </c>
      <c r="Y11" s="96">
        <f t="shared" si="1"/>
        <v>1441368.9999999998</v>
      </c>
      <c r="AA11" s="2">
        <v>1441369</v>
      </c>
    </row>
    <row r="12" spans="1:37">
      <c r="A12" s="8" t="s">
        <v>50</v>
      </c>
      <c r="B12" s="59">
        <v>11280708.66</v>
      </c>
      <c r="C12" s="59">
        <v>753502</v>
      </c>
      <c r="D12" s="88">
        <v>2750000</v>
      </c>
      <c r="E12" s="88">
        <v>2618145</v>
      </c>
      <c r="F12" s="88">
        <v>1480595</v>
      </c>
      <c r="G12" s="88">
        <v>1500000</v>
      </c>
      <c r="H12" s="88">
        <f>1500000+20000</f>
        <v>1520000</v>
      </c>
      <c r="I12" s="88">
        <v>1500000</v>
      </c>
      <c r="J12" s="4">
        <f t="shared" si="0"/>
        <v>23402950.66</v>
      </c>
      <c r="K12" s="4">
        <v>16530106</v>
      </c>
      <c r="M12" s="2">
        <f>+$AA$12/12</f>
        <v>1916666.6666666667</v>
      </c>
      <c r="N12" s="2">
        <f t="shared" ref="N12:X12" si="5">+$AA$12/12</f>
        <v>1916666.6666666667</v>
      </c>
      <c r="O12" s="2">
        <f t="shared" si="5"/>
        <v>1916666.6666666667</v>
      </c>
      <c r="P12" s="2">
        <f t="shared" si="5"/>
        <v>1916666.6666666667</v>
      </c>
      <c r="Q12" s="2">
        <f t="shared" si="5"/>
        <v>1916666.6666666667</v>
      </c>
      <c r="R12" s="2">
        <f t="shared" si="5"/>
        <v>1916666.6666666667</v>
      </c>
      <c r="S12" s="2">
        <f t="shared" si="5"/>
        <v>1916666.6666666667</v>
      </c>
      <c r="T12" s="2">
        <f t="shared" si="5"/>
        <v>1916666.6666666667</v>
      </c>
      <c r="U12" s="2">
        <f t="shared" si="5"/>
        <v>1916666.6666666667</v>
      </c>
      <c r="V12" s="2">
        <f t="shared" si="5"/>
        <v>1916666.6666666667</v>
      </c>
      <c r="W12" s="2">
        <f t="shared" si="5"/>
        <v>1916666.6666666667</v>
      </c>
      <c r="X12" s="2">
        <f t="shared" si="5"/>
        <v>1916666.6666666667</v>
      </c>
      <c r="Y12" s="96">
        <f t="shared" si="1"/>
        <v>23000000.000000004</v>
      </c>
      <c r="AA12" s="2">
        <v>23000000</v>
      </c>
    </row>
    <row r="13" spans="1:37">
      <c r="A13" s="9"/>
      <c r="B13" s="85">
        <f t="shared" ref="B13:K13" si="6">SUM(B7:B12)</f>
        <v>32974559.439999998</v>
      </c>
      <c r="C13" s="85">
        <f t="shared" si="6"/>
        <v>2357900.34</v>
      </c>
      <c r="D13" s="3">
        <f t="shared" si="6"/>
        <v>4121673.0616666665</v>
      </c>
      <c r="E13" s="3">
        <f t="shared" si="6"/>
        <v>3202435.3116666665</v>
      </c>
      <c r="F13" s="3">
        <f t="shared" si="6"/>
        <v>2046391.3116666665</v>
      </c>
      <c r="G13" s="3">
        <f t="shared" si="6"/>
        <v>2245989.3116666665</v>
      </c>
      <c r="H13" s="3">
        <f t="shared" si="6"/>
        <v>4157863.311666667</v>
      </c>
      <c r="I13" s="3">
        <f t="shared" si="6"/>
        <v>2057409.3116666665</v>
      </c>
      <c r="J13" s="3">
        <f t="shared" si="6"/>
        <v>53164221.399999999</v>
      </c>
      <c r="K13" s="3">
        <f t="shared" si="6"/>
        <v>43977796</v>
      </c>
      <c r="M13" s="3">
        <f t="shared" ref="M13:AA13" si="7">SUM(M7:M12)</f>
        <v>2773577.75</v>
      </c>
      <c r="N13" s="3">
        <f t="shared" si="7"/>
        <v>2327952.75</v>
      </c>
      <c r="O13" s="3">
        <f t="shared" si="7"/>
        <v>2633927.75</v>
      </c>
      <c r="P13" s="3">
        <f t="shared" si="7"/>
        <v>2526010.75</v>
      </c>
      <c r="Q13" s="3">
        <f t="shared" si="7"/>
        <v>2347885.75</v>
      </c>
      <c r="R13" s="3">
        <f t="shared" si="7"/>
        <v>2412885.75</v>
      </c>
      <c r="S13" s="3">
        <f t="shared" si="7"/>
        <v>2526010.75</v>
      </c>
      <c r="T13" s="3">
        <f t="shared" si="7"/>
        <v>2347885.75</v>
      </c>
      <c r="U13" s="3">
        <f t="shared" si="7"/>
        <v>2351545.75</v>
      </c>
      <c r="V13" s="3">
        <f t="shared" si="7"/>
        <v>2523519.75</v>
      </c>
      <c r="W13" s="3">
        <f t="shared" si="7"/>
        <v>4735141.75</v>
      </c>
      <c r="X13" s="3">
        <f t="shared" si="7"/>
        <v>2383030.75</v>
      </c>
      <c r="Y13" s="94">
        <f>SUM(Y7:Y12)</f>
        <v>31889375.000000004</v>
      </c>
      <c r="AA13" s="94">
        <f t="shared" si="7"/>
        <v>31889375</v>
      </c>
    </row>
    <row r="14" spans="1:37">
      <c r="B14" s="59"/>
      <c r="C14" s="59"/>
      <c r="G14" s="2"/>
      <c r="H14" s="2"/>
      <c r="I14" s="2"/>
      <c r="J14" s="2"/>
      <c r="K14" s="2"/>
      <c r="M14" s="95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18"/>
      <c r="AA14" s="2"/>
    </row>
    <row r="15" spans="1:37">
      <c r="A15" s="5" t="s">
        <v>51</v>
      </c>
      <c r="B15" s="58"/>
      <c r="C15" s="58"/>
      <c r="D15" s="5"/>
      <c r="E15" s="5"/>
      <c r="F15" s="5"/>
      <c r="G15" s="2"/>
      <c r="H15" s="2"/>
      <c r="I15" s="2"/>
      <c r="J15" s="2"/>
      <c r="K15" s="2"/>
      <c r="M15" s="2" t="s">
        <v>4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18"/>
      <c r="AA15" s="2"/>
    </row>
    <row r="16" spans="1:37">
      <c r="A16" s="82" t="s">
        <v>52</v>
      </c>
      <c r="B16" s="59">
        <f>5521997.33+(1261690.9*0.63)</f>
        <v>6316862.5970000001</v>
      </c>
      <c r="C16" s="59">
        <f>1005536.24*0.69</f>
        <v>693820.00559999992</v>
      </c>
      <c r="D16" s="86">
        <f t="shared" ref="D16:I16" si="8">(8788445-(SUM($B$16:$C$16)))/6</f>
        <v>296293.7329</v>
      </c>
      <c r="E16" s="86">
        <f t="shared" si="8"/>
        <v>296293.7329</v>
      </c>
      <c r="F16" s="86">
        <f t="shared" si="8"/>
        <v>296293.7329</v>
      </c>
      <c r="G16" s="86">
        <f t="shared" si="8"/>
        <v>296293.7329</v>
      </c>
      <c r="H16" s="86">
        <f t="shared" si="8"/>
        <v>296293.7329</v>
      </c>
      <c r="I16" s="86">
        <f t="shared" si="8"/>
        <v>296293.7329</v>
      </c>
      <c r="J16" s="4">
        <f>SUM(B16:I16)</f>
        <v>8788445</v>
      </c>
      <c r="K16" s="4">
        <f>8381045</f>
        <v>8381045</v>
      </c>
      <c r="M16" s="2">
        <f>+$AA$16/12</f>
        <v>1066144.3800000001</v>
      </c>
      <c r="N16" s="2">
        <f t="shared" ref="N16:X16" si="9">+$AA$16/12</f>
        <v>1066144.3800000001</v>
      </c>
      <c r="O16" s="2">
        <f t="shared" si="9"/>
        <v>1066144.3800000001</v>
      </c>
      <c r="P16" s="2">
        <f t="shared" si="9"/>
        <v>1066144.3800000001</v>
      </c>
      <c r="Q16" s="2">
        <f t="shared" si="9"/>
        <v>1066144.3800000001</v>
      </c>
      <c r="R16" s="2">
        <f t="shared" si="9"/>
        <v>1066144.3800000001</v>
      </c>
      <c r="S16" s="2">
        <f t="shared" si="9"/>
        <v>1066144.3800000001</v>
      </c>
      <c r="T16" s="2">
        <f t="shared" si="9"/>
        <v>1066144.3800000001</v>
      </c>
      <c r="U16" s="2">
        <f t="shared" si="9"/>
        <v>1066144.3800000001</v>
      </c>
      <c r="V16" s="2">
        <f t="shared" si="9"/>
        <v>1066144.3800000001</v>
      </c>
      <c r="W16" s="2">
        <f t="shared" si="9"/>
        <v>1066144.3800000001</v>
      </c>
      <c r="X16" s="2">
        <f t="shared" si="9"/>
        <v>1066144.3800000001</v>
      </c>
      <c r="Y16" s="96">
        <f>SUM(M16:X16)</f>
        <v>12793732.560000004</v>
      </c>
      <c r="AA16" s="2">
        <f>(24810800-4503288)*0.63</f>
        <v>12793732.560000001</v>
      </c>
      <c r="AC16" s="61"/>
    </row>
    <row r="17" spans="1:29">
      <c r="A17" s="84" t="s">
        <v>61</v>
      </c>
      <c r="B17" s="59">
        <v>710568.37</v>
      </c>
      <c r="C17" s="59"/>
      <c r="D17" s="86">
        <v>100000</v>
      </c>
      <c r="E17" s="86">
        <v>100000</v>
      </c>
      <c r="F17" s="86">
        <v>100000</v>
      </c>
      <c r="G17" s="86">
        <v>100000</v>
      </c>
      <c r="H17" s="86">
        <v>100000</v>
      </c>
      <c r="I17" s="86">
        <v>100000</v>
      </c>
      <c r="J17" s="4">
        <f>SUM(B17:I17)</f>
        <v>1310568.3700000001</v>
      </c>
      <c r="K17" s="4"/>
      <c r="M17" s="2">
        <f>+$AA$17/12</f>
        <v>187637</v>
      </c>
      <c r="N17" s="2">
        <f t="shared" ref="N17:X17" si="10">+$AA$17/12</f>
        <v>187637</v>
      </c>
      <c r="O17" s="2">
        <f t="shared" si="10"/>
        <v>187637</v>
      </c>
      <c r="P17" s="2">
        <f t="shared" si="10"/>
        <v>187637</v>
      </c>
      <c r="Q17" s="2">
        <f t="shared" si="10"/>
        <v>187637</v>
      </c>
      <c r="R17" s="2">
        <f t="shared" si="10"/>
        <v>187637</v>
      </c>
      <c r="S17" s="2">
        <f t="shared" si="10"/>
        <v>187637</v>
      </c>
      <c r="T17" s="2">
        <f t="shared" si="10"/>
        <v>187637</v>
      </c>
      <c r="U17" s="2">
        <f t="shared" si="10"/>
        <v>187637</v>
      </c>
      <c r="V17" s="2">
        <f t="shared" si="10"/>
        <v>187637</v>
      </c>
      <c r="W17" s="2">
        <f t="shared" si="10"/>
        <v>187637</v>
      </c>
      <c r="X17" s="2">
        <f t="shared" si="10"/>
        <v>187637</v>
      </c>
      <c r="Y17" s="96">
        <f>SUM(M17:X17)</f>
        <v>2251644</v>
      </c>
      <c r="AA17" s="2">
        <f>4503288*0.5</f>
        <v>2251644</v>
      </c>
      <c r="AC17" s="61"/>
    </row>
    <row r="18" spans="1:29">
      <c r="A18" s="9"/>
      <c r="B18" s="85">
        <f>SUM(B16:B17)</f>
        <v>7027430.9670000002</v>
      </c>
      <c r="C18" s="85">
        <f>SUM(C16:C17)</f>
        <v>693820.00559999992</v>
      </c>
      <c r="D18" s="85">
        <f t="shared" ref="D18:K18" si="11">SUM(D16:D17)</f>
        <v>396293.7329</v>
      </c>
      <c r="E18" s="85">
        <f t="shared" si="11"/>
        <v>396293.7329</v>
      </c>
      <c r="F18" s="85">
        <f t="shared" si="11"/>
        <v>396293.7329</v>
      </c>
      <c r="G18" s="85">
        <f t="shared" si="11"/>
        <v>396293.7329</v>
      </c>
      <c r="H18" s="85">
        <f t="shared" si="11"/>
        <v>396293.7329</v>
      </c>
      <c r="I18" s="85">
        <f t="shared" si="11"/>
        <v>396293.7329</v>
      </c>
      <c r="J18" s="85">
        <f t="shared" si="11"/>
        <v>10099013.370000001</v>
      </c>
      <c r="K18" s="85">
        <f t="shared" si="11"/>
        <v>8381045</v>
      </c>
      <c r="M18" s="3">
        <f t="shared" ref="M18:Y18" si="12">SUM(M16:M17)</f>
        <v>1253781.3800000001</v>
      </c>
      <c r="N18" s="3">
        <f t="shared" si="12"/>
        <v>1253781.3800000001</v>
      </c>
      <c r="O18" s="3">
        <f t="shared" si="12"/>
        <v>1253781.3800000001</v>
      </c>
      <c r="P18" s="3">
        <f t="shared" si="12"/>
        <v>1253781.3800000001</v>
      </c>
      <c r="Q18" s="3">
        <f t="shared" si="12"/>
        <v>1253781.3800000001</v>
      </c>
      <c r="R18" s="3">
        <f t="shared" si="12"/>
        <v>1253781.3800000001</v>
      </c>
      <c r="S18" s="3">
        <f t="shared" si="12"/>
        <v>1253781.3800000001</v>
      </c>
      <c r="T18" s="3">
        <f t="shared" si="12"/>
        <v>1253781.3800000001</v>
      </c>
      <c r="U18" s="3">
        <f t="shared" si="12"/>
        <v>1253781.3800000001</v>
      </c>
      <c r="V18" s="3">
        <f t="shared" si="12"/>
        <v>1253781.3800000001</v>
      </c>
      <c r="W18" s="3">
        <f t="shared" si="12"/>
        <v>1253781.3800000001</v>
      </c>
      <c r="X18" s="3">
        <f t="shared" si="12"/>
        <v>1253781.3800000001</v>
      </c>
      <c r="Y18" s="94">
        <f t="shared" si="12"/>
        <v>15045376.560000004</v>
      </c>
      <c r="AA18" s="94">
        <f>SUM(AA16:AA17)</f>
        <v>15045376.560000001</v>
      </c>
      <c r="AC18" s="61"/>
    </row>
    <row r="19" spans="1:29">
      <c r="B19" s="59"/>
      <c r="C19" s="59"/>
      <c r="G19" s="2"/>
      <c r="H19" s="2"/>
      <c r="I19" s="2"/>
      <c r="J19" s="2"/>
      <c r="K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18"/>
      <c r="AA19" s="2"/>
      <c r="AC19" s="61"/>
    </row>
    <row r="20" spans="1:29">
      <c r="A20" s="5" t="s">
        <v>53</v>
      </c>
      <c r="B20" s="58"/>
      <c r="C20" s="58"/>
      <c r="D20" s="5"/>
      <c r="E20" s="5"/>
      <c r="F20" s="5"/>
      <c r="G20" s="2"/>
      <c r="H20" s="2"/>
      <c r="I20" s="2"/>
      <c r="J20" s="2"/>
      <c r="K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18"/>
      <c r="AA20" s="2"/>
      <c r="AC20" s="61"/>
    </row>
    <row r="21" spans="1:29">
      <c r="A21" s="83" t="s">
        <v>52</v>
      </c>
      <c r="B21" s="59">
        <f>SUM(56617.82+1663979.57)+(1261690.9*0.37)</f>
        <v>2187423.023</v>
      </c>
      <c r="C21" s="59">
        <f>1005536.24*0.31</f>
        <v>311716.23440000002</v>
      </c>
      <c r="D21" s="86">
        <f>(5940335-(SUM($B$21:$C$21)))/6</f>
        <v>573532.62376666663</v>
      </c>
      <c r="E21" s="86">
        <f>(5922935-(SUM($B$21:$C$21)))/6</f>
        <v>570632.62376666663</v>
      </c>
      <c r="F21" s="86">
        <f>(5922935-(SUM($B$21:$C$21)))/6</f>
        <v>570632.62376666663</v>
      </c>
      <c r="G21" s="86">
        <f>(5922935-(SUM($B$21:$C$21)))/6</f>
        <v>570632.62376666663</v>
      </c>
      <c r="H21" s="86">
        <f>(5922935-(SUM($B$21:$C$21)))/6</f>
        <v>570632.62376666663</v>
      </c>
      <c r="I21" s="86">
        <f>(5922935-(SUM($B$21:$C$21)))/6</f>
        <v>570632.62376666663</v>
      </c>
      <c r="J21" s="4">
        <f>SUM(B21:I21)</f>
        <v>5925834.9999999991</v>
      </c>
      <c r="K21" s="4">
        <f>SUM(6670335-1310000)</f>
        <v>5360335</v>
      </c>
      <c r="M21" s="2">
        <f>+$AA$21/12</f>
        <v>626148.28666666662</v>
      </c>
      <c r="N21" s="2">
        <f t="shared" ref="N21:X21" si="13">+$AA$21/12</f>
        <v>626148.28666666662</v>
      </c>
      <c r="O21" s="2">
        <f t="shared" si="13"/>
        <v>626148.28666666662</v>
      </c>
      <c r="P21" s="2">
        <f t="shared" si="13"/>
        <v>626148.28666666662</v>
      </c>
      <c r="Q21" s="2">
        <f t="shared" si="13"/>
        <v>626148.28666666662</v>
      </c>
      <c r="R21" s="2">
        <f t="shared" si="13"/>
        <v>626148.28666666662</v>
      </c>
      <c r="S21" s="2">
        <f t="shared" si="13"/>
        <v>626148.28666666662</v>
      </c>
      <c r="T21" s="2">
        <f t="shared" si="13"/>
        <v>626148.28666666662</v>
      </c>
      <c r="U21" s="2">
        <f t="shared" si="13"/>
        <v>626148.28666666662</v>
      </c>
      <c r="V21" s="2">
        <f t="shared" si="13"/>
        <v>626148.28666666662</v>
      </c>
      <c r="W21" s="2">
        <f t="shared" si="13"/>
        <v>626148.28666666662</v>
      </c>
      <c r="X21" s="2">
        <f t="shared" si="13"/>
        <v>626148.28666666662</v>
      </c>
      <c r="Y21" s="96">
        <f>SUM(M21:X21)</f>
        <v>7513779.4400000013</v>
      </c>
      <c r="AA21" s="2">
        <f>(24810800-4503288)*0.37</f>
        <v>7513779.4399999995</v>
      </c>
      <c r="AC21" s="61"/>
    </row>
    <row r="22" spans="1:29">
      <c r="A22" s="84" t="s">
        <v>61</v>
      </c>
      <c r="B22" s="59">
        <v>1828853.78</v>
      </c>
      <c r="C22" s="59"/>
      <c r="D22" s="86">
        <v>200000</v>
      </c>
      <c r="E22" s="86">
        <v>200000</v>
      </c>
      <c r="F22" s="86">
        <v>200000</v>
      </c>
      <c r="G22" s="86">
        <v>200000</v>
      </c>
      <c r="H22" s="86">
        <v>200000</v>
      </c>
      <c r="I22" s="86">
        <v>200000</v>
      </c>
      <c r="J22" s="4">
        <f>SUM(B22:I22)</f>
        <v>3028853.7800000003</v>
      </c>
      <c r="K22" s="4"/>
      <c r="M22" s="2">
        <f>+$AA$22/12</f>
        <v>187637</v>
      </c>
      <c r="N22" s="2">
        <f t="shared" ref="N22:X22" si="14">+$AA$22/12</f>
        <v>187637</v>
      </c>
      <c r="O22" s="2">
        <f t="shared" si="14"/>
        <v>187637</v>
      </c>
      <c r="P22" s="2">
        <f t="shared" si="14"/>
        <v>187637</v>
      </c>
      <c r="Q22" s="2">
        <f t="shared" si="14"/>
        <v>187637</v>
      </c>
      <c r="R22" s="2">
        <f t="shared" si="14"/>
        <v>187637</v>
      </c>
      <c r="S22" s="2">
        <f t="shared" si="14"/>
        <v>187637</v>
      </c>
      <c r="T22" s="2">
        <f t="shared" si="14"/>
        <v>187637</v>
      </c>
      <c r="U22" s="2">
        <f t="shared" si="14"/>
        <v>187637</v>
      </c>
      <c r="V22" s="2">
        <f t="shared" si="14"/>
        <v>187637</v>
      </c>
      <c r="W22" s="2">
        <f t="shared" si="14"/>
        <v>187637</v>
      </c>
      <c r="X22" s="2">
        <f t="shared" si="14"/>
        <v>187637</v>
      </c>
      <c r="Y22" s="96">
        <f>SUM(M22:X22)</f>
        <v>2251644</v>
      </c>
      <c r="AA22" s="2">
        <f>4503288*0.5</f>
        <v>2251644</v>
      </c>
      <c r="AC22" s="61"/>
    </row>
    <row r="23" spans="1:29">
      <c r="A23" s="83" t="s">
        <v>54</v>
      </c>
      <c r="B23" s="59">
        <v>23565.66</v>
      </c>
      <c r="C23" s="59"/>
      <c r="D23" s="86">
        <v>4000</v>
      </c>
      <c r="E23" s="86">
        <v>4000</v>
      </c>
      <c r="F23" s="86">
        <v>4000</v>
      </c>
      <c r="G23" s="87">
        <f>K23-((SUM(B23:F23))+(SUM(H23:I23)))</f>
        <v>1266434.3400000001</v>
      </c>
      <c r="H23" s="86">
        <v>4000</v>
      </c>
      <c r="I23" s="86">
        <v>4000</v>
      </c>
      <c r="J23" s="4">
        <f>SUM(B23:I23)</f>
        <v>1310000</v>
      </c>
      <c r="K23" s="4">
        <v>1310000</v>
      </c>
      <c r="M23" s="2">
        <v>4200</v>
      </c>
      <c r="N23" s="2">
        <v>4200</v>
      </c>
      <c r="O23" s="2">
        <v>4200</v>
      </c>
      <c r="P23" s="2">
        <v>4200</v>
      </c>
      <c r="Q23" s="2">
        <v>4200</v>
      </c>
      <c r="R23" s="2">
        <v>4200</v>
      </c>
      <c r="S23" s="2">
        <v>4200</v>
      </c>
      <c r="T23" s="2">
        <v>4200</v>
      </c>
      <c r="U23" s="2">
        <v>4200</v>
      </c>
      <c r="V23" s="2">
        <v>2073800</v>
      </c>
      <c r="W23" s="2">
        <v>4200</v>
      </c>
      <c r="X23" s="2">
        <v>4200</v>
      </c>
      <c r="Y23" s="96">
        <f>SUM(M23:X23)</f>
        <v>2120000</v>
      </c>
      <c r="AA23" s="2">
        <v>2120000</v>
      </c>
      <c r="AC23" s="61"/>
    </row>
    <row r="24" spans="1:29">
      <c r="A24" s="9"/>
      <c r="B24" s="85">
        <f>SUM(B21:B23)</f>
        <v>4039842.4630000005</v>
      </c>
      <c r="C24" s="85">
        <f t="shared" ref="C24:K24" si="15">SUM(C21:C23)</f>
        <v>311716.23440000002</v>
      </c>
      <c r="D24" s="3">
        <f t="shared" si="15"/>
        <v>777532.62376666663</v>
      </c>
      <c r="E24" s="3">
        <f t="shared" si="15"/>
        <v>774632.62376666663</v>
      </c>
      <c r="F24" s="3">
        <f t="shared" si="15"/>
        <v>774632.62376666663</v>
      </c>
      <c r="G24" s="3">
        <f t="shared" si="15"/>
        <v>2037066.9637666666</v>
      </c>
      <c r="H24" s="3">
        <f t="shared" si="15"/>
        <v>774632.62376666663</v>
      </c>
      <c r="I24" s="3">
        <f t="shared" si="15"/>
        <v>774632.62376666663</v>
      </c>
      <c r="J24" s="3">
        <f t="shared" si="15"/>
        <v>10264688.779999999</v>
      </c>
      <c r="K24" s="3">
        <f t="shared" si="15"/>
        <v>6670335</v>
      </c>
      <c r="M24" s="3">
        <f t="shared" ref="M24:AA24" si="16">SUM(M21:M23)</f>
        <v>817985.28666666662</v>
      </c>
      <c r="N24" s="3">
        <f t="shared" si="16"/>
        <v>817985.28666666662</v>
      </c>
      <c r="O24" s="3">
        <f t="shared" si="16"/>
        <v>817985.28666666662</v>
      </c>
      <c r="P24" s="3">
        <f t="shared" si="16"/>
        <v>817985.28666666662</v>
      </c>
      <c r="Q24" s="3">
        <f t="shared" si="16"/>
        <v>817985.28666666662</v>
      </c>
      <c r="R24" s="3">
        <f t="shared" si="16"/>
        <v>817985.28666666662</v>
      </c>
      <c r="S24" s="3">
        <f t="shared" si="16"/>
        <v>817985.28666666662</v>
      </c>
      <c r="T24" s="3">
        <f t="shared" si="16"/>
        <v>817985.28666666662</v>
      </c>
      <c r="U24" s="3">
        <f t="shared" si="16"/>
        <v>817985.28666666662</v>
      </c>
      <c r="V24" s="3">
        <f t="shared" si="16"/>
        <v>2887585.2866666666</v>
      </c>
      <c r="W24" s="3">
        <f t="shared" si="16"/>
        <v>817985.28666666662</v>
      </c>
      <c r="X24" s="3">
        <f t="shared" si="16"/>
        <v>817985.28666666662</v>
      </c>
      <c r="Y24" s="94">
        <f t="shared" si="16"/>
        <v>11885423.440000001</v>
      </c>
      <c r="AA24" s="94">
        <f t="shared" si="16"/>
        <v>11885423.439999999</v>
      </c>
      <c r="AC24" s="61"/>
    </row>
    <row r="25" spans="1:29">
      <c r="A25" s="9"/>
      <c r="B25" s="58"/>
      <c r="C25" s="58"/>
      <c r="D25" s="9"/>
      <c r="E25" s="9"/>
      <c r="F25" s="9"/>
      <c r="G25" s="4"/>
      <c r="H25" s="4"/>
      <c r="I25" s="4"/>
      <c r="J25" s="4"/>
      <c r="K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96"/>
      <c r="AA25" s="2"/>
      <c r="AC25" s="61"/>
    </row>
    <row r="26" spans="1:29">
      <c r="A26" s="8" t="s">
        <v>55</v>
      </c>
      <c r="B26" s="59">
        <v>439292.82</v>
      </c>
      <c r="C26" s="59"/>
      <c r="D26" s="86">
        <v>165000</v>
      </c>
      <c r="E26" s="86">
        <v>175000</v>
      </c>
      <c r="F26" s="86">
        <v>185000</v>
      </c>
      <c r="G26" s="89">
        <v>205000</v>
      </c>
      <c r="H26" s="89">
        <v>150000</v>
      </c>
      <c r="I26" s="89">
        <v>130000</v>
      </c>
      <c r="J26" s="4">
        <f>SUM(B26:I26)</f>
        <v>1449292.82</v>
      </c>
      <c r="K26" s="4">
        <v>1500000</v>
      </c>
      <c r="M26" s="4">
        <v>40000</v>
      </c>
      <c r="N26" s="4">
        <v>100000</v>
      </c>
      <c r="O26" s="4">
        <v>100000</v>
      </c>
      <c r="P26" s="4">
        <v>140000</v>
      </c>
      <c r="Q26" s="4">
        <v>170000</v>
      </c>
      <c r="R26" s="4">
        <v>150000</v>
      </c>
      <c r="S26" s="4">
        <v>165000</v>
      </c>
      <c r="T26" s="4">
        <v>120000</v>
      </c>
      <c r="U26" s="4">
        <v>155000</v>
      </c>
      <c r="V26" s="4">
        <v>200000</v>
      </c>
      <c r="W26" s="4">
        <v>90000</v>
      </c>
      <c r="X26" s="4">
        <v>70000</v>
      </c>
      <c r="Y26" s="96">
        <f>SUM(M26:X26)</f>
        <v>1500000</v>
      </c>
      <c r="AA26" s="2">
        <v>1500000</v>
      </c>
      <c r="AC26" s="93"/>
    </row>
    <row r="27" spans="1:29">
      <c r="A27" s="84" t="s">
        <v>56</v>
      </c>
      <c r="B27" s="59">
        <v>120586.29</v>
      </c>
      <c r="C27" s="59">
        <v>22050</v>
      </c>
      <c r="D27" s="86">
        <v>8000</v>
      </c>
      <c r="E27" s="86">
        <f>60350+6000</f>
        <v>66350</v>
      </c>
      <c r="F27" s="86">
        <v>8000</v>
      </c>
      <c r="G27" s="86">
        <v>8000</v>
      </c>
      <c r="H27" s="86">
        <v>10000</v>
      </c>
      <c r="I27" s="89">
        <v>37250</v>
      </c>
      <c r="J27" s="4">
        <f>SUM(B27:I27)</f>
        <v>280236.28999999998</v>
      </c>
      <c r="K27" s="4">
        <v>280276</v>
      </c>
      <c r="M27" s="2">
        <f>+$AA$27/12</f>
        <v>16838.75</v>
      </c>
      <c r="N27" s="2">
        <f t="shared" ref="N27:X27" si="17">+$AA$27/12</f>
        <v>16838.75</v>
      </c>
      <c r="O27" s="2">
        <f t="shared" si="17"/>
        <v>16838.75</v>
      </c>
      <c r="P27" s="2">
        <f t="shared" si="17"/>
        <v>16838.75</v>
      </c>
      <c r="Q27" s="2">
        <f t="shared" si="17"/>
        <v>16838.75</v>
      </c>
      <c r="R27" s="2">
        <f t="shared" si="17"/>
        <v>16838.75</v>
      </c>
      <c r="S27" s="2">
        <f t="shared" si="17"/>
        <v>16838.75</v>
      </c>
      <c r="T27" s="2">
        <f t="shared" si="17"/>
        <v>16838.75</v>
      </c>
      <c r="U27" s="2">
        <f t="shared" si="17"/>
        <v>16838.75</v>
      </c>
      <c r="V27" s="2">
        <f t="shared" si="17"/>
        <v>16838.75</v>
      </c>
      <c r="W27" s="2">
        <f t="shared" si="17"/>
        <v>16838.75</v>
      </c>
      <c r="X27" s="2">
        <f t="shared" si="17"/>
        <v>16838.75</v>
      </c>
      <c r="Y27" s="96">
        <f>SUM(M27:X27)</f>
        <v>202065</v>
      </c>
      <c r="AA27" s="2">
        <v>202065</v>
      </c>
      <c r="AC27" s="93"/>
    </row>
    <row r="28" spans="1:29">
      <c r="A28" s="8" t="s">
        <v>57</v>
      </c>
      <c r="B28" s="59"/>
      <c r="C28" s="59"/>
      <c r="D28" s="86"/>
      <c r="E28" s="86"/>
      <c r="F28" s="86"/>
      <c r="G28" s="89"/>
      <c r="H28" s="89"/>
      <c r="I28" s="89"/>
      <c r="J28" s="4"/>
      <c r="K28" s="4">
        <v>1247500</v>
      </c>
      <c r="M28" s="4">
        <v>26000</v>
      </c>
      <c r="N28" s="4">
        <v>47000</v>
      </c>
      <c r="O28" s="4">
        <v>47000</v>
      </c>
      <c r="P28" s="4">
        <v>47000</v>
      </c>
      <c r="Q28" s="4">
        <v>82500</v>
      </c>
      <c r="R28" s="4">
        <v>82500</v>
      </c>
      <c r="S28" s="4">
        <v>115000</v>
      </c>
      <c r="T28" s="4">
        <v>115000</v>
      </c>
      <c r="U28" s="4">
        <v>82500</v>
      </c>
      <c r="V28" s="4">
        <v>82500</v>
      </c>
      <c r="W28" s="4">
        <v>82000</v>
      </c>
      <c r="X28" s="4">
        <v>33000</v>
      </c>
      <c r="Y28" s="96">
        <f>SUM(M28:X28)</f>
        <v>842000</v>
      </c>
      <c r="AA28" s="2">
        <v>842000</v>
      </c>
      <c r="AC28" s="93"/>
    </row>
    <row r="29" spans="1:29">
      <c r="A29" s="8" t="s">
        <v>66</v>
      </c>
      <c r="B29" s="59">
        <v>5284.76</v>
      </c>
      <c r="C29" s="59"/>
      <c r="D29" s="86"/>
      <c r="E29" s="86">
        <v>3637</v>
      </c>
      <c r="F29" s="86"/>
      <c r="G29" s="89"/>
      <c r="H29" s="89"/>
      <c r="I29" s="89"/>
      <c r="J29" s="4">
        <f>SUM(B29:I29)</f>
        <v>8921.76</v>
      </c>
      <c r="K29" s="4">
        <v>8922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96"/>
      <c r="Z29" s="10"/>
      <c r="AA29" s="2"/>
    </row>
    <row r="30" spans="1:29">
      <c r="B30" s="59"/>
      <c r="C30" s="59"/>
      <c r="D30" s="61"/>
      <c r="E30" s="61"/>
      <c r="F30" s="61"/>
      <c r="G30" s="61"/>
      <c r="H30" s="61"/>
      <c r="I30" s="61"/>
      <c r="J30" s="2"/>
      <c r="K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18"/>
      <c r="Z30" s="10"/>
      <c r="AA30" s="2">
        <v>0</v>
      </c>
    </row>
    <row r="31" spans="1:29">
      <c r="A31" s="7" t="s">
        <v>3</v>
      </c>
      <c r="B31" s="85">
        <f t="shared" ref="B31:J31" si="18">+B13+B18+B24+B26+B27+B29</f>
        <v>44606996.739999995</v>
      </c>
      <c r="C31" s="85">
        <f t="shared" si="18"/>
        <v>3385486.5799999996</v>
      </c>
      <c r="D31" s="85">
        <f t="shared" si="18"/>
        <v>5468499.418333333</v>
      </c>
      <c r="E31" s="85">
        <f t="shared" si="18"/>
        <v>4618348.668333333</v>
      </c>
      <c r="F31" s="85">
        <f t="shared" si="18"/>
        <v>3410317.6683333335</v>
      </c>
      <c r="G31" s="85">
        <f t="shared" si="18"/>
        <v>4892350.0083333328</v>
      </c>
      <c r="H31" s="85">
        <f t="shared" si="18"/>
        <v>5488789.668333333</v>
      </c>
      <c r="I31" s="85">
        <f t="shared" si="18"/>
        <v>3395585.6683333335</v>
      </c>
      <c r="J31" s="85">
        <f t="shared" si="18"/>
        <v>75266374.420000002</v>
      </c>
      <c r="K31" s="85">
        <f>+K13+K18+K24+K26+K27+K29+K28</f>
        <v>62065874</v>
      </c>
      <c r="L31" s="4"/>
      <c r="M31" s="3">
        <f t="shared" ref="M31:AA31" si="19">+M13+M18+M24+M26+M27+M28</f>
        <v>4928183.166666666</v>
      </c>
      <c r="N31" s="3">
        <f t="shared" si="19"/>
        <v>4563558.166666666</v>
      </c>
      <c r="O31" s="3">
        <f t="shared" si="19"/>
        <v>4869533.166666666</v>
      </c>
      <c r="P31" s="3">
        <f t="shared" si="19"/>
        <v>4801616.166666666</v>
      </c>
      <c r="Q31" s="3">
        <f t="shared" si="19"/>
        <v>4688991.166666666</v>
      </c>
      <c r="R31" s="3">
        <f t="shared" si="19"/>
        <v>4733991.166666666</v>
      </c>
      <c r="S31" s="3">
        <f t="shared" si="19"/>
        <v>4894616.166666666</v>
      </c>
      <c r="T31" s="3">
        <f t="shared" si="19"/>
        <v>4671491.166666666</v>
      </c>
      <c r="U31" s="3">
        <f t="shared" si="19"/>
        <v>4677651.166666666</v>
      </c>
      <c r="V31" s="3">
        <f t="shared" si="19"/>
        <v>6964225.166666666</v>
      </c>
      <c r="W31" s="3">
        <f t="shared" si="19"/>
        <v>6995747.166666666</v>
      </c>
      <c r="X31" s="3">
        <f t="shared" si="19"/>
        <v>4574636.166666666</v>
      </c>
      <c r="Y31" s="3">
        <f t="shared" si="19"/>
        <v>61364240.000000015</v>
      </c>
      <c r="Z31" s="10"/>
      <c r="AA31" s="3">
        <f t="shared" si="19"/>
        <v>61364240</v>
      </c>
    </row>
    <row r="32" spans="1:29" s="5" customFormat="1">
      <c r="B32" s="58"/>
      <c r="C32" s="58"/>
      <c r="G32" s="6"/>
      <c r="H32" s="6"/>
      <c r="I32" s="6"/>
      <c r="J32" s="6"/>
      <c r="K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97"/>
      <c r="Z32" s="63"/>
      <c r="AA32" s="2"/>
    </row>
    <row r="33" spans="1:27">
      <c r="A33" s="91"/>
      <c r="B33" s="58"/>
      <c r="C33" s="58"/>
      <c r="D33" s="91"/>
      <c r="E33" s="91"/>
      <c r="F33" s="91"/>
      <c r="G33" s="2"/>
      <c r="H33" s="2"/>
      <c r="I33" s="2" t="s">
        <v>72</v>
      </c>
      <c r="J33" s="99">
        <f>+'Balancing acct'!B48</f>
        <v>71880887.840000004</v>
      </c>
      <c r="K33" s="4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96"/>
      <c r="AA33" s="2"/>
    </row>
    <row r="34" spans="1:27">
      <c r="G34" s="2"/>
      <c r="H34" s="2"/>
      <c r="I34" s="98" t="s">
        <v>73</v>
      </c>
      <c r="J34" s="100">
        <f>+J31-J33</f>
        <v>3385486.5799999982</v>
      </c>
      <c r="M34" s="2"/>
      <c r="N34" s="2"/>
      <c r="O34" s="2"/>
      <c r="P34" s="2"/>
      <c r="Q34" s="2"/>
      <c r="R34" s="2"/>
      <c r="S34" s="2"/>
      <c r="T34" s="2"/>
      <c r="U34" s="2"/>
    </row>
    <row r="35" spans="1:27">
      <c r="A35" s="5" t="s">
        <v>38</v>
      </c>
      <c r="M35" s="17"/>
    </row>
    <row r="36" spans="1:27">
      <c r="A36" s="1" t="s">
        <v>58</v>
      </c>
    </row>
    <row r="37" spans="1:27">
      <c r="A37" s="1" t="s">
        <v>59</v>
      </c>
    </row>
    <row r="38" spans="1:27">
      <c r="A38" s="1" t="s">
        <v>60</v>
      </c>
    </row>
    <row r="39" spans="1:27">
      <c r="A39" s="1" t="s">
        <v>62</v>
      </c>
    </row>
    <row r="40" spans="1:27">
      <c r="A40" s="1" t="s">
        <v>65</v>
      </c>
    </row>
    <row r="41" spans="1:27">
      <c r="A41" s="1" t="s">
        <v>71</v>
      </c>
    </row>
    <row r="50" spans="5:5">
      <c r="E50" s="1">
        <f>ROUND((((B50+D50)/2)+F47)*(7.77%/12),0)</f>
        <v>0</v>
      </c>
    </row>
    <row r="51" spans="5:5">
      <c r="E51" s="1">
        <f>ROUND((((B51+D51)/2)+F50)*(7.77%/12),0)</f>
        <v>0</v>
      </c>
    </row>
    <row r="52" spans="5:5">
      <c r="E52" s="1">
        <f>ROUND((((B52+D52)/2)+F51)*(7.77%/12),0)</f>
        <v>0</v>
      </c>
    </row>
    <row r="53" spans="5:5">
      <c r="E53" s="1">
        <f>ROUND((((B53+D53)/2)+F52)*(7.77%/12),0)</f>
        <v>0</v>
      </c>
    </row>
    <row r="54" spans="5:5">
      <c r="E54" s="1">
        <f t="shared" ref="E54:E61" si="20">ROUND((((B54+D54)/2)+F53)*(7.77%/12),0)</f>
        <v>0</v>
      </c>
    </row>
    <row r="55" spans="5:5">
      <c r="E55" s="1">
        <f t="shared" si="20"/>
        <v>0</v>
      </c>
    </row>
    <row r="56" spans="5:5">
      <c r="E56" s="1">
        <f t="shared" si="20"/>
        <v>0</v>
      </c>
    </row>
    <row r="57" spans="5:5">
      <c r="E57" s="1">
        <f t="shared" si="20"/>
        <v>0</v>
      </c>
    </row>
    <row r="58" spans="5:5">
      <c r="E58" s="1">
        <f t="shared" si="20"/>
        <v>0</v>
      </c>
    </row>
    <row r="59" spans="5:5">
      <c r="E59" s="1">
        <f t="shared" si="20"/>
        <v>0</v>
      </c>
    </row>
    <row r="60" spans="5:5">
      <c r="E60" s="1">
        <f t="shared" si="20"/>
        <v>0</v>
      </c>
    </row>
    <row r="61" spans="5:5">
      <c r="E61" s="1">
        <f t="shared" si="20"/>
        <v>0</v>
      </c>
    </row>
  </sheetData>
  <pageMargins left="0.25" right="0.25" top="1" bottom="1" header="0.5" footer="0.5"/>
  <pageSetup scale="59" fitToHeight="0" orientation="landscape" r:id="rId1"/>
  <headerFooter alignWithMargins="0"/>
  <colBreaks count="1" manualBreakCount="1">
    <brk id="12" max="42" man="1"/>
  </colBreaks>
  <ignoredErrors>
    <ignoredError sqref="J9:J1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Balancing acct</vt:lpstr>
      <vt:lpstr>Projected Expense</vt:lpstr>
      <vt:lpstr>'Projected Expense'!Print_Area</vt:lpstr>
      <vt:lpstr>'Balancing acct'!Print_Titles</vt:lpstr>
      <vt:lpstr>'Projected Expense'!Print_Titles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2010-11-01T19:40:29Z</dcterms:created>
  <dcterms:modified xsi:type="dcterms:W3CDTF">2014-07-31T13:45:36Z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