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Websites\Pscweb\utilities\electric\14docs\14035114\"/>
    </mc:Choice>
  </mc:AlternateContent>
  <bookViews>
    <workbookView xWindow="0" yWindow="0" windowWidth="28800" windowHeight="11235"/>
  </bookViews>
  <sheets>
    <sheet name="ANNUAL SEASONAL SUMMARY" sheetId="29" r:id="rId1"/>
    <sheet name="Seasonal (WITH)" sheetId="9" r:id="rId2"/>
    <sheet name="Seasonal (WITHOUT)" sheetId="10" r:id="rId3"/>
    <sheet name="LOAD DATA and INPUT SEASONAL" sheetId="19" r:id="rId4"/>
    <sheet name="Assumption Sourcing" sheetId="20" r:id="rId5"/>
  </sheets>
  <definedNames>
    <definedName name="_ftnref1" localSheetId="4">'Assumption Sourcing'!$A$568</definedName>
    <definedName name="_xlnm.Print_Area" localSheetId="0">'ANNUAL SEASONAL SUMMARY'!$B$1:$T$39</definedName>
    <definedName name="_xlnm.Print_Area" localSheetId="4">'Assumption Sourcing'!$A$1:$F$989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3" i="19" l="1"/>
  <c r="K110" i="9" l="1"/>
  <c r="K83" i="9"/>
  <c r="K56" i="9"/>
  <c r="K29" i="9"/>
  <c r="I110" i="9"/>
  <c r="J86" i="9"/>
  <c r="I86" i="9"/>
  <c r="J59" i="9"/>
  <c r="I59" i="9"/>
  <c r="J32" i="9"/>
  <c r="I32" i="9"/>
  <c r="J11" i="19"/>
  <c r="I6" i="9" l="1"/>
  <c r="I7" i="9" s="1"/>
  <c r="I8" i="9" s="1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7" i="9" s="1"/>
  <c r="I88" i="9" s="1"/>
  <c r="I89" i="9" s="1"/>
  <c r="I90" i="9" s="1"/>
  <c r="I91" i="9" s="1"/>
  <c r="I92" i="9" s="1"/>
  <c r="I93" i="9" s="1"/>
  <c r="I94" i="9" s="1"/>
  <c r="I95" i="9" s="1"/>
  <c r="I96" i="9" s="1"/>
  <c r="I97" i="9" s="1"/>
  <c r="I98" i="9" s="1"/>
  <c r="I99" i="9" s="1"/>
  <c r="I100" i="9" s="1"/>
  <c r="I101" i="9" s="1"/>
  <c r="I102" i="9" s="1"/>
  <c r="I103" i="9" s="1"/>
  <c r="I104" i="9" s="1"/>
  <c r="I105" i="9" s="1"/>
  <c r="I106" i="9" s="1"/>
  <c r="I107" i="9" s="1"/>
  <c r="I108" i="9" s="1"/>
  <c r="I109" i="9" s="1"/>
  <c r="J6" i="9"/>
  <c r="J7" i="9" s="1"/>
  <c r="J8" i="9" s="1"/>
  <c r="J9" i="9" s="1"/>
  <c r="J10" i="9" s="1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J21" i="9" s="1"/>
  <c r="J22" i="9" s="1"/>
  <c r="J23" i="9" s="1"/>
  <c r="J24" i="9" s="1"/>
  <c r="J25" i="9" s="1"/>
  <c r="J26" i="9" s="1"/>
  <c r="J27" i="9" s="1"/>
  <c r="J28" i="9" s="1"/>
  <c r="J29" i="9" s="1"/>
  <c r="J33" i="9" s="1"/>
  <c r="J34" i="9" s="1"/>
  <c r="J35" i="9" s="1"/>
  <c r="J36" i="9" s="1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J51" i="9" s="1"/>
  <c r="J52" i="9" s="1"/>
  <c r="J53" i="9" s="1"/>
  <c r="J54" i="9" s="1"/>
  <c r="J55" i="9" s="1"/>
  <c r="J56" i="9" s="1"/>
  <c r="J60" i="9" s="1"/>
  <c r="J61" i="9" s="1"/>
  <c r="J62" i="9" s="1"/>
  <c r="J63" i="9" s="1"/>
  <c r="J64" i="9" s="1"/>
  <c r="J65" i="9" s="1"/>
  <c r="J66" i="9" s="1"/>
  <c r="J67" i="9" s="1"/>
  <c r="J68" i="9" s="1"/>
  <c r="J69" i="9" s="1"/>
  <c r="J70" i="9" s="1"/>
  <c r="J71" i="9" s="1"/>
  <c r="J72" i="9" s="1"/>
  <c r="J73" i="9" s="1"/>
  <c r="J74" i="9" s="1"/>
  <c r="J75" i="9" s="1"/>
  <c r="J76" i="9" s="1"/>
  <c r="J77" i="9" s="1"/>
  <c r="J78" i="9" s="1"/>
  <c r="J79" i="9" s="1"/>
  <c r="J80" i="9" s="1"/>
  <c r="J81" i="9" s="1"/>
  <c r="J82" i="9" s="1"/>
  <c r="J83" i="9" s="1"/>
  <c r="J87" i="9" s="1"/>
  <c r="J88" i="9" s="1"/>
  <c r="J89" i="9" s="1"/>
  <c r="J90" i="9" s="1"/>
  <c r="J91" i="9" s="1"/>
  <c r="J92" i="9" s="1"/>
  <c r="J93" i="9" s="1"/>
  <c r="J94" i="9" s="1"/>
  <c r="J95" i="9" s="1"/>
  <c r="J96" i="9" s="1"/>
  <c r="J97" i="9" s="1"/>
  <c r="J98" i="9" s="1"/>
  <c r="J99" i="9" s="1"/>
  <c r="J100" i="9" s="1"/>
  <c r="J101" i="9" s="1"/>
  <c r="J102" i="9" s="1"/>
  <c r="J103" i="9" s="1"/>
  <c r="J104" i="9" s="1"/>
  <c r="J105" i="9" s="1"/>
  <c r="J106" i="9" s="1"/>
  <c r="J107" i="9" s="1"/>
  <c r="J108" i="9" s="1"/>
  <c r="J109" i="9" s="1"/>
  <c r="J110" i="9" s="1"/>
  <c r="H11" i="19"/>
  <c r="I11" i="19" l="1"/>
  <c r="A54" i="19" s="1"/>
  <c r="H13" i="19"/>
  <c r="P54" i="19" l="1"/>
  <c r="I55" i="19"/>
  <c r="Y55" i="19"/>
  <c r="R56" i="19"/>
  <c r="O57" i="19"/>
  <c r="Q54" i="19"/>
  <c r="J55" i="19"/>
  <c r="Z55" i="19"/>
  <c r="S56" i="19"/>
  <c r="L57" i="19"/>
  <c r="AB57" i="19"/>
  <c r="R54" i="19"/>
  <c r="K55" i="19"/>
  <c r="AA55" i="19"/>
  <c r="T56" i="19"/>
  <c r="M57" i="19"/>
  <c r="AC57" i="19"/>
  <c r="K54" i="19"/>
  <c r="AA54" i="19"/>
  <c r="T55" i="19"/>
  <c r="M56" i="19"/>
  <c r="AC56" i="19"/>
  <c r="V57" i="19"/>
  <c r="S57" i="19"/>
  <c r="M55" i="19"/>
  <c r="AC55" i="19"/>
  <c r="V56" i="19"/>
  <c r="I54" i="19"/>
  <c r="U54" i="19"/>
  <c r="N55" i="19"/>
  <c r="W56" i="19"/>
  <c r="P57" i="19"/>
  <c r="F56" i="19"/>
  <c r="V54" i="19"/>
  <c r="O55" i="19"/>
  <c r="X56" i="19"/>
  <c r="Q57" i="19"/>
  <c r="O54" i="19"/>
  <c r="H55" i="19"/>
  <c r="Q56" i="19"/>
  <c r="J57" i="19"/>
  <c r="W57" i="19"/>
  <c r="G54" i="19"/>
  <c r="Q55" i="19"/>
  <c r="J56" i="19"/>
  <c r="H54" i="19"/>
  <c r="Y54" i="19"/>
  <c r="K56" i="19"/>
  <c r="J54" i="19"/>
  <c r="S55" i="19"/>
  <c r="U57" i="19"/>
  <c r="S54" i="19"/>
  <c r="AB55" i="19"/>
  <c r="F57" i="19"/>
  <c r="L54" i="19"/>
  <c r="N56" i="19"/>
  <c r="G57" i="19"/>
  <c r="V55" i="19"/>
  <c r="X57" i="19"/>
  <c r="W55" i="19"/>
  <c r="W54" i="19"/>
  <c r="I56" i="19"/>
  <c r="K57" i="19"/>
  <c r="T54" i="19"/>
  <c r="G56" i="19"/>
  <c r="H56" i="19"/>
  <c r="F54" i="19"/>
  <c r="X55" i="19"/>
  <c r="Z57" i="19"/>
  <c r="X54" i="19"/>
  <c r="Z56" i="19"/>
  <c r="R55" i="19"/>
  <c r="AA56" i="19"/>
  <c r="T57" i="19"/>
  <c r="Z54" i="19"/>
  <c r="L56" i="19"/>
  <c r="F55" i="19"/>
  <c r="L55" i="19"/>
  <c r="U56" i="19"/>
  <c r="AA57" i="19"/>
  <c r="AB54" i="19"/>
  <c r="M54" i="19"/>
  <c r="O56" i="19"/>
  <c r="N54" i="19"/>
  <c r="P56" i="19"/>
  <c r="Y57" i="19"/>
  <c r="Y56" i="19"/>
  <c r="AB56" i="19"/>
  <c r="N57" i="19"/>
  <c r="U55" i="19"/>
  <c r="AC54" i="19"/>
  <c r="H57" i="19"/>
  <c r="G55" i="19"/>
  <c r="I57" i="19"/>
  <c r="P55" i="19"/>
  <c r="R57" i="19"/>
  <c r="D8" i="19"/>
  <c r="D7" i="19"/>
  <c r="A5" i="20" l="1"/>
  <c r="A63" i="19"/>
  <c r="B29" i="10"/>
  <c r="C29" i="10"/>
  <c r="D29" i="10"/>
  <c r="R29" i="10"/>
  <c r="R114" i="10" s="1"/>
  <c r="R119" i="10" s="1"/>
  <c r="U29" i="10"/>
  <c r="U114" i="10" s="1"/>
  <c r="U119" i="10" s="1"/>
  <c r="R56" i="10"/>
  <c r="R115" i="10" s="1"/>
  <c r="R120" i="10" s="1"/>
  <c r="U56" i="10"/>
  <c r="U115" i="10" s="1"/>
  <c r="U120" i="10" s="1"/>
  <c r="R83" i="10"/>
  <c r="R116" i="10" s="1"/>
  <c r="R121" i="10" s="1"/>
  <c r="U83" i="10"/>
  <c r="U116" i="10" s="1"/>
  <c r="U121" i="10" s="1"/>
  <c r="R110" i="10"/>
  <c r="R117" i="10" s="1"/>
  <c r="R122" i="10" s="1"/>
  <c r="U110" i="10"/>
  <c r="U117" i="10" s="1"/>
  <c r="U122" i="10" s="1"/>
  <c r="AA124" i="10"/>
  <c r="AA124" i="9"/>
  <c r="I115" i="9"/>
  <c r="I120" i="9" s="1"/>
  <c r="J115" i="9"/>
  <c r="J120" i="9" s="1"/>
  <c r="I116" i="9"/>
  <c r="I121" i="9" s="1"/>
  <c r="J116" i="9"/>
  <c r="J121" i="9" s="1"/>
  <c r="I117" i="9"/>
  <c r="I122" i="9" s="1"/>
  <c r="J117" i="9"/>
  <c r="J122" i="9" s="1"/>
  <c r="K117" i="9"/>
  <c r="K122" i="9" s="1"/>
  <c r="X110" i="9"/>
  <c r="X117" i="9" s="1"/>
  <c r="X122" i="9" s="1"/>
  <c r="K116" i="9"/>
  <c r="K121" i="9" s="1"/>
  <c r="X83" i="9"/>
  <c r="X116" i="9" s="1"/>
  <c r="X121" i="9" s="1"/>
  <c r="K115" i="9"/>
  <c r="K120" i="9" s="1"/>
  <c r="X56" i="9"/>
  <c r="X115" i="9" s="1"/>
  <c r="X120" i="9" s="1"/>
  <c r="B29" i="9"/>
  <c r="C29" i="9"/>
  <c r="D29" i="9"/>
  <c r="I114" i="9"/>
  <c r="I119" i="9" s="1"/>
  <c r="J114" i="9"/>
  <c r="J119" i="9" s="1"/>
  <c r="K114" i="9"/>
  <c r="K119" i="9" s="1"/>
  <c r="X29" i="9"/>
  <c r="X114" i="9" s="1"/>
  <c r="X119" i="9" s="1"/>
  <c r="F25" i="29"/>
  <c r="D25" i="29"/>
  <c r="H24" i="29"/>
  <c r="G24" i="29"/>
  <c r="H23" i="29"/>
  <c r="G23" i="29"/>
  <c r="H22" i="29"/>
  <c r="G22" i="29"/>
  <c r="K124" i="9" l="1"/>
  <c r="X124" i="9"/>
  <c r="I124" i="9"/>
  <c r="J124" i="9"/>
  <c r="R124" i="10"/>
  <c r="H7" i="29" s="1"/>
  <c r="H8" i="29" s="1"/>
  <c r="U124" i="10"/>
  <c r="I13" i="19" l="1"/>
  <c r="P23" i="29"/>
  <c r="P24" i="29" s="1"/>
  <c r="A1015" i="20"/>
  <c r="A1016" i="20" s="1"/>
  <c r="P29" i="29" l="1"/>
  <c r="P30" i="29" s="1"/>
  <c r="P31" i="29" s="1"/>
  <c r="P32" i="29" s="1"/>
  <c r="P25" i="29"/>
  <c r="A1022" i="20"/>
  <c r="A1021" i="20"/>
  <c r="A1023" i="20" s="1"/>
  <c r="A1012" i="20"/>
  <c r="P35" i="29" l="1"/>
  <c r="P36" i="29" s="1"/>
  <c r="P37" i="29" s="1"/>
  <c r="Q37" i="29" s="1"/>
  <c r="R37" i="29" s="1"/>
  <c r="P26" i="29"/>
  <c r="P38" i="29" l="1"/>
  <c r="D571" i="20"/>
  <c r="D572" i="20"/>
  <c r="D573" i="20" l="1"/>
  <c r="D574" i="20" s="1"/>
  <c r="A78" i="20" l="1"/>
  <c r="A79" i="20" s="1"/>
  <c r="A80" i="20" s="1"/>
  <c r="A81" i="20" s="1"/>
  <c r="A82" i="20" s="1"/>
  <c r="A83" i="20" s="1"/>
  <c r="A84" i="20" s="1"/>
  <c r="A85" i="20" s="1"/>
  <c r="A87" i="20" s="1"/>
  <c r="A88" i="20" s="1"/>
  <c r="A89" i="20" s="1"/>
  <c r="A90" i="20" s="1"/>
  <c r="A91" i="20" s="1"/>
  <c r="A92" i="20" s="1"/>
  <c r="A93" i="20" s="1"/>
  <c r="A65" i="20" l="1"/>
  <c r="A64" i="20"/>
  <c r="A63" i="20"/>
  <c r="A62" i="20"/>
  <c r="A68" i="20"/>
  <c r="A61" i="20"/>
  <c r="A10" i="2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 l="1"/>
  <c r="I115" i="10" s="1"/>
  <c r="I120" i="10" s="1"/>
  <c r="I29" i="10"/>
  <c r="I114" i="10" s="1"/>
  <c r="I119" i="10" s="1"/>
  <c r="A66" i="20"/>
  <c r="A70" i="20" s="1"/>
  <c r="D55" i="10" l="1"/>
  <c r="D82" i="10" s="1"/>
  <c r="D109" i="10" s="1"/>
  <c r="C55" i="10"/>
  <c r="C82" i="10" s="1"/>
  <c r="C109" i="10" s="1"/>
  <c r="B55" i="10"/>
  <c r="B82" i="10" s="1"/>
  <c r="B109" i="10" s="1"/>
  <c r="D54" i="10"/>
  <c r="D81" i="10" s="1"/>
  <c r="D108" i="10" s="1"/>
  <c r="C54" i="10"/>
  <c r="C81" i="10" s="1"/>
  <c r="C108" i="10" s="1"/>
  <c r="B54" i="10"/>
  <c r="B81" i="10" s="1"/>
  <c r="B108" i="10" s="1"/>
  <c r="D53" i="10"/>
  <c r="D80" i="10" s="1"/>
  <c r="D107" i="10" s="1"/>
  <c r="C53" i="10"/>
  <c r="C80" i="10" s="1"/>
  <c r="C107" i="10" s="1"/>
  <c r="B53" i="10"/>
  <c r="B80" i="10" s="1"/>
  <c r="B107" i="10" s="1"/>
  <c r="D52" i="10"/>
  <c r="D79" i="10" s="1"/>
  <c r="D106" i="10" s="1"/>
  <c r="C52" i="10"/>
  <c r="C79" i="10" s="1"/>
  <c r="C106" i="10" s="1"/>
  <c r="B52" i="10"/>
  <c r="B79" i="10" s="1"/>
  <c r="B106" i="10" s="1"/>
  <c r="D51" i="10"/>
  <c r="D78" i="10" s="1"/>
  <c r="D105" i="10" s="1"/>
  <c r="C51" i="10"/>
  <c r="C78" i="10" s="1"/>
  <c r="C105" i="10" s="1"/>
  <c r="B51" i="10"/>
  <c r="B78" i="10" s="1"/>
  <c r="B105" i="10" s="1"/>
  <c r="D50" i="10"/>
  <c r="D77" i="10" s="1"/>
  <c r="D104" i="10" s="1"/>
  <c r="C50" i="10"/>
  <c r="C77" i="10" s="1"/>
  <c r="C104" i="10" s="1"/>
  <c r="B50" i="10"/>
  <c r="B77" i="10" s="1"/>
  <c r="B104" i="10" s="1"/>
  <c r="D49" i="10"/>
  <c r="D76" i="10" s="1"/>
  <c r="D103" i="10" s="1"/>
  <c r="C49" i="10"/>
  <c r="C76" i="10" s="1"/>
  <c r="C103" i="10" s="1"/>
  <c r="B49" i="10"/>
  <c r="B76" i="10" s="1"/>
  <c r="B103" i="10" s="1"/>
  <c r="D48" i="10"/>
  <c r="D75" i="10" s="1"/>
  <c r="D102" i="10" s="1"/>
  <c r="C48" i="10"/>
  <c r="C75" i="10" s="1"/>
  <c r="C102" i="10" s="1"/>
  <c r="B48" i="10"/>
  <c r="B75" i="10" s="1"/>
  <c r="B102" i="10" s="1"/>
  <c r="D47" i="10"/>
  <c r="D74" i="10" s="1"/>
  <c r="D101" i="10" s="1"/>
  <c r="C47" i="10"/>
  <c r="C74" i="10" s="1"/>
  <c r="C101" i="10" s="1"/>
  <c r="B47" i="10"/>
  <c r="B74" i="10" s="1"/>
  <c r="B101" i="10" s="1"/>
  <c r="D46" i="10"/>
  <c r="D73" i="10" s="1"/>
  <c r="D100" i="10" s="1"/>
  <c r="C46" i="10"/>
  <c r="C73" i="10" s="1"/>
  <c r="C100" i="10" s="1"/>
  <c r="B46" i="10"/>
  <c r="B73" i="10" s="1"/>
  <c r="B100" i="10" s="1"/>
  <c r="D45" i="10"/>
  <c r="D72" i="10" s="1"/>
  <c r="D99" i="10" s="1"/>
  <c r="C45" i="10"/>
  <c r="C72" i="10" s="1"/>
  <c r="C99" i="10" s="1"/>
  <c r="B45" i="10"/>
  <c r="B72" i="10" s="1"/>
  <c r="B99" i="10" s="1"/>
  <c r="D44" i="10"/>
  <c r="D71" i="10" s="1"/>
  <c r="D98" i="10" s="1"/>
  <c r="C44" i="10"/>
  <c r="C71" i="10" s="1"/>
  <c r="C98" i="10" s="1"/>
  <c r="B44" i="10"/>
  <c r="B71" i="10" s="1"/>
  <c r="B98" i="10" s="1"/>
  <c r="D43" i="10"/>
  <c r="D70" i="10" s="1"/>
  <c r="D97" i="10" s="1"/>
  <c r="C43" i="10"/>
  <c r="C70" i="10" s="1"/>
  <c r="C97" i="10" s="1"/>
  <c r="B43" i="10"/>
  <c r="B70" i="10" s="1"/>
  <c r="B97" i="10" s="1"/>
  <c r="D42" i="10"/>
  <c r="D69" i="10" s="1"/>
  <c r="D96" i="10" s="1"/>
  <c r="C42" i="10"/>
  <c r="C69" i="10" s="1"/>
  <c r="C96" i="10" s="1"/>
  <c r="B42" i="10"/>
  <c r="B69" i="10" s="1"/>
  <c r="B96" i="10" s="1"/>
  <c r="D41" i="10"/>
  <c r="D68" i="10" s="1"/>
  <c r="D95" i="10" s="1"/>
  <c r="C41" i="10"/>
  <c r="C68" i="10" s="1"/>
  <c r="C95" i="10" s="1"/>
  <c r="B41" i="10"/>
  <c r="B68" i="10" s="1"/>
  <c r="B95" i="10" s="1"/>
  <c r="D40" i="10"/>
  <c r="D67" i="10" s="1"/>
  <c r="D94" i="10" s="1"/>
  <c r="C40" i="10"/>
  <c r="C67" i="10" s="1"/>
  <c r="C94" i="10" s="1"/>
  <c r="B40" i="10"/>
  <c r="B67" i="10" s="1"/>
  <c r="B94" i="10" s="1"/>
  <c r="D39" i="10"/>
  <c r="D66" i="10" s="1"/>
  <c r="D93" i="10" s="1"/>
  <c r="C39" i="10"/>
  <c r="C66" i="10" s="1"/>
  <c r="C93" i="10" s="1"/>
  <c r="B39" i="10"/>
  <c r="B66" i="10" s="1"/>
  <c r="B93" i="10" s="1"/>
  <c r="D38" i="10"/>
  <c r="D65" i="10" s="1"/>
  <c r="D92" i="10" s="1"/>
  <c r="C38" i="10"/>
  <c r="C65" i="10" s="1"/>
  <c r="C92" i="10" s="1"/>
  <c r="B38" i="10"/>
  <c r="B65" i="10" s="1"/>
  <c r="B92" i="10" s="1"/>
  <c r="D37" i="10"/>
  <c r="D64" i="10" s="1"/>
  <c r="D91" i="10" s="1"/>
  <c r="C37" i="10"/>
  <c r="C64" i="10" s="1"/>
  <c r="C91" i="10" s="1"/>
  <c r="B37" i="10"/>
  <c r="B64" i="10" s="1"/>
  <c r="B91" i="10" s="1"/>
  <c r="D36" i="10"/>
  <c r="D63" i="10" s="1"/>
  <c r="D90" i="10" s="1"/>
  <c r="C36" i="10"/>
  <c r="C63" i="10" s="1"/>
  <c r="C90" i="10" s="1"/>
  <c r="B36" i="10"/>
  <c r="B63" i="10" s="1"/>
  <c r="B90" i="10" s="1"/>
  <c r="D35" i="10"/>
  <c r="D62" i="10" s="1"/>
  <c r="D89" i="10" s="1"/>
  <c r="C35" i="10"/>
  <c r="C62" i="10" s="1"/>
  <c r="C89" i="10" s="1"/>
  <c r="B35" i="10"/>
  <c r="B62" i="10" s="1"/>
  <c r="B89" i="10" s="1"/>
  <c r="D34" i="10"/>
  <c r="D61" i="10" s="1"/>
  <c r="D88" i="10" s="1"/>
  <c r="C34" i="10"/>
  <c r="C61" i="10" s="1"/>
  <c r="C88" i="10" s="1"/>
  <c r="B34" i="10"/>
  <c r="B61" i="10" s="1"/>
  <c r="B88" i="10" s="1"/>
  <c r="D33" i="10"/>
  <c r="D60" i="10" s="1"/>
  <c r="D87" i="10" s="1"/>
  <c r="C33" i="10"/>
  <c r="C60" i="10" s="1"/>
  <c r="C87" i="10" s="1"/>
  <c r="B33" i="10"/>
  <c r="B60" i="10" s="1"/>
  <c r="B87" i="10" s="1"/>
  <c r="D32" i="10"/>
  <c r="C32" i="10"/>
  <c r="B32" i="10"/>
  <c r="B33" i="9"/>
  <c r="B60" i="9" s="1"/>
  <c r="B87" i="9" s="1"/>
  <c r="C33" i="9"/>
  <c r="C60" i="9" s="1"/>
  <c r="C87" i="9" s="1"/>
  <c r="D33" i="9"/>
  <c r="D60" i="9" s="1"/>
  <c r="D87" i="9" s="1"/>
  <c r="B34" i="9"/>
  <c r="B61" i="9" s="1"/>
  <c r="B88" i="9" s="1"/>
  <c r="C34" i="9"/>
  <c r="C61" i="9" s="1"/>
  <c r="C88" i="9" s="1"/>
  <c r="D34" i="9"/>
  <c r="D61" i="9" s="1"/>
  <c r="D88" i="9" s="1"/>
  <c r="B35" i="9"/>
  <c r="B62" i="9" s="1"/>
  <c r="B89" i="9" s="1"/>
  <c r="C35" i="9"/>
  <c r="C62" i="9" s="1"/>
  <c r="C89" i="9" s="1"/>
  <c r="D35" i="9"/>
  <c r="D62" i="9" s="1"/>
  <c r="D89" i="9" s="1"/>
  <c r="B36" i="9"/>
  <c r="B63" i="9" s="1"/>
  <c r="B90" i="9" s="1"/>
  <c r="C36" i="9"/>
  <c r="C63" i="9" s="1"/>
  <c r="C90" i="9" s="1"/>
  <c r="D36" i="9"/>
  <c r="D63" i="9" s="1"/>
  <c r="D90" i="9" s="1"/>
  <c r="B37" i="9"/>
  <c r="B64" i="9" s="1"/>
  <c r="B91" i="9" s="1"/>
  <c r="C37" i="9"/>
  <c r="C64" i="9" s="1"/>
  <c r="C91" i="9" s="1"/>
  <c r="D37" i="9"/>
  <c r="D64" i="9" s="1"/>
  <c r="D91" i="9" s="1"/>
  <c r="B38" i="9"/>
  <c r="B65" i="9" s="1"/>
  <c r="B92" i="9" s="1"/>
  <c r="C38" i="9"/>
  <c r="C65" i="9" s="1"/>
  <c r="C92" i="9" s="1"/>
  <c r="D38" i="9"/>
  <c r="D65" i="9" s="1"/>
  <c r="D92" i="9" s="1"/>
  <c r="B39" i="9"/>
  <c r="B66" i="9" s="1"/>
  <c r="B93" i="9" s="1"/>
  <c r="C39" i="9"/>
  <c r="C66" i="9" s="1"/>
  <c r="C93" i="9" s="1"/>
  <c r="D39" i="9"/>
  <c r="D66" i="9" s="1"/>
  <c r="D93" i="9" s="1"/>
  <c r="B40" i="9"/>
  <c r="B67" i="9" s="1"/>
  <c r="B94" i="9" s="1"/>
  <c r="C40" i="9"/>
  <c r="C67" i="9" s="1"/>
  <c r="C94" i="9" s="1"/>
  <c r="D40" i="9"/>
  <c r="D67" i="9" s="1"/>
  <c r="D94" i="9" s="1"/>
  <c r="B41" i="9"/>
  <c r="B68" i="9" s="1"/>
  <c r="B95" i="9" s="1"/>
  <c r="C41" i="9"/>
  <c r="C68" i="9" s="1"/>
  <c r="C95" i="9" s="1"/>
  <c r="D41" i="9"/>
  <c r="D68" i="9" s="1"/>
  <c r="D95" i="9" s="1"/>
  <c r="B42" i="9"/>
  <c r="B69" i="9" s="1"/>
  <c r="B96" i="9" s="1"/>
  <c r="C42" i="9"/>
  <c r="C69" i="9" s="1"/>
  <c r="C96" i="9" s="1"/>
  <c r="D42" i="9"/>
  <c r="D69" i="9" s="1"/>
  <c r="D96" i="9" s="1"/>
  <c r="B43" i="9"/>
  <c r="B70" i="9" s="1"/>
  <c r="B97" i="9" s="1"/>
  <c r="C43" i="9"/>
  <c r="C70" i="9" s="1"/>
  <c r="C97" i="9" s="1"/>
  <c r="D43" i="9"/>
  <c r="D70" i="9" s="1"/>
  <c r="D97" i="9" s="1"/>
  <c r="B44" i="9"/>
  <c r="B71" i="9" s="1"/>
  <c r="B98" i="9" s="1"/>
  <c r="C44" i="9"/>
  <c r="C71" i="9" s="1"/>
  <c r="C98" i="9" s="1"/>
  <c r="D44" i="9"/>
  <c r="D71" i="9" s="1"/>
  <c r="D98" i="9" s="1"/>
  <c r="B45" i="9"/>
  <c r="B72" i="9" s="1"/>
  <c r="B99" i="9" s="1"/>
  <c r="C45" i="9"/>
  <c r="C72" i="9" s="1"/>
  <c r="C99" i="9" s="1"/>
  <c r="D45" i="9"/>
  <c r="D72" i="9" s="1"/>
  <c r="D99" i="9" s="1"/>
  <c r="B46" i="9"/>
  <c r="B73" i="9" s="1"/>
  <c r="B100" i="9" s="1"/>
  <c r="C46" i="9"/>
  <c r="C73" i="9" s="1"/>
  <c r="C100" i="9" s="1"/>
  <c r="D46" i="9"/>
  <c r="D73" i="9" s="1"/>
  <c r="D100" i="9" s="1"/>
  <c r="B47" i="9"/>
  <c r="B74" i="9" s="1"/>
  <c r="B101" i="9" s="1"/>
  <c r="C47" i="9"/>
  <c r="C74" i="9" s="1"/>
  <c r="C101" i="9" s="1"/>
  <c r="D47" i="9"/>
  <c r="D74" i="9" s="1"/>
  <c r="D101" i="9" s="1"/>
  <c r="B48" i="9"/>
  <c r="B75" i="9" s="1"/>
  <c r="B102" i="9" s="1"/>
  <c r="C48" i="9"/>
  <c r="C75" i="9" s="1"/>
  <c r="C102" i="9" s="1"/>
  <c r="D48" i="9"/>
  <c r="D75" i="9" s="1"/>
  <c r="D102" i="9" s="1"/>
  <c r="B49" i="9"/>
  <c r="B76" i="9" s="1"/>
  <c r="B103" i="9" s="1"/>
  <c r="C49" i="9"/>
  <c r="C76" i="9" s="1"/>
  <c r="C103" i="9" s="1"/>
  <c r="D49" i="9"/>
  <c r="D76" i="9" s="1"/>
  <c r="D103" i="9" s="1"/>
  <c r="B50" i="9"/>
  <c r="B77" i="9" s="1"/>
  <c r="B104" i="9" s="1"/>
  <c r="C50" i="9"/>
  <c r="C77" i="9" s="1"/>
  <c r="C104" i="9" s="1"/>
  <c r="D50" i="9"/>
  <c r="D77" i="9" s="1"/>
  <c r="D104" i="9" s="1"/>
  <c r="B51" i="9"/>
  <c r="B78" i="9" s="1"/>
  <c r="B105" i="9" s="1"/>
  <c r="C51" i="9"/>
  <c r="C78" i="9" s="1"/>
  <c r="C105" i="9" s="1"/>
  <c r="D51" i="9"/>
  <c r="D78" i="9" s="1"/>
  <c r="D105" i="9" s="1"/>
  <c r="B52" i="9"/>
  <c r="B79" i="9" s="1"/>
  <c r="B106" i="9" s="1"/>
  <c r="C52" i="9"/>
  <c r="C79" i="9" s="1"/>
  <c r="C106" i="9" s="1"/>
  <c r="D52" i="9"/>
  <c r="D79" i="9" s="1"/>
  <c r="D106" i="9" s="1"/>
  <c r="B53" i="9"/>
  <c r="B80" i="9" s="1"/>
  <c r="B107" i="9" s="1"/>
  <c r="C53" i="9"/>
  <c r="C80" i="9" s="1"/>
  <c r="C107" i="9" s="1"/>
  <c r="D53" i="9"/>
  <c r="D80" i="9" s="1"/>
  <c r="D107" i="9" s="1"/>
  <c r="B54" i="9"/>
  <c r="B81" i="9" s="1"/>
  <c r="B108" i="9" s="1"/>
  <c r="C54" i="9"/>
  <c r="C81" i="9" s="1"/>
  <c r="C108" i="9" s="1"/>
  <c r="D54" i="9"/>
  <c r="D81" i="9" s="1"/>
  <c r="D108" i="9" s="1"/>
  <c r="B55" i="9"/>
  <c r="B82" i="9" s="1"/>
  <c r="B109" i="9" s="1"/>
  <c r="C55" i="9"/>
  <c r="C82" i="9" s="1"/>
  <c r="C109" i="9" s="1"/>
  <c r="D55" i="9"/>
  <c r="D82" i="9" s="1"/>
  <c r="D109" i="9" s="1"/>
  <c r="C32" i="9"/>
  <c r="C59" i="9" s="1"/>
  <c r="C86" i="9" s="1"/>
  <c r="D32" i="9"/>
  <c r="B32" i="9"/>
  <c r="E13" i="19"/>
  <c r="E14" i="19" s="1"/>
  <c r="D9" i="19"/>
  <c r="D10" i="19"/>
  <c r="A2" i="19"/>
  <c r="E72" i="19"/>
  <c r="D72" i="19"/>
  <c r="C72" i="19"/>
  <c r="B72" i="19"/>
  <c r="E71" i="19"/>
  <c r="D71" i="19"/>
  <c r="C71" i="19"/>
  <c r="B71" i="19"/>
  <c r="E70" i="19"/>
  <c r="D70" i="19"/>
  <c r="C70" i="19"/>
  <c r="B70" i="19"/>
  <c r="E69" i="19"/>
  <c r="D69" i="19"/>
  <c r="C69" i="19"/>
  <c r="B69" i="19"/>
  <c r="A5" i="19"/>
  <c r="A4" i="19"/>
  <c r="A3" i="19"/>
  <c r="C110" i="9" l="1"/>
  <c r="B59" i="10"/>
  <c r="B56" i="10"/>
  <c r="B56" i="9"/>
  <c r="B59" i="9"/>
  <c r="C59" i="10"/>
  <c r="C56" i="10"/>
  <c r="D59" i="10"/>
  <c r="D56" i="10"/>
  <c r="D59" i="9"/>
  <c r="D56" i="9"/>
  <c r="C83" i="9"/>
  <c r="C56" i="9"/>
  <c r="K109" i="10"/>
  <c r="J109" i="10"/>
  <c r="I109" i="10"/>
  <c r="K108" i="10"/>
  <c r="J108" i="10"/>
  <c r="I108" i="10"/>
  <c r="K107" i="10"/>
  <c r="J107" i="10"/>
  <c r="I107" i="10"/>
  <c r="K106" i="10"/>
  <c r="J106" i="10"/>
  <c r="I106" i="10"/>
  <c r="K105" i="10"/>
  <c r="J105" i="10"/>
  <c r="I105" i="10"/>
  <c r="K104" i="10"/>
  <c r="J104" i="10"/>
  <c r="I104" i="10"/>
  <c r="K103" i="10"/>
  <c r="J103" i="10"/>
  <c r="I103" i="10"/>
  <c r="K102" i="10"/>
  <c r="J102" i="10"/>
  <c r="I102" i="10"/>
  <c r="K101" i="10"/>
  <c r="J101" i="10"/>
  <c r="I101" i="10"/>
  <c r="K100" i="10"/>
  <c r="J100" i="10"/>
  <c r="I100" i="10"/>
  <c r="K99" i="10"/>
  <c r="J99" i="10"/>
  <c r="I99" i="10"/>
  <c r="K98" i="10"/>
  <c r="J98" i="10"/>
  <c r="I98" i="10"/>
  <c r="K97" i="10"/>
  <c r="J97" i="10"/>
  <c r="I97" i="10"/>
  <c r="K96" i="10"/>
  <c r="J96" i="10"/>
  <c r="I96" i="10"/>
  <c r="K95" i="10"/>
  <c r="J95" i="10"/>
  <c r="I95" i="10"/>
  <c r="K94" i="10"/>
  <c r="J94" i="10"/>
  <c r="I94" i="10"/>
  <c r="K93" i="10"/>
  <c r="J93" i="10"/>
  <c r="I93" i="10"/>
  <c r="K92" i="10"/>
  <c r="J92" i="10"/>
  <c r="I92" i="10"/>
  <c r="K91" i="10"/>
  <c r="J91" i="10"/>
  <c r="I91" i="10"/>
  <c r="K90" i="10"/>
  <c r="J90" i="10"/>
  <c r="I90" i="10"/>
  <c r="K89" i="10"/>
  <c r="J89" i="10"/>
  <c r="I89" i="10"/>
  <c r="K88" i="10"/>
  <c r="J88" i="10"/>
  <c r="I88" i="10"/>
  <c r="K87" i="10"/>
  <c r="J87" i="10"/>
  <c r="I87" i="10"/>
  <c r="K86" i="10"/>
  <c r="J86" i="10"/>
  <c r="I86" i="10"/>
  <c r="K82" i="10"/>
  <c r="J82" i="10"/>
  <c r="I82" i="10"/>
  <c r="K81" i="10"/>
  <c r="J81" i="10"/>
  <c r="I81" i="10"/>
  <c r="K80" i="10"/>
  <c r="J80" i="10"/>
  <c r="I80" i="10"/>
  <c r="K79" i="10"/>
  <c r="J79" i="10"/>
  <c r="I79" i="10"/>
  <c r="K78" i="10"/>
  <c r="J78" i="10"/>
  <c r="I78" i="10"/>
  <c r="K77" i="10"/>
  <c r="J77" i="10"/>
  <c r="I77" i="10"/>
  <c r="K76" i="10"/>
  <c r="J76" i="10"/>
  <c r="I76" i="10"/>
  <c r="K75" i="10"/>
  <c r="J75" i="10"/>
  <c r="I75" i="10"/>
  <c r="K74" i="10"/>
  <c r="J74" i="10"/>
  <c r="I74" i="10"/>
  <c r="K73" i="10"/>
  <c r="J73" i="10"/>
  <c r="I73" i="10"/>
  <c r="K72" i="10"/>
  <c r="J72" i="10"/>
  <c r="I72" i="10"/>
  <c r="K71" i="10"/>
  <c r="J71" i="10"/>
  <c r="I71" i="10"/>
  <c r="K70" i="10"/>
  <c r="J70" i="10"/>
  <c r="I70" i="10"/>
  <c r="K69" i="10"/>
  <c r="J69" i="10"/>
  <c r="I69" i="10"/>
  <c r="K68" i="10"/>
  <c r="J68" i="10"/>
  <c r="I68" i="10"/>
  <c r="K67" i="10"/>
  <c r="J67" i="10"/>
  <c r="I67" i="10"/>
  <c r="K66" i="10"/>
  <c r="J66" i="10"/>
  <c r="I66" i="10"/>
  <c r="K65" i="10"/>
  <c r="J65" i="10"/>
  <c r="I65" i="10"/>
  <c r="K64" i="10"/>
  <c r="J64" i="10"/>
  <c r="I64" i="10"/>
  <c r="K63" i="10"/>
  <c r="J63" i="10"/>
  <c r="I63" i="10"/>
  <c r="K62" i="10"/>
  <c r="J62" i="10"/>
  <c r="I62" i="10"/>
  <c r="K61" i="10"/>
  <c r="J61" i="10"/>
  <c r="I61" i="10"/>
  <c r="K60" i="10"/>
  <c r="J60" i="10"/>
  <c r="I60" i="10"/>
  <c r="K59" i="10"/>
  <c r="J59" i="10"/>
  <c r="I59" i="10"/>
  <c r="K55" i="10"/>
  <c r="J55" i="10"/>
  <c r="K54" i="10"/>
  <c r="J54" i="10"/>
  <c r="K53" i="10"/>
  <c r="J53" i="10"/>
  <c r="K52" i="10"/>
  <c r="J52" i="10"/>
  <c r="K51" i="10"/>
  <c r="J51" i="10"/>
  <c r="K50" i="10"/>
  <c r="J50" i="10"/>
  <c r="K49" i="10"/>
  <c r="J49" i="10"/>
  <c r="K48" i="10"/>
  <c r="J48" i="10"/>
  <c r="K47" i="10"/>
  <c r="J47" i="10"/>
  <c r="K46" i="10"/>
  <c r="J46" i="10"/>
  <c r="K45" i="10"/>
  <c r="J45" i="10"/>
  <c r="K44" i="10"/>
  <c r="J44" i="10"/>
  <c r="K43" i="10"/>
  <c r="J43" i="10"/>
  <c r="K42" i="10"/>
  <c r="J42" i="10"/>
  <c r="K41" i="10"/>
  <c r="J41" i="10"/>
  <c r="K40" i="10"/>
  <c r="J40" i="10"/>
  <c r="K39" i="10"/>
  <c r="J39" i="10"/>
  <c r="K38" i="10"/>
  <c r="J38" i="10"/>
  <c r="K37" i="10"/>
  <c r="J37" i="10"/>
  <c r="K36" i="10"/>
  <c r="J36" i="10"/>
  <c r="K35" i="10"/>
  <c r="J35" i="10"/>
  <c r="K34" i="10"/>
  <c r="J34" i="10"/>
  <c r="K33" i="10"/>
  <c r="J33" i="10"/>
  <c r="K32" i="10"/>
  <c r="J32" i="10"/>
  <c r="J5" i="10"/>
  <c r="K5" i="10"/>
  <c r="J6" i="10"/>
  <c r="K6" i="10"/>
  <c r="J7" i="10"/>
  <c r="K7" i="10"/>
  <c r="J8" i="10"/>
  <c r="K8" i="10"/>
  <c r="J9" i="10"/>
  <c r="K9" i="10"/>
  <c r="J10" i="10"/>
  <c r="K10" i="10"/>
  <c r="J11" i="10"/>
  <c r="K11" i="10"/>
  <c r="J12" i="10"/>
  <c r="K12" i="10"/>
  <c r="J13" i="10"/>
  <c r="K13" i="10"/>
  <c r="J14" i="10"/>
  <c r="K14" i="10"/>
  <c r="J15" i="10"/>
  <c r="K15" i="10"/>
  <c r="J16" i="10"/>
  <c r="K16" i="10"/>
  <c r="J17" i="10"/>
  <c r="K17" i="10"/>
  <c r="J18" i="10"/>
  <c r="K18" i="10"/>
  <c r="J19" i="10"/>
  <c r="K19" i="10"/>
  <c r="J20" i="10"/>
  <c r="K20" i="10"/>
  <c r="J21" i="10"/>
  <c r="K21" i="10"/>
  <c r="J22" i="10"/>
  <c r="K22" i="10"/>
  <c r="J23" i="10"/>
  <c r="K23" i="10"/>
  <c r="J24" i="10"/>
  <c r="K24" i="10"/>
  <c r="J25" i="10"/>
  <c r="K25" i="10"/>
  <c r="J26" i="10"/>
  <c r="K26" i="10"/>
  <c r="J27" i="10"/>
  <c r="K27" i="10"/>
  <c r="J28" i="10"/>
  <c r="K28" i="10"/>
  <c r="J83" i="10" l="1"/>
  <c r="J116" i="10" s="1"/>
  <c r="J121" i="10" s="1"/>
  <c r="K56" i="10"/>
  <c r="K115" i="10" s="1"/>
  <c r="K120" i="10" s="1"/>
  <c r="D86" i="10"/>
  <c r="D110" i="10" s="1"/>
  <c r="D83" i="10"/>
  <c r="K29" i="10"/>
  <c r="K114" i="10" s="1"/>
  <c r="K119" i="10" s="1"/>
  <c r="K83" i="10"/>
  <c r="K116" i="10" s="1"/>
  <c r="K121" i="10" s="1"/>
  <c r="K110" i="10"/>
  <c r="K117" i="10" s="1"/>
  <c r="K122" i="10" s="1"/>
  <c r="D86" i="9"/>
  <c r="D110" i="9" s="1"/>
  <c r="D83" i="9"/>
  <c r="C86" i="10"/>
  <c r="C110" i="10" s="1"/>
  <c r="C83" i="10"/>
  <c r="B86" i="10"/>
  <c r="B110" i="10" s="1"/>
  <c r="B83" i="10"/>
  <c r="J110" i="10"/>
  <c r="J117" i="10" s="1"/>
  <c r="J122" i="10" s="1"/>
  <c r="B83" i="9"/>
  <c r="B86" i="9"/>
  <c r="B110" i="9" s="1"/>
  <c r="I83" i="10"/>
  <c r="I116" i="10" s="1"/>
  <c r="I121" i="10" s="1"/>
  <c r="I110" i="10"/>
  <c r="I117" i="10" s="1"/>
  <c r="I122" i="10" s="1"/>
  <c r="J56" i="10"/>
  <c r="J115" i="10" s="1"/>
  <c r="J120" i="10" s="1"/>
  <c r="J29" i="10"/>
  <c r="J114" i="10" s="1"/>
  <c r="J119" i="10" s="1"/>
  <c r="X47" i="10"/>
  <c r="X43" i="10"/>
  <c r="X55" i="10"/>
  <c r="X39" i="10"/>
  <c r="X74" i="10"/>
  <c r="X51" i="10"/>
  <c r="X35" i="10"/>
  <c r="X66" i="10"/>
  <c r="X5" i="10"/>
  <c r="X7" i="10"/>
  <c r="X12" i="10"/>
  <c r="X14" i="10"/>
  <c r="X20" i="10"/>
  <c r="X59" i="10"/>
  <c r="X86" i="10"/>
  <c r="X32" i="10"/>
  <c r="X101" i="10"/>
  <c r="X68" i="10"/>
  <c r="X19" i="10"/>
  <c r="X18" i="10"/>
  <c r="X10" i="10"/>
  <c r="X15" i="10"/>
  <c r="X8" i="10"/>
  <c r="X28" i="10"/>
  <c r="X23" i="10"/>
  <c r="X27" i="10"/>
  <c r="X22" i="10"/>
  <c r="X16" i="10"/>
  <c r="X11" i="10"/>
  <c r="X6" i="10"/>
  <c r="X26" i="10"/>
  <c r="X24" i="10"/>
  <c r="X25" i="10"/>
  <c r="X21" i="10"/>
  <c r="X17" i="10"/>
  <c r="X13" i="10"/>
  <c r="X9" i="10"/>
  <c r="X29" i="10" l="1"/>
  <c r="X114" i="10" s="1"/>
  <c r="X119" i="10" s="1"/>
  <c r="K124" i="10"/>
  <c r="J124" i="10"/>
  <c r="I124" i="10"/>
  <c r="X44" i="10"/>
  <c r="X53" i="10"/>
  <c r="X63" i="10"/>
  <c r="X87" i="10"/>
  <c r="X103" i="10"/>
  <c r="X96" i="10"/>
  <c r="X69" i="10"/>
  <c r="X46" i="10"/>
  <c r="X78" i="10"/>
  <c r="X42" i="10"/>
  <c r="X48" i="10"/>
  <c r="X41" i="10"/>
  <c r="X67" i="10"/>
  <c r="X72" i="10"/>
  <c r="X98" i="10"/>
  <c r="X91" i="10"/>
  <c r="X107" i="10"/>
  <c r="X100" i="10"/>
  <c r="X77" i="10"/>
  <c r="X54" i="10"/>
  <c r="X93" i="10"/>
  <c r="X65" i="10"/>
  <c r="X50" i="10"/>
  <c r="X36" i="10"/>
  <c r="X52" i="10"/>
  <c r="X45" i="10"/>
  <c r="X71" i="10"/>
  <c r="X60" i="10"/>
  <c r="X76" i="10"/>
  <c r="X102" i="10"/>
  <c r="X95" i="10"/>
  <c r="X88" i="10"/>
  <c r="X104" i="10"/>
  <c r="X89" i="10"/>
  <c r="X109" i="10"/>
  <c r="X62" i="10"/>
  <c r="X73" i="10"/>
  <c r="X37" i="10"/>
  <c r="X79" i="10"/>
  <c r="X94" i="10"/>
  <c r="X40" i="10"/>
  <c r="X33" i="10"/>
  <c r="X49" i="10"/>
  <c r="X75" i="10"/>
  <c r="X64" i="10"/>
  <c r="X80" i="10"/>
  <c r="X90" i="10"/>
  <c r="X106" i="10"/>
  <c r="X99" i="10"/>
  <c r="X92" i="10"/>
  <c r="X108" i="10"/>
  <c r="X105" i="10"/>
  <c r="X61" i="10"/>
  <c r="X38" i="10"/>
  <c r="X82" i="10"/>
  <c r="X70" i="10"/>
  <c r="X97" i="10"/>
  <c r="X81" i="10"/>
  <c r="X34" i="10"/>
  <c r="X83" i="10" l="1"/>
  <c r="X116" i="10" s="1"/>
  <c r="X121" i="10" s="1"/>
  <c r="X110" i="10"/>
  <c r="X117" i="10" s="1"/>
  <c r="X122" i="10" s="1"/>
  <c r="X56" i="10"/>
  <c r="X115" i="10" s="1"/>
  <c r="X120" i="10" s="1"/>
  <c r="D11" i="19"/>
  <c r="X124" i="10" l="1"/>
  <c r="C8" i="19"/>
  <c r="C7" i="19"/>
  <c r="C9" i="19"/>
  <c r="C10" i="19"/>
  <c r="E8" i="19"/>
  <c r="E7" i="19"/>
  <c r="F7" i="19" s="1"/>
  <c r="F16" i="19" s="1"/>
  <c r="F22" i="19" s="1"/>
  <c r="E9" i="19"/>
  <c r="E10" i="19"/>
  <c r="F69" i="19" l="1"/>
  <c r="J10" i="19"/>
  <c r="J19" i="19" s="1"/>
  <c r="J72" i="19" s="1"/>
  <c r="J86" i="19" s="1"/>
  <c r="N10" i="19"/>
  <c r="N19" i="19" s="1"/>
  <c r="N72" i="19" s="1"/>
  <c r="N86" i="19" s="1"/>
  <c r="R10" i="19"/>
  <c r="R19" i="19" s="1"/>
  <c r="R72" i="19" s="1"/>
  <c r="R86" i="19" s="1"/>
  <c r="V10" i="19"/>
  <c r="V19" i="19" s="1"/>
  <c r="V72" i="19" s="1"/>
  <c r="V86" i="19" s="1"/>
  <c r="Z10" i="19"/>
  <c r="Z19" i="19" s="1"/>
  <c r="G10" i="19"/>
  <c r="G19" i="19" s="1"/>
  <c r="G72" i="19" s="1"/>
  <c r="G86" i="19" s="1"/>
  <c r="K10" i="19"/>
  <c r="K19" i="19" s="1"/>
  <c r="K72" i="19" s="1"/>
  <c r="K86" i="19" s="1"/>
  <c r="O10" i="19"/>
  <c r="O19" i="19" s="1"/>
  <c r="O72" i="19" s="1"/>
  <c r="O86" i="19" s="1"/>
  <c r="S10" i="19"/>
  <c r="S19" i="19" s="1"/>
  <c r="S72" i="19" s="1"/>
  <c r="S86" i="19" s="1"/>
  <c r="W10" i="19"/>
  <c r="W19" i="19" s="1"/>
  <c r="W72" i="19" s="1"/>
  <c r="W86" i="19" s="1"/>
  <c r="AA10" i="19"/>
  <c r="AA19" i="19" s="1"/>
  <c r="H10" i="19"/>
  <c r="H19" i="19" s="1"/>
  <c r="H72" i="19" s="1"/>
  <c r="H86" i="19" s="1"/>
  <c r="L10" i="19"/>
  <c r="L19" i="19" s="1"/>
  <c r="L72" i="19" s="1"/>
  <c r="L86" i="19" s="1"/>
  <c r="P10" i="19"/>
  <c r="P19" i="19" s="1"/>
  <c r="P72" i="19" s="1"/>
  <c r="P86" i="19" s="1"/>
  <c r="T10" i="19"/>
  <c r="T19" i="19" s="1"/>
  <c r="T72" i="19" s="1"/>
  <c r="T86" i="19" s="1"/>
  <c r="X10" i="19"/>
  <c r="X19" i="19" s="1"/>
  <c r="X72" i="19" s="1"/>
  <c r="X86" i="19" s="1"/>
  <c r="AB10" i="19"/>
  <c r="AB19" i="19" s="1"/>
  <c r="F10" i="19"/>
  <c r="F19" i="19" s="1"/>
  <c r="F72" i="19" s="1"/>
  <c r="F86" i="19" s="1"/>
  <c r="Q10" i="19"/>
  <c r="Q19" i="19" s="1"/>
  <c r="Q72" i="19" s="1"/>
  <c r="Q86" i="19" s="1"/>
  <c r="U10" i="19"/>
  <c r="U19" i="19" s="1"/>
  <c r="U72" i="19" s="1"/>
  <c r="U86" i="19" s="1"/>
  <c r="I10" i="19"/>
  <c r="I19" i="19" s="1"/>
  <c r="I72" i="19" s="1"/>
  <c r="I86" i="19" s="1"/>
  <c r="Y10" i="19"/>
  <c r="Y19" i="19" s="1"/>
  <c r="Y72" i="19" s="1"/>
  <c r="Y86" i="19" s="1"/>
  <c r="M10" i="19"/>
  <c r="M19" i="19" s="1"/>
  <c r="M72" i="19" s="1"/>
  <c r="M86" i="19" s="1"/>
  <c r="AC10" i="19"/>
  <c r="AC19" i="19" s="1"/>
  <c r="G9" i="19"/>
  <c r="G18" i="19" s="1"/>
  <c r="G71" i="19" s="1"/>
  <c r="G85" i="19" s="1"/>
  <c r="K9" i="19"/>
  <c r="K18" i="19" s="1"/>
  <c r="K71" i="19" s="1"/>
  <c r="K85" i="19" s="1"/>
  <c r="O9" i="19"/>
  <c r="O18" i="19" s="1"/>
  <c r="O71" i="19" s="1"/>
  <c r="O85" i="19" s="1"/>
  <c r="L9" i="19"/>
  <c r="L18" i="19" s="1"/>
  <c r="L71" i="19" s="1"/>
  <c r="L85" i="19" s="1"/>
  <c r="Q9" i="19"/>
  <c r="Q18" i="19" s="1"/>
  <c r="Q71" i="19" s="1"/>
  <c r="Q85" i="19" s="1"/>
  <c r="U9" i="19"/>
  <c r="U18" i="19" s="1"/>
  <c r="U71" i="19" s="1"/>
  <c r="U85" i="19" s="1"/>
  <c r="Y9" i="19"/>
  <c r="Y18" i="19" s="1"/>
  <c r="Y71" i="19" s="1"/>
  <c r="Y85" i="19" s="1"/>
  <c r="AC9" i="19"/>
  <c r="AC18" i="19" s="1"/>
  <c r="H9" i="19"/>
  <c r="H18" i="19" s="1"/>
  <c r="H71" i="19" s="1"/>
  <c r="H85" i="19" s="1"/>
  <c r="M9" i="19"/>
  <c r="M18" i="19" s="1"/>
  <c r="M71" i="19" s="1"/>
  <c r="M85" i="19" s="1"/>
  <c r="R9" i="19"/>
  <c r="R18" i="19" s="1"/>
  <c r="R71" i="19" s="1"/>
  <c r="R85" i="19" s="1"/>
  <c r="V9" i="19"/>
  <c r="V18" i="19" s="1"/>
  <c r="V71" i="19" s="1"/>
  <c r="V85" i="19" s="1"/>
  <c r="Z9" i="19"/>
  <c r="Z18" i="19" s="1"/>
  <c r="F9" i="19"/>
  <c r="F18" i="19" s="1"/>
  <c r="F71" i="19" s="1"/>
  <c r="F85" i="19" s="1"/>
  <c r="I9" i="19"/>
  <c r="I18" i="19" s="1"/>
  <c r="I71" i="19" s="1"/>
  <c r="I85" i="19" s="1"/>
  <c r="N9" i="19"/>
  <c r="N18" i="19" s="1"/>
  <c r="N71" i="19" s="1"/>
  <c r="N85" i="19" s="1"/>
  <c r="S9" i="19"/>
  <c r="S18" i="19" s="1"/>
  <c r="S71" i="19" s="1"/>
  <c r="S85" i="19" s="1"/>
  <c r="W9" i="19"/>
  <c r="W18" i="19" s="1"/>
  <c r="W71" i="19" s="1"/>
  <c r="W85" i="19" s="1"/>
  <c r="AA9" i="19"/>
  <c r="AA18" i="19" s="1"/>
  <c r="X9" i="19"/>
  <c r="X18" i="19" s="1"/>
  <c r="J9" i="19"/>
  <c r="J18" i="19" s="1"/>
  <c r="J71" i="19" s="1"/>
  <c r="J85" i="19" s="1"/>
  <c r="AB9" i="19"/>
  <c r="AB18" i="19" s="1"/>
  <c r="P9" i="19"/>
  <c r="P18" i="19" s="1"/>
  <c r="P71" i="19" s="1"/>
  <c r="P85" i="19" s="1"/>
  <c r="T9" i="19"/>
  <c r="T18" i="19" s="1"/>
  <c r="T71" i="19" s="1"/>
  <c r="T85" i="19" s="1"/>
  <c r="I7" i="19"/>
  <c r="I16" i="19" s="1"/>
  <c r="I69" i="19" s="1"/>
  <c r="I83" i="19" s="1"/>
  <c r="M7" i="19"/>
  <c r="M16" i="19" s="1"/>
  <c r="M69" i="19" s="1"/>
  <c r="M83" i="19" s="1"/>
  <c r="Q7" i="19"/>
  <c r="Q16" i="19" s="1"/>
  <c r="Q69" i="19" s="1"/>
  <c r="Q83" i="19" s="1"/>
  <c r="U7" i="19"/>
  <c r="U16" i="19" s="1"/>
  <c r="U69" i="19" s="1"/>
  <c r="U83" i="19" s="1"/>
  <c r="Y7" i="19"/>
  <c r="Y16" i="19" s="1"/>
  <c r="Y69" i="19" s="1"/>
  <c r="Y83" i="19" s="1"/>
  <c r="AC7" i="19"/>
  <c r="AC16" i="19" s="1"/>
  <c r="J7" i="19"/>
  <c r="J16" i="19" s="1"/>
  <c r="J69" i="19" s="1"/>
  <c r="J83" i="19" s="1"/>
  <c r="O7" i="19"/>
  <c r="O16" i="19" s="1"/>
  <c r="O69" i="19" s="1"/>
  <c r="O83" i="19" s="1"/>
  <c r="T7" i="19"/>
  <c r="T16" i="19" s="1"/>
  <c r="T69" i="19" s="1"/>
  <c r="T83" i="19" s="1"/>
  <c r="Z7" i="19"/>
  <c r="Z16" i="19" s="1"/>
  <c r="K7" i="19"/>
  <c r="K16" i="19" s="1"/>
  <c r="K69" i="19" s="1"/>
  <c r="K83" i="19" s="1"/>
  <c r="P7" i="19"/>
  <c r="P16" i="19" s="1"/>
  <c r="P69" i="19" s="1"/>
  <c r="P83" i="19" s="1"/>
  <c r="V7" i="19"/>
  <c r="V16" i="19" s="1"/>
  <c r="V69" i="19" s="1"/>
  <c r="V83" i="19" s="1"/>
  <c r="AA7" i="19"/>
  <c r="AA16" i="19" s="1"/>
  <c r="G7" i="19"/>
  <c r="G16" i="19" s="1"/>
  <c r="G69" i="19" s="1"/>
  <c r="G83" i="19" s="1"/>
  <c r="L7" i="19"/>
  <c r="L16" i="19" s="1"/>
  <c r="L69" i="19" s="1"/>
  <c r="L83" i="19" s="1"/>
  <c r="R7" i="19"/>
  <c r="R16" i="19" s="1"/>
  <c r="R69" i="19" s="1"/>
  <c r="R83" i="19" s="1"/>
  <c r="W7" i="19"/>
  <c r="W16" i="19" s="1"/>
  <c r="W69" i="19" s="1"/>
  <c r="W83" i="19" s="1"/>
  <c r="AB7" i="19"/>
  <c r="AB16" i="19" s="1"/>
  <c r="H7" i="19"/>
  <c r="H16" i="19" s="1"/>
  <c r="H69" i="19" s="1"/>
  <c r="H83" i="19" s="1"/>
  <c r="N7" i="19"/>
  <c r="N16" i="19" s="1"/>
  <c r="N69" i="19" s="1"/>
  <c r="N83" i="19" s="1"/>
  <c r="S7" i="19"/>
  <c r="S16" i="19" s="1"/>
  <c r="S69" i="19" s="1"/>
  <c r="S83" i="19" s="1"/>
  <c r="X7" i="19"/>
  <c r="X16" i="19" s="1"/>
  <c r="X69" i="19" s="1"/>
  <c r="X83" i="19" s="1"/>
  <c r="J8" i="19"/>
  <c r="J17" i="19" s="1"/>
  <c r="J70" i="19" s="1"/>
  <c r="J84" i="19" s="1"/>
  <c r="N8" i="19"/>
  <c r="N17" i="19" s="1"/>
  <c r="N70" i="19" s="1"/>
  <c r="N84" i="19" s="1"/>
  <c r="R8" i="19"/>
  <c r="R17" i="19" s="1"/>
  <c r="R70" i="19" s="1"/>
  <c r="R84" i="19" s="1"/>
  <c r="V8" i="19"/>
  <c r="V17" i="19" s="1"/>
  <c r="V70" i="19" s="1"/>
  <c r="V84" i="19" s="1"/>
  <c r="Z8" i="19"/>
  <c r="Z17" i="19" s="1"/>
  <c r="H8" i="19"/>
  <c r="H17" i="19" s="1"/>
  <c r="H70" i="19" s="1"/>
  <c r="H84" i="19" s="1"/>
  <c r="M8" i="19"/>
  <c r="M17" i="19" s="1"/>
  <c r="M70" i="19" s="1"/>
  <c r="M84" i="19" s="1"/>
  <c r="S8" i="19"/>
  <c r="S17" i="19" s="1"/>
  <c r="S70" i="19" s="1"/>
  <c r="S84" i="19" s="1"/>
  <c r="X8" i="19"/>
  <c r="X17" i="19" s="1"/>
  <c r="X70" i="19" s="1"/>
  <c r="X84" i="19" s="1"/>
  <c r="AC8" i="19"/>
  <c r="AC17" i="19" s="1"/>
  <c r="F8" i="19"/>
  <c r="F17" i="19" s="1"/>
  <c r="F70" i="19" s="1"/>
  <c r="F84" i="19" s="1"/>
  <c r="I8" i="19"/>
  <c r="I17" i="19" s="1"/>
  <c r="I70" i="19" s="1"/>
  <c r="I84" i="19" s="1"/>
  <c r="O8" i="19"/>
  <c r="O17" i="19" s="1"/>
  <c r="O70" i="19" s="1"/>
  <c r="O84" i="19" s="1"/>
  <c r="T8" i="19"/>
  <c r="T17" i="19" s="1"/>
  <c r="T70" i="19" s="1"/>
  <c r="T84" i="19" s="1"/>
  <c r="Y8" i="19"/>
  <c r="Y17" i="19" s="1"/>
  <c r="Y70" i="19" s="1"/>
  <c r="Y84" i="19" s="1"/>
  <c r="K8" i="19"/>
  <c r="K17" i="19" s="1"/>
  <c r="K70" i="19" s="1"/>
  <c r="K84" i="19" s="1"/>
  <c r="P8" i="19"/>
  <c r="P17" i="19" s="1"/>
  <c r="P70" i="19" s="1"/>
  <c r="P84" i="19" s="1"/>
  <c r="U8" i="19"/>
  <c r="U17" i="19" s="1"/>
  <c r="U70" i="19" s="1"/>
  <c r="U84" i="19" s="1"/>
  <c r="AA8" i="19"/>
  <c r="AA17" i="19" s="1"/>
  <c r="G8" i="19"/>
  <c r="G17" i="19" s="1"/>
  <c r="G70" i="19" s="1"/>
  <c r="G84" i="19" s="1"/>
  <c r="AB8" i="19"/>
  <c r="AB17" i="19" s="1"/>
  <c r="L8" i="19"/>
  <c r="L17" i="19" s="1"/>
  <c r="L70" i="19" s="1"/>
  <c r="L84" i="19" s="1"/>
  <c r="Q8" i="19"/>
  <c r="Q17" i="19" s="1"/>
  <c r="Q70" i="19" s="1"/>
  <c r="Q84" i="19" s="1"/>
  <c r="W8" i="19"/>
  <c r="W17" i="19" s="1"/>
  <c r="W70" i="19" s="1"/>
  <c r="W84" i="19" s="1"/>
  <c r="X71" i="19" l="1"/>
  <c r="X85" i="19" s="1"/>
  <c r="F83" i="19"/>
  <c r="AB22" i="19"/>
  <c r="AB31" i="19" s="1"/>
  <c r="AB69" i="19"/>
  <c r="AB83" i="19" s="1"/>
  <c r="AA71" i="19"/>
  <c r="AA85" i="19" s="1"/>
  <c r="AA24" i="19"/>
  <c r="AA33" i="19" s="1"/>
  <c r="AA72" i="19"/>
  <c r="AA86" i="19" s="1"/>
  <c r="AA25" i="19"/>
  <c r="AA34" i="19" s="1"/>
  <c r="AB23" i="19"/>
  <c r="AB32" i="19" s="1"/>
  <c r="AB70" i="19"/>
  <c r="AB84" i="19" s="1"/>
  <c r="Z70" i="19"/>
  <c r="Z84" i="19" s="1"/>
  <c r="Z23" i="19"/>
  <c r="Z32" i="19" s="1"/>
  <c r="AC71" i="19"/>
  <c r="AC85" i="19" s="1"/>
  <c r="AC24" i="19"/>
  <c r="AC33" i="19" s="1"/>
  <c r="AC72" i="19"/>
  <c r="AC86" i="19" s="1"/>
  <c r="AC25" i="19"/>
  <c r="AC34" i="19" s="1"/>
  <c r="AA70" i="19"/>
  <c r="AA84" i="19" s="1"/>
  <c r="AA23" i="19"/>
  <c r="AA32" i="19" s="1"/>
  <c r="AA22" i="19"/>
  <c r="AA31" i="19" s="1"/>
  <c r="AA69" i="19"/>
  <c r="AA83" i="19" s="1"/>
  <c r="Z69" i="19"/>
  <c r="Z83" i="19" s="1"/>
  <c r="Z22" i="19"/>
  <c r="Z31" i="19" s="1"/>
  <c r="AC69" i="19"/>
  <c r="AC83" i="19" s="1"/>
  <c r="AC22" i="19"/>
  <c r="AC31" i="19" s="1"/>
  <c r="AB24" i="19"/>
  <c r="AB33" i="19" s="1"/>
  <c r="AB71" i="19"/>
  <c r="AB85" i="19" s="1"/>
  <c r="AC70" i="19"/>
  <c r="AC84" i="19" s="1"/>
  <c r="AC23" i="19"/>
  <c r="AC32" i="19" s="1"/>
  <c r="Z24" i="19"/>
  <c r="Z33" i="19" s="1"/>
  <c r="Z71" i="19"/>
  <c r="Z85" i="19" s="1"/>
  <c r="AB72" i="19"/>
  <c r="AB86" i="19" s="1"/>
  <c r="AB25" i="19"/>
  <c r="AB34" i="19" s="1"/>
  <c r="Z72" i="19"/>
  <c r="Z86" i="19" s="1"/>
  <c r="Z25" i="19"/>
  <c r="Z34" i="19" s="1"/>
  <c r="S23" i="19"/>
  <c r="S32" i="19" s="1"/>
  <c r="P22" i="19"/>
  <c r="I24" i="19"/>
  <c r="I33" i="19" s="1"/>
  <c r="H25" i="19"/>
  <c r="P25" i="19"/>
  <c r="M23" i="19"/>
  <c r="Q22" i="19"/>
  <c r="Y22" i="19"/>
  <c r="Y31" i="19" s="1"/>
  <c r="U24" i="19"/>
  <c r="Q24" i="19"/>
  <c r="G24" i="19"/>
  <c r="G33" i="19" s="1"/>
  <c r="F24" i="19"/>
  <c r="W24" i="19"/>
  <c r="W33" i="19" s="1"/>
  <c r="K25" i="19"/>
  <c r="K34" i="19" s="1"/>
  <c r="N25" i="19"/>
  <c r="V25" i="19"/>
  <c r="I25" i="19"/>
  <c r="L25" i="19"/>
  <c r="L34" i="19" s="1"/>
  <c r="I23" i="19"/>
  <c r="I32" i="19" s="1"/>
  <c r="U23" i="19"/>
  <c r="U32" i="19" s="1"/>
  <c r="N22" i="19"/>
  <c r="N31" i="19" s="1"/>
  <c r="V22" i="19"/>
  <c r="V31" i="19" s="1"/>
  <c r="H24" i="19"/>
  <c r="R24" i="19"/>
  <c r="R33" i="19" s="1"/>
  <c r="Y25" i="19"/>
  <c r="F25" i="19"/>
  <c r="J23" i="19"/>
  <c r="L23" i="19"/>
  <c r="L22" i="19"/>
  <c r="T23" i="19"/>
  <c r="T32" i="19" s="1"/>
  <c r="G23" i="19"/>
  <c r="G32" i="19" s="1"/>
  <c r="W23" i="19"/>
  <c r="P23" i="19"/>
  <c r="S22" i="19"/>
  <c r="S31" i="19" s="1"/>
  <c r="H22" i="19"/>
  <c r="H31" i="19" s="1"/>
  <c r="W22" i="19"/>
  <c r="W31" i="19" s="1"/>
  <c r="K22" i="19"/>
  <c r="K31" i="19" s="1"/>
  <c r="T24" i="19"/>
  <c r="T33" i="19" s="1"/>
  <c r="N24" i="19"/>
  <c r="P24" i="19"/>
  <c r="L24" i="19"/>
  <c r="K24" i="19"/>
  <c r="K33" i="19" s="1"/>
  <c r="J25" i="19"/>
  <c r="J34" i="19" s="1"/>
  <c r="T25" i="19"/>
  <c r="G25" i="19"/>
  <c r="G34" i="19" s="1"/>
  <c r="M25" i="19"/>
  <c r="M34" i="19" s="1"/>
  <c r="Q25" i="19"/>
  <c r="Q34" i="19" s="1"/>
  <c r="X23" i="19"/>
  <c r="Q23" i="19"/>
  <c r="Q32" i="19" s="1"/>
  <c r="O22" i="19"/>
  <c r="O31" i="19" s="1"/>
  <c r="R22" i="19"/>
  <c r="R31" i="19" s="1"/>
  <c r="M24" i="19"/>
  <c r="M33" i="19" s="1"/>
  <c r="O24" i="19"/>
  <c r="O33" i="19" s="1"/>
  <c r="U25" i="19"/>
  <c r="U34" i="19" s="1"/>
  <c r="R25" i="19"/>
  <c r="R34" i="19" s="1"/>
  <c r="R23" i="19"/>
  <c r="R32" i="19" s="1"/>
  <c r="O23" i="19"/>
  <c r="O32" i="19" s="1"/>
  <c r="G22" i="19"/>
  <c r="X22" i="19"/>
  <c r="X31" i="19" s="1"/>
  <c r="F23" i="19"/>
  <c r="V23" i="19"/>
  <c r="H23" i="19"/>
  <c r="H32" i="19" s="1"/>
  <c r="K23" i="19"/>
  <c r="N23" i="19"/>
  <c r="Y23" i="19"/>
  <c r="Y32" i="19" s="1"/>
  <c r="U22" i="19"/>
  <c r="U31" i="19" s="1"/>
  <c r="M22" i="19"/>
  <c r="I22" i="19"/>
  <c r="J22" i="19"/>
  <c r="T22" i="19"/>
  <c r="T31" i="19" s="1"/>
  <c r="V24" i="19"/>
  <c r="S24" i="19"/>
  <c r="S33" i="19" s="1"/>
  <c r="Y24" i="19"/>
  <c r="Y33" i="19" s="1"/>
  <c r="X24" i="19"/>
  <c r="X33" i="19" s="1"/>
  <c r="J24" i="19"/>
  <c r="J33" i="19" s="1"/>
  <c r="X25" i="19"/>
  <c r="O25" i="19"/>
  <c r="S25" i="19"/>
  <c r="S34" i="19" s="1"/>
  <c r="W25" i="19"/>
  <c r="W34" i="19" s="1"/>
  <c r="A55" i="19" l="1"/>
  <c r="M62" i="19"/>
  <c r="P62" i="19"/>
  <c r="J62" i="19"/>
  <c r="J31" i="19"/>
  <c r="F32" i="19"/>
  <c r="T32" i="9" a="1"/>
  <c r="T59" i="9" a="1"/>
  <c r="M31" i="19"/>
  <c r="T86" i="9" a="1"/>
  <c r="T5" i="9" a="1"/>
  <c r="V33" i="19"/>
  <c r="N33" i="19"/>
  <c r="J32" i="19"/>
  <c r="H33" i="19"/>
  <c r="N34" i="19"/>
  <c r="Q31" i="19"/>
  <c r="W32" i="19"/>
  <c r="L32" i="19"/>
  <c r="V34" i="19"/>
  <c r="F33" i="19"/>
  <c r="M32" i="19"/>
  <c r="H34" i="19"/>
  <c r="K32" i="19"/>
  <c r="V32" i="19"/>
  <c r="O34" i="19"/>
  <c r="X34" i="19"/>
  <c r="I31" i="19"/>
  <c r="N32" i="19"/>
  <c r="G31" i="19"/>
  <c r="X32" i="19"/>
  <c r="T34" i="19"/>
  <c r="L33" i="19"/>
  <c r="P33" i="19"/>
  <c r="F31" i="19"/>
  <c r="P32" i="19"/>
  <c r="L31" i="19"/>
  <c r="F34" i="19"/>
  <c r="Y34" i="19"/>
  <c r="I34" i="19"/>
  <c r="Q33" i="19"/>
  <c r="U33" i="19"/>
  <c r="P34" i="19"/>
  <c r="P31" i="19"/>
  <c r="F62" i="19" l="1"/>
  <c r="W59" i="9" a="1"/>
  <c r="W73" i="9" s="1"/>
  <c r="T59" i="9"/>
  <c r="T70" i="9"/>
  <c r="T62" i="9"/>
  <c r="T69" i="9"/>
  <c r="T65" i="9"/>
  <c r="T61" i="9"/>
  <c r="T76" i="9"/>
  <c r="T60" i="9"/>
  <c r="T67" i="9"/>
  <c r="T82" i="9"/>
  <c r="T74" i="9"/>
  <c r="T81" i="9"/>
  <c r="T66" i="9"/>
  <c r="T77" i="9"/>
  <c r="T73" i="9"/>
  <c r="T79" i="9"/>
  <c r="T78" i="9"/>
  <c r="T72" i="9"/>
  <c r="T75" i="9"/>
  <c r="T68" i="9"/>
  <c r="T71" i="9"/>
  <c r="T64" i="9"/>
  <c r="T63" i="9"/>
  <c r="T80" i="9"/>
  <c r="W86" i="9" a="1"/>
  <c r="T86" i="9"/>
  <c r="T88" i="9"/>
  <c r="T89" i="9"/>
  <c r="T97" i="9"/>
  <c r="T109" i="9"/>
  <c r="T107" i="9"/>
  <c r="T91" i="9"/>
  <c r="T98" i="9"/>
  <c r="T104" i="9"/>
  <c r="T100" i="9"/>
  <c r="T93" i="9"/>
  <c r="T87" i="9"/>
  <c r="T101" i="9"/>
  <c r="T103" i="9"/>
  <c r="T96" i="9"/>
  <c r="T92" i="9"/>
  <c r="T99" i="9"/>
  <c r="T102" i="9"/>
  <c r="T105" i="9"/>
  <c r="T95" i="9"/>
  <c r="T94" i="9"/>
  <c r="T108" i="9"/>
  <c r="T90" i="9"/>
  <c r="T106" i="9"/>
  <c r="T32" i="9"/>
  <c r="T43" i="9"/>
  <c r="T55" i="9"/>
  <c r="T51" i="9"/>
  <c r="T47" i="9"/>
  <c r="T53" i="9"/>
  <c r="T37" i="9"/>
  <c r="T38" i="9"/>
  <c r="T40" i="9"/>
  <c r="T39" i="9"/>
  <c r="T35" i="9"/>
  <c r="T34" i="9"/>
  <c r="T52" i="9"/>
  <c r="T42" i="9"/>
  <c r="T33" i="9"/>
  <c r="T48" i="9"/>
  <c r="T49" i="9"/>
  <c r="T50" i="9"/>
  <c r="T44" i="9"/>
  <c r="T45" i="9"/>
  <c r="T46" i="9"/>
  <c r="T36" i="9"/>
  <c r="T54" i="9"/>
  <c r="T41" i="9"/>
  <c r="W32" i="9" a="1"/>
  <c r="W5" i="9" a="1"/>
  <c r="W23" i="9" s="1"/>
  <c r="T5" i="9"/>
  <c r="T8" i="9"/>
  <c r="T24" i="9"/>
  <c r="T12" i="9"/>
  <c r="T28" i="9"/>
  <c r="T7" i="9"/>
  <c r="T16" i="9"/>
  <c r="T20" i="9"/>
  <c r="T26" i="9"/>
  <c r="T10" i="9"/>
  <c r="T19" i="9"/>
  <c r="T21" i="9"/>
  <c r="T22" i="9"/>
  <c r="T6" i="9"/>
  <c r="T15" i="9"/>
  <c r="T17" i="9"/>
  <c r="T18" i="9"/>
  <c r="T27" i="9"/>
  <c r="T11" i="9"/>
  <c r="T13" i="9"/>
  <c r="T14" i="9"/>
  <c r="T23" i="9"/>
  <c r="T25" i="9"/>
  <c r="T9" i="9"/>
  <c r="W75" i="9" l="1"/>
  <c r="W75" i="10" s="1"/>
  <c r="W67" i="9"/>
  <c r="W67" i="10" s="1"/>
  <c r="W63" i="9"/>
  <c r="W63" i="10" s="1"/>
  <c r="T83" i="9"/>
  <c r="T116" i="9" s="1"/>
  <c r="T121" i="9" s="1"/>
  <c r="T29" i="9"/>
  <c r="T114" i="9" s="1"/>
  <c r="T119" i="9" s="1"/>
  <c r="T56" i="9"/>
  <c r="T115" i="9" s="1"/>
  <c r="T120" i="9" s="1"/>
  <c r="T110" i="9"/>
  <c r="T117" i="9" s="1"/>
  <c r="T122" i="9" s="1"/>
  <c r="W66" i="9"/>
  <c r="W66" i="10" s="1"/>
  <c r="W60" i="9"/>
  <c r="W60" i="10" s="1"/>
  <c r="W71" i="9"/>
  <c r="W71" i="10" s="1"/>
  <c r="W64" i="9"/>
  <c r="W64" i="10" s="1"/>
  <c r="W74" i="9"/>
  <c r="W74" i="10" s="1"/>
  <c r="W62" i="9"/>
  <c r="W62" i="10" s="1"/>
  <c r="W65" i="9"/>
  <c r="W65" i="10" s="1"/>
  <c r="W61" i="9"/>
  <c r="W61" i="10" s="1"/>
  <c r="W82" i="9"/>
  <c r="W82" i="10" s="1"/>
  <c r="W78" i="9"/>
  <c r="W78" i="10" s="1"/>
  <c r="W72" i="9"/>
  <c r="W72" i="10" s="1"/>
  <c r="W68" i="9"/>
  <c r="W68" i="10" s="1"/>
  <c r="W69" i="9"/>
  <c r="W69" i="10" s="1"/>
  <c r="K75" i="19"/>
  <c r="K79" i="19" s="1"/>
  <c r="K90" i="19" s="1"/>
  <c r="J74" i="19"/>
  <c r="J78" i="19" s="1"/>
  <c r="J89" i="19" s="1"/>
  <c r="N74" i="19"/>
  <c r="N78" i="19" s="1"/>
  <c r="N89" i="19" s="1"/>
  <c r="R74" i="19"/>
  <c r="R78" i="19" s="1"/>
  <c r="R89" i="19" s="1"/>
  <c r="V74" i="19"/>
  <c r="V78" i="19" s="1"/>
  <c r="V89" i="19" s="1"/>
  <c r="Z63" i="19"/>
  <c r="G75" i="19"/>
  <c r="G79" i="19" s="1"/>
  <c r="G90" i="19" s="1"/>
  <c r="L75" i="19"/>
  <c r="L79" i="19" s="1"/>
  <c r="L90" i="19" s="1"/>
  <c r="P75" i="19"/>
  <c r="P79" i="19" s="1"/>
  <c r="P90" i="19" s="1"/>
  <c r="T75" i="19"/>
  <c r="T79" i="19" s="1"/>
  <c r="T90" i="19" s="1"/>
  <c r="X75" i="19"/>
  <c r="X79" i="19" s="1"/>
  <c r="X90" i="19" s="1"/>
  <c r="AB75" i="19"/>
  <c r="AB79" i="19" s="1"/>
  <c r="AB90" i="19" s="1"/>
  <c r="I76" i="19"/>
  <c r="I80" i="19" s="1"/>
  <c r="I91" i="19" s="1"/>
  <c r="M76" i="19"/>
  <c r="M80" i="19" s="1"/>
  <c r="M91" i="19" s="1"/>
  <c r="Q76" i="19"/>
  <c r="Q80" i="19" s="1"/>
  <c r="Q91" i="19" s="1"/>
  <c r="U76" i="19"/>
  <c r="U80" i="19" s="1"/>
  <c r="U91" i="19" s="1"/>
  <c r="Y76" i="19"/>
  <c r="Y80" i="19" s="1"/>
  <c r="Y91" i="19" s="1"/>
  <c r="AC76" i="19"/>
  <c r="AC80" i="19" s="1"/>
  <c r="AC91" i="19" s="1"/>
  <c r="J73" i="19"/>
  <c r="J77" i="19" s="1"/>
  <c r="J88" i="19" s="1"/>
  <c r="S73" i="19"/>
  <c r="S77" i="19" s="1"/>
  <c r="S88" i="19" s="1"/>
  <c r="W73" i="19"/>
  <c r="W77" i="19" s="1"/>
  <c r="W88" i="19" s="1"/>
  <c r="AA62" i="19"/>
  <c r="T74" i="19"/>
  <c r="T78" i="19" s="1"/>
  <c r="T89" i="19" s="1"/>
  <c r="I75" i="19"/>
  <c r="I79" i="19" s="1"/>
  <c r="I90" i="19" s="1"/>
  <c r="R75" i="19"/>
  <c r="R79" i="19" s="1"/>
  <c r="R90" i="19" s="1"/>
  <c r="Z75" i="19"/>
  <c r="Z79" i="19" s="1"/>
  <c r="Z90" i="19" s="1"/>
  <c r="K76" i="19"/>
  <c r="K80" i="19" s="1"/>
  <c r="K91" i="19" s="1"/>
  <c r="W76" i="19"/>
  <c r="W80" i="19" s="1"/>
  <c r="W91" i="19" s="1"/>
  <c r="H73" i="19"/>
  <c r="H77" i="19" s="1"/>
  <c r="H88" i="19" s="1"/>
  <c r="Q73" i="19"/>
  <c r="Q77" i="19" s="1"/>
  <c r="Q88" i="19" s="1"/>
  <c r="Y73" i="19"/>
  <c r="Y77" i="19" s="1"/>
  <c r="Y88" i="19" s="1"/>
  <c r="I74" i="19"/>
  <c r="I78" i="19" s="1"/>
  <c r="I89" i="19" s="1"/>
  <c r="M74" i="19"/>
  <c r="M78" i="19" s="1"/>
  <c r="M89" i="19" s="1"/>
  <c r="U74" i="19"/>
  <c r="U78" i="19" s="1"/>
  <c r="U89" i="19" s="1"/>
  <c r="AC74" i="19"/>
  <c r="AC78" i="19" s="1"/>
  <c r="AC89" i="19" s="1"/>
  <c r="O75" i="19"/>
  <c r="O79" i="19" s="1"/>
  <c r="O90" i="19" s="1"/>
  <c r="W75" i="19"/>
  <c r="W79" i="19" s="1"/>
  <c r="W90" i="19" s="1"/>
  <c r="H76" i="19"/>
  <c r="H80" i="19" s="1"/>
  <c r="H91" i="19" s="1"/>
  <c r="P76" i="19"/>
  <c r="P80" i="19" s="1"/>
  <c r="P91" i="19" s="1"/>
  <c r="X76" i="19"/>
  <c r="X80" i="19" s="1"/>
  <c r="X91" i="19" s="1"/>
  <c r="I73" i="19"/>
  <c r="I77" i="19" s="1"/>
  <c r="I88" i="19" s="1"/>
  <c r="R73" i="19"/>
  <c r="R77" i="19" s="1"/>
  <c r="R88" i="19" s="1"/>
  <c r="F76" i="19"/>
  <c r="G74" i="19"/>
  <c r="G78" i="19" s="1"/>
  <c r="G89" i="19" s="1"/>
  <c r="K74" i="19"/>
  <c r="K78" i="19" s="1"/>
  <c r="K89" i="19" s="1"/>
  <c r="O74" i="19"/>
  <c r="O78" i="19" s="1"/>
  <c r="O89" i="19" s="1"/>
  <c r="S74" i="19"/>
  <c r="S78" i="19" s="1"/>
  <c r="S89" i="19" s="1"/>
  <c r="W74" i="19"/>
  <c r="W78" i="19" s="1"/>
  <c r="W89" i="19" s="1"/>
  <c r="AA74" i="19"/>
  <c r="AA78" i="19" s="1"/>
  <c r="AA89" i="19" s="1"/>
  <c r="H75" i="19"/>
  <c r="H79" i="19" s="1"/>
  <c r="H90" i="19" s="1"/>
  <c r="M75" i="19"/>
  <c r="M79" i="19" s="1"/>
  <c r="M90" i="19" s="1"/>
  <c r="Q75" i="19"/>
  <c r="Q79" i="19" s="1"/>
  <c r="Q90" i="19" s="1"/>
  <c r="U75" i="19"/>
  <c r="U79" i="19" s="1"/>
  <c r="U90" i="19" s="1"/>
  <c r="Y75" i="19"/>
  <c r="Y79" i="19" s="1"/>
  <c r="Y90" i="19" s="1"/>
  <c r="AC64" i="19"/>
  <c r="J76" i="19"/>
  <c r="J80" i="19" s="1"/>
  <c r="J91" i="19" s="1"/>
  <c r="N76" i="19"/>
  <c r="N80" i="19" s="1"/>
  <c r="N91" i="19" s="1"/>
  <c r="R76" i="19"/>
  <c r="R80" i="19" s="1"/>
  <c r="R91" i="19" s="1"/>
  <c r="V76" i="19"/>
  <c r="V80" i="19" s="1"/>
  <c r="V91" i="19" s="1"/>
  <c r="Z76" i="19"/>
  <c r="Z80" i="19" s="1"/>
  <c r="Z91" i="19" s="1"/>
  <c r="G73" i="19"/>
  <c r="G77" i="19" s="1"/>
  <c r="G88" i="19" s="1"/>
  <c r="L73" i="19"/>
  <c r="L77" i="19" s="1"/>
  <c r="L88" i="19" s="1"/>
  <c r="P73" i="19"/>
  <c r="P77" i="19" s="1"/>
  <c r="P88" i="19" s="1"/>
  <c r="T73" i="19"/>
  <c r="T77" i="19" s="1"/>
  <c r="T88" i="19" s="1"/>
  <c r="X73" i="19"/>
  <c r="X77" i="19" s="1"/>
  <c r="X88" i="19" s="1"/>
  <c r="AB73" i="19"/>
  <c r="AB77" i="19" s="1"/>
  <c r="AB88" i="19" s="1"/>
  <c r="F75" i="19"/>
  <c r="H74" i="19"/>
  <c r="H78" i="19" s="1"/>
  <c r="H89" i="19" s="1"/>
  <c r="L74" i="19"/>
  <c r="L78" i="19" s="1"/>
  <c r="L89" i="19" s="1"/>
  <c r="P74" i="19"/>
  <c r="P78" i="19" s="1"/>
  <c r="P89" i="19" s="1"/>
  <c r="X74" i="19"/>
  <c r="X78" i="19" s="1"/>
  <c r="X89" i="19" s="1"/>
  <c r="AB63" i="19"/>
  <c r="N75" i="19"/>
  <c r="N79" i="19" s="1"/>
  <c r="N90" i="19" s="1"/>
  <c r="V75" i="19"/>
  <c r="V79" i="19" s="1"/>
  <c r="V90" i="19" s="1"/>
  <c r="G76" i="19"/>
  <c r="G80" i="19" s="1"/>
  <c r="G91" i="19" s="1"/>
  <c r="O76" i="19"/>
  <c r="O80" i="19" s="1"/>
  <c r="O91" i="19" s="1"/>
  <c r="S76" i="19"/>
  <c r="S80" i="19" s="1"/>
  <c r="S91" i="19" s="1"/>
  <c r="AA76" i="19"/>
  <c r="AA80" i="19" s="1"/>
  <c r="AA91" i="19" s="1"/>
  <c r="U73" i="19"/>
  <c r="U77" i="19" s="1"/>
  <c r="U88" i="19" s="1"/>
  <c r="AC73" i="19"/>
  <c r="AC77" i="19" s="1"/>
  <c r="AC88" i="19" s="1"/>
  <c r="K73" i="19"/>
  <c r="K77" i="19" s="1"/>
  <c r="K88" i="19" s="1"/>
  <c r="Q74" i="19"/>
  <c r="Q78" i="19" s="1"/>
  <c r="Q89" i="19" s="1"/>
  <c r="Y74" i="19"/>
  <c r="Y78" i="19" s="1"/>
  <c r="Y89" i="19" s="1"/>
  <c r="J75" i="19"/>
  <c r="J79" i="19" s="1"/>
  <c r="J90" i="19" s="1"/>
  <c r="S75" i="19"/>
  <c r="S79" i="19" s="1"/>
  <c r="S90" i="19" s="1"/>
  <c r="AA75" i="19"/>
  <c r="AA79" i="19" s="1"/>
  <c r="AA90" i="19" s="1"/>
  <c r="L76" i="19"/>
  <c r="L80" i="19" s="1"/>
  <c r="L91" i="19" s="1"/>
  <c r="T76" i="19"/>
  <c r="T80" i="19" s="1"/>
  <c r="T91" i="19" s="1"/>
  <c r="AB76" i="19"/>
  <c r="AB80" i="19" s="1"/>
  <c r="AB91" i="19" s="1"/>
  <c r="N73" i="19"/>
  <c r="N77" i="19" s="1"/>
  <c r="N88" i="19" s="1"/>
  <c r="V73" i="19"/>
  <c r="V77" i="19" s="1"/>
  <c r="V88" i="19" s="1"/>
  <c r="W76" i="9"/>
  <c r="W76" i="10" s="1"/>
  <c r="W79" i="9"/>
  <c r="W79" i="10" s="1"/>
  <c r="W70" i="9"/>
  <c r="W70" i="10" s="1"/>
  <c r="W59" i="9"/>
  <c r="W81" i="9"/>
  <c r="W81" i="10" s="1"/>
  <c r="W77" i="9"/>
  <c r="W80" i="9"/>
  <c r="W80" i="10" s="1"/>
  <c r="T54" i="10"/>
  <c r="V54" i="10" s="1"/>
  <c r="T44" i="10"/>
  <c r="V44" i="10" s="1"/>
  <c r="T33" i="10"/>
  <c r="V33" i="10" s="1"/>
  <c r="T35" i="10"/>
  <c r="V35" i="10" s="1"/>
  <c r="T37" i="10"/>
  <c r="V37" i="10" s="1"/>
  <c r="T55" i="10"/>
  <c r="V55" i="10" s="1"/>
  <c r="T90" i="10"/>
  <c r="V90" i="10" s="1"/>
  <c r="T105" i="10"/>
  <c r="V105" i="10" s="1"/>
  <c r="T96" i="10"/>
  <c r="V96" i="10" s="1"/>
  <c r="T93" i="10"/>
  <c r="V93" i="10" s="1"/>
  <c r="T91" i="10"/>
  <c r="V91" i="10" s="1"/>
  <c r="T89" i="10"/>
  <c r="V89" i="10" s="1"/>
  <c r="T80" i="10"/>
  <c r="V80" i="10" s="1"/>
  <c r="T68" i="10"/>
  <c r="V68" i="10" s="1"/>
  <c r="T79" i="10"/>
  <c r="V79" i="10" s="1"/>
  <c r="T81" i="10"/>
  <c r="V81" i="10" s="1"/>
  <c r="T60" i="10"/>
  <c r="V60" i="10" s="1"/>
  <c r="T69" i="10"/>
  <c r="V69" i="10" s="1"/>
  <c r="W32" i="9"/>
  <c r="W51" i="9"/>
  <c r="W47" i="9"/>
  <c r="W47" i="10" s="1"/>
  <c r="W50" i="9"/>
  <c r="W54" i="9"/>
  <c r="W43" i="9"/>
  <c r="W39" i="9"/>
  <c r="W42" i="9"/>
  <c r="W53" i="9"/>
  <c r="W37" i="9"/>
  <c r="W44" i="9"/>
  <c r="W46" i="9"/>
  <c r="W35" i="9"/>
  <c r="W34" i="9"/>
  <c r="W49" i="9"/>
  <c r="W49" i="10" s="1"/>
  <c r="W33" i="9"/>
  <c r="W40" i="9"/>
  <c r="W55" i="9"/>
  <c r="W48" i="9"/>
  <c r="W45" i="9"/>
  <c r="W36" i="9"/>
  <c r="W36" i="10" s="1"/>
  <c r="W41" i="9"/>
  <c r="W41" i="10" s="1"/>
  <c r="W38" i="9"/>
  <c r="W52" i="9"/>
  <c r="W52" i="10" s="1"/>
  <c r="T36" i="10"/>
  <c r="V36" i="10" s="1"/>
  <c r="T50" i="10"/>
  <c r="V50" i="10" s="1"/>
  <c r="T42" i="10"/>
  <c r="V42" i="10" s="1"/>
  <c r="T39" i="10"/>
  <c r="V39" i="10" s="1"/>
  <c r="T53" i="10"/>
  <c r="V53" i="10" s="1"/>
  <c r="T43" i="10"/>
  <c r="V43" i="10" s="1"/>
  <c r="T108" i="10"/>
  <c r="V108" i="10" s="1"/>
  <c r="T102" i="10"/>
  <c r="V102" i="10" s="1"/>
  <c r="T103" i="10"/>
  <c r="V103" i="10" s="1"/>
  <c r="T100" i="10"/>
  <c r="V100" i="10" s="1"/>
  <c r="T107" i="10"/>
  <c r="V107" i="10" s="1"/>
  <c r="T88" i="10"/>
  <c r="V88" i="10" s="1"/>
  <c r="T63" i="10"/>
  <c r="V63" i="10" s="1"/>
  <c r="T75" i="10"/>
  <c r="V75" i="10" s="1"/>
  <c r="T73" i="10"/>
  <c r="V73" i="10" s="1"/>
  <c r="T74" i="10"/>
  <c r="V74" i="10" s="1"/>
  <c r="T76" i="10"/>
  <c r="T62" i="10"/>
  <c r="V62" i="10" s="1"/>
  <c r="T46" i="10"/>
  <c r="V46" i="10" s="1"/>
  <c r="T49" i="10"/>
  <c r="V49" i="10" s="1"/>
  <c r="T52" i="10"/>
  <c r="V52" i="10" s="1"/>
  <c r="T40" i="10"/>
  <c r="V40" i="10" s="1"/>
  <c r="T47" i="10"/>
  <c r="V47" i="10" s="1"/>
  <c r="T32" i="10"/>
  <c r="T94" i="10"/>
  <c r="V94" i="10" s="1"/>
  <c r="T99" i="10"/>
  <c r="V99" i="10" s="1"/>
  <c r="T101" i="10"/>
  <c r="V101" i="10" s="1"/>
  <c r="T104" i="10"/>
  <c r="V104" i="10" s="1"/>
  <c r="T109" i="10"/>
  <c r="V109" i="10" s="1"/>
  <c r="T86" i="10"/>
  <c r="T64" i="10"/>
  <c r="V64" i="10" s="1"/>
  <c r="T72" i="10"/>
  <c r="V72" i="10" s="1"/>
  <c r="T77" i="10"/>
  <c r="T82" i="10"/>
  <c r="V82" i="10" s="1"/>
  <c r="T61" i="10"/>
  <c r="V61" i="10" s="1"/>
  <c r="T70" i="10"/>
  <c r="V70" i="10" s="1"/>
  <c r="T41" i="10"/>
  <c r="V41" i="10" s="1"/>
  <c r="T45" i="10"/>
  <c r="V45" i="10" s="1"/>
  <c r="T48" i="10"/>
  <c r="V48" i="10" s="1"/>
  <c r="T34" i="10"/>
  <c r="V34" i="10" s="1"/>
  <c r="T38" i="10"/>
  <c r="V38" i="10" s="1"/>
  <c r="T51" i="10"/>
  <c r="V51" i="10" s="1"/>
  <c r="T106" i="10"/>
  <c r="V106" i="10" s="1"/>
  <c r="T95" i="10"/>
  <c r="V95" i="10" s="1"/>
  <c r="T92" i="10"/>
  <c r="V92" i="10" s="1"/>
  <c r="T87" i="10"/>
  <c r="V87" i="10" s="1"/>
  <c r="T98" i="10"/>
  <c r="V98" i="10" s="1"/>
  <c r="T97" i="10"/>
  <c r="V97" i="10" s="1"/>
  <c r="W86" i="9"/>
  <c r="W101" i="9"/>
  <c r="W105" i="9"/>
  <c r="W108" i="9"/>
  <c r="W97" i="9"/>
  <c r="W88" i="9"/>
  <c r="W107" i="9"/>
  <c r="W91" i="9"/>
  <c r="W98" i="9"/>
  <c r="W109" i="9"/>
  <c r="W93" i="9"/>
  <c r="W100" i="9"/>
  <c r="W89" i="9"/>
  <c r="W103" i="9"/>
  <c r="W87" i="9"/>
  <c r="W94" i="9"/>
  <c r="W96" i="9"/>
  <c r="W96" i="10" s="1"/>
  <c r="W102" i="9"/>
  <c r="W92" i="9"/>
  <c r="W99" i="9"/>
  <c r="W90" i="9"/>
  <c r="W95" i="9"/>
  <c r="W104" i="9"/>
  <c r="W106" i="9"/>
  <c r="T71" i="10"/>
  <c r="V71" i="10" s="1"/>
  <c r="T78" i="10"/>
  <c r="V78" i="10" s="1"/>
  <c r="T66" i="10"/>
  <c r="V66" i="10" s="1"/>
  <c r="T67" i="10"/>
  <c r="V67" i="10" s="1"/>
  <c r="T65" i="10"/>
  <c r="V65" i="10" s="1"/>
  <c r="T59" i="10"/>
  <c r="W73" i="10"/>
  <c r="W9" i="9"/>
  <c r="W9" i="10" s="1"/>
  <c r="W10" i="9"/>
  <c r="W10" i="10" s="1"/>
  <c r="W13" i="9"/>
  <c r="W13" i="10" s="1"/>
  <c r="W16" i="9"/>
  <c r="W16" i="10" s="1"/>
  <c r="W17" i="9"/>
  <c r="W17" i="10" s="1"/>
  <c r="W14" i="9"/>
  <c r="W14" i="10" s="1"/>
  <c r="W11" i="9"/>
  <c r="W11" i="10" s="1"/>
  <c r="W18" i="9"/>
  <c r="W18" i="10" s="1"/>
  <c r="W12" i="9"/>
  <c r="W12" i="10" s="1"/>
  <c r="W22" i="9"/>
  <c r="W22" i="10" s="1"/>
  <c r="W24" i="9"/>
  <c r="W24" i="10" s="1"/>
  <c r="W7" i="9"/>
  <c r="W7" i="10" s="1"/>
  <c r="W27" i="9"/>
  <c r="W27" i="10" s="1"/>
  <c r="W19" i="9"/>
  <c r="W19" i="10" s="1"/>
  <c r="W21" i="9"/>
  <c r="W21" i="10" s="1"/>
  <c r="W20" i="9"/>
  <c r="W20" i="10" s="1"/>
  <c r="W6" i="9"/>
  <c r="W6" i="10" s="1"/>
  <c r="W8" i="9"/>
  <c r="W8" i="10" s="1"/>
  <c r="W5" i="9"/>
  <c r="W25" i="9"/>
  <c r="W25" i="10" s="1"/>
  <c r="W26" i="9"/>
  <c r="W26" i="10" s="1"/>
  <c r="W15" i="9"/>
  <c r="W15" i="10" s="1"/>
  <c r="W28" i="9"/>
  <c r="W28" i="10" s="1"/>
  <c r="T25" i="10"/>
  <c r="V25" i="10" s="1"/>
  <c r="T11" i="10"/>
  <c r="V11" i="10" s="1"/>
  <c r="T15" i="10"/>
  <c r="V15" i="10" s="1"/>
  <c r="T19" i="10"/>
  <c r="V19" i="10" s="1"/>
  <c r="T16" i="10"/>
  <c r="V16" i="10" s="1"/>
  <c r="T24" i="10"/>
  <c r="V24" i="10" s="1"/>
  <c r="T9" i="10"/>
  <c r="V9" i="10" s="1"/>
  <c r="T17" i="10"/>
  <c r="V17" i="10" s="1"/>
  <c r="T21" i="10"/>
  <c r="V21" i="10" s="1"/>
  <c r="T20" i="10"/>
  <c r="V20" i="10" s="1"/>
  <c r="T23" i="10"/>
  <c r="V23" i="10" s="1"/>
  <c r="T27" i="10"/>
  <c r="V27" i="10" s="1"/>
  <c r="T6" i="10"/>
  <c r="V6" i="10" s="1"/>
  <c r="T10" i="10"/>
  <c r="V10" i="10" s="1"/>
  <c r="T7" i="10"/>
  <c r="V7" i="10" s="1"/>
  <c r="T8" i="10"/>
  <c r="V8" i="10" s="1"/>
  <c r="T13" i="10"/>
  <c r="V13" i="10" s="1"/>
  <c r="T12" i="10"/>
  <c r="V12" i="10" s="1"/>
  <c r="T14" i="10"/>
  <c r="V14" i="10" s="1"/>
  <c r="T18" i="10"/>
  <c r="V18" i="10" s="1"/>
  <c r="T22" i="10"/>
  <c r="V22" i="10" s="1"/>
  <c r="T26" i="10"/>
  <c r="V26" i="10" s="1"/>
  <c r="T28" i="10"/>
  <c r="V28" i="10" s="1"/>
  <c r="T5" i="10"/>
  <c r="W23" i="10"/>
  <c r="Z73" i="19"/>
  <c r="Z77" i="19" s="1"/>
  <c r="Z88" i="19" s="1"/>
  <c r="Z62" i="19"/>
  <c r="W65" i="19"/>
  <c r="K64" i="19"/>
  <c r="P64" i="19"/>
  <c r="V64" i="19"/>
  <c r="A59" i="19" l="1"/>
  <c r="C59" i="19" s="1"/>
  <c r="W110" i="9"/>
  <c r="W117" i="9" s="1"/>
  <c r="W122" i="9" s="1"/>
  <c r="V32" i="10"/>
  <c r="V56" i="10" s="1"/>
  <c r="V115" i="10" s="1"/>
  <c r="V120" i="10" s="1"/>
  <c r="T56" i="10"/>
  <c r="T115" i="10" s="1"/>
  <c r="T120" i="10" s="1"/>
  <c r="T29" i="10"/>
  <c r="T114" i="10" s="1"/>
  <c r="T119" i="10" s="1"/>
  <c r="T124" i="9"/>
  <c r="W29" i="9"/>
  <c r="W114" i="9" s="1"/>
  <c r="W119" i="9" s="1"/>
  <c r="W59" i="10"/>
  <c r="W83" i="9"/>
  <c r="W116" i="9" s="1"/>
  <c r="W121" i="9" s="1"/>
  <c r="V86" i="10"/>
  <c r="V110" i="10" s="1"/>
  <c r="V117" i="10" s="1"/>
  <c r="V122" i="10" s="1"/>
  <c r="T110" i="10"/>
  <c r="T117" i="10" s="1"/>
  <c r="T122" i="10" s="1"/>
  <c r="V59" i="10"/>
  <c r="T83" i="10"/>
  <c r="T116" i="10" s="1"/>
  <c r="T121" i="10" s="1"/>
  <c r="W56" i="9"/>
  <c r="W115" i="9" s="1"/>
  <c r="W120" i="9" s="1"/>
  <c r="V76" i="10"/>
  <c r="Y76" i="10" s="1"/>
  <c r="Z76" i="10" s="1"/>
  <c r="W77" i="10"/>
  <c r="V77" i="10"/>
  <c r="F74" i="19"/>
  <c r="F78" i="19" s="1"/>
  <c r="F89" i="19" s="1"/>
  <c r="K62" i="19"/>
  <c r="R65" i="19"/>
  <c r="I65" i="19"/>
  <c r="AA65" i="19"/>
  <c r="P63" i="19"/>
  <c r="H64" i="19"/>
  <c r="I64" i="19"/>
  <c r="F64" i="19"/>
  <c r="P65" i="19"/>
  <c r="F63" i="19"/>
  <c r="O63" i="19"/>
  <c r="Y65" i="19"/>
  <c r="S62" i="19"/>
  <c r="AB62" i="19"/>
  <c r="AC63" i="19"/>
  <c r="AB65" i="19"/>
  <c r="L62" i="19"/>
  <c r="V63" i="19"/>
  <c r="Y64" i="19"/>
  <c r="S64" i="19"/>
  <c r="H62" i="19"/>
  <c r="R64" i="19"/>
  <c r="S63" i="19"/>
  <c r="G65" i="19"/>
  <c r="AC75" i="19"/>
  <c r="AC79" i="19" s="1"/>
  <c r="AC90" i="19" s="1"/>
  <c r="F65" i="19"/>
  <c r="N62" i="19"/>
  <c r="Z74" i="19"/>
  <c r="Z78" i="19" s="1"/>
  <c r="Z89" i="19" s="1"/>
  <c r="AA64" i="19"/>
  <c r="AC65" i="19"/>
  <c r="X63" i="19"/>
  <c r="Q63" i="19"/>
  <c r="J63" i="19"/>
  <c r="V65" i="19"/>
  <c r="W62" i="19"/>
  <c r="T64" i="19"/>
  <c r="I63" i="19"/>
  <c r="O64" i="19"/>
  <c r="X65" i="19"/>
  <c r="M64" i="19"/>
  <c r="M65" i="19"/>
  <c r="N63" i="19"/>
  <c r="AA73" i="19"/>
  <c r="AA77" i="19" s="1"/>
  <c r="AA88" i="19" s="1"/>
  <c r="AB74" i="19"/>
  <c r="AB78" i="19" s="1"/>
  <c r="AB89" i="19" s="1"/>
  <c r="X64" i="19"/>
  <c r="Q64" i="19"/>
  <c r="Q65" i="19"/>
  <c r="W64" i="19"/>
  <c r="W63" i="19"/>
  <c r="T62" i="19"/>
  <c r="I62" i="19"/>
  <c r="O65" i="19"/>
  <c r="J65" i="19"/>
  <c r="Q62" i="19"/>
  <c r="G63" i="19"/>
  <c r="U63" i="19"/>
  <c r="R63" i="19"/>
  <c r="K65" i="19"/>
  <c r="Y62" i="19"/>
  <c r="U65" i="19"/>
  <c r="V62" i="19"/>
  <c r="H63" i="19"/>
  <c r="L65" i="19"/>
  <c r="AC62" i="19"/>
  <c r="AA63" i="19"/>
  <c r="Z64" i="19"/>
  <c r="Z65" i="19"/>
  <c r="U5" i="9" a="1"/>
  <c r="U5" i="9" s="1"/>
  <c r="T65" i="19"/>
  <c r="N64" i="19"/>
  <c r="L63" i="19"/>
  <c r="U62" i="19"/>
  <c r="T63" i="19"/>
  <c r="G64" i="19"/>
  <c r="H65" i="19"/>
  <c r="G62" i="19"/>
  <c r="Y63" i="19"/>
  <c r="M63" i="19"/>
  <c r="O62" i="19"/>
  <c r="O73" i="19"/>
  <c r="O77" i="19" s="1"/>
  <c r="O88" i="19" s="1"/>
  <c r="S65" i="19"/>
  <c r="U64" i="19"/>
  <c r="L64" i="19"/>
  <c r="X62" i="19"/>
  <c r="K63" i="19"/>
  <c r="AB64" i="19"/>
  <c r="F73" i="19"/>
  <c r="U59" i="9" a="1"/>
  <c r="U59" i="9" s="1"/>
  <c r="U32" i="9" a="1"/>
  <c r="U50" i="9" s="1"/>
  <c r="V50" i="9" s="1"/>
  <c r="J64" i="19"/>
  <c r="N65" i="19"/>
  <c r="R62" i="19"/>
  <c r="U86" i="9" a="1"/>
  <c r="U86" i="9" s="1"/>
  <c r="M73" i="19"/>
  <c r="M77" i="19" s="1"/>
  <c r="M88" i="19" s="1"/>
  <c r="Y65" i="10"/>
  <c r="Y71" i="10"/>
  <c r="W90" i="10"/>
  <c r="Y90" i="10" s="1"/>
  <c r="W89" i="10"/>
  <c r="Y89" i="10" s="1"/>
  <c r="W98" i="10"/>
  <c r="Y98" i="10" s="1"/>
  <c r="W86" i="10"/>
  <c r="W55" i="10"/>
  <c r="Y55" i="10" s="1"/>
  <c r="W34" i="10"/>
  <c r="Y34" i="10" s="1"/>
  <c r="W37" i="10"/>
  <c r="Y37" i="10" s="1"/>
  <c r="W43" i="10"/>
  <c r="Y43" i="10" s="1"/>
  <c r="W51" i="10"/>
  <c r="Y51" i="10" s="1"/>
  <c r="Y60" i="10"/>
  <c r="Y79" i="10"/>
  <c r="Y80" i="10"/>
  <c r="Y96" i="10"/>
  <c r="Y66" i="10"/>
  <c r="W106" i="10"/>
  <c r="W99" i="10"/>
  <c r="Y99" i="10" s="1"/>
  <c r="W94" i="10"/>
  <c r="Y94" i="10" s="1"/>
  <c r="W100" i="10"/>
  <c r="Y100" i="10" s="1"/>
  <c r="W91" i="10"/>
  <c r="W108" i="10"/>
  <c r="Y108" i="10" s="1"/>
  <c r="Y67" i="10"/>
  <c r="Y78" i="10"/>
  <c r="W104" i="10"/>
  <c r="W92" i="10"/>
  <c r="Y92" i="10" s="1"/>
  <c r="W87" i="10"/>
  <c r="W93" i="10"/>
  <c r="Y93" i="10" s="1"/>
  <c r="W107" i="10"/>
  <c r="Y107" i="10" s="1"/>
  <c r="W105" i="10"/>
  <c r="Y70" i="10"/>
  <c r="Y82" i="10"/>
  <c r="Y72" i="10"/>
  <c r="Y49" i="10"/>
  <c r="Y62" i="10"/>
  <c r="Y74" i="10"/>
  <c r="Y75" i="10"/>
  <c r="W40" i="10"/>
  <c r="Y40" i="10" s="1"/>
  <c r="W35" i="10"/>
  <c r="Y35" i="10" s="1"/>
  <c r="W53" i="10"/>
  <c r="Y53" i="10" s="1"/>
  <c r="W54" i="10"/>
  <c r="W32" i="10"/>
  <c r="W5" i="10"/>
  <c r="W29" i="10" s="1"/>
  <c r="W114" i="10" s="1"/>
  <c r="W119" i="10" s="1"/>
  <c r="W95" i="10"/>
  <c r="Y95" i="10" s="1"/>
  <c r="W102" i="10"/>
  <c r="W103" i="10"/>
  <c r="Y103" i="10" s="1"/>
  <c r="W109" i="10"/>
  <c r="Y109" i="10" s="1"/>
  <c r="W88" i="10"/>
  <c r="W101" i="10"/>
  <c r="W45" i="10"/>
  <c r="Y45" i="10" s="1"/>
  <c r="W33" i="10"/>
  <c r="W46" i="10"/>
  <c r="W42" i="10"/>
  <c r="Y42" i="10" s="1"/>
  <c r="W50" i="10"/>
  <c r="Y50" i="10" s="1"/>
  <c r="Y69" i="10"/>
  <c r="Y81" i="10"/>
  <c r="Y68" i="10"/>
  <c r="Y105" i="10"/>
  <c r="W97" i="10"/>
  <c r="Y97" i="10" s="1"/>
  <c r="Y41" i="10"/>
  <c r="Y61" i="10"/>
  <c r="Y64" i="10"/>
  <c r="Y47" i="10"/>
  <c r="Y52" i="10"/>
  <c r="Y73" i="10"/>
  <c r="Y63" i="10"/>
  <c r="Y36" i="10"/>
  <c r="W38" i="10"/>
  <c r="W48" i="10"/>
  <c r="Y48" i="10" s="1"/>
  <c r="W44" i="10"/>
  <c r="W39" i="10"/>
  <c r="Y39" i="10" s="1"/>
  <c r="V5" i="10"/>
  <c r="V29" i="10" s="1"/>
  <c r="V114" i="10" s="1"/>
  <c r="V119" i="10" s="1"/>
  <c r="Y17" i="10"/>
  <c r="Y26" i="10"/>
  <c r="Q26" i="10" s="1"/>
  <c r="Y18" i="10"/>
  <c r="Q18" i="10" s="1"/>
  <c r="Y8" i="10"/>
  <c r="Q8" i="10" s="1"/>
  <c r="Y10" i="10"/>
  <c r="Q10" i="10" s="1"/>
  <c r="Y27" i="10"/>
  <c r="Q27" i="10" s="1"/>
  <c r="Y20" i="10"/>
  <c r="Q20" i="10" s="1"/>
  <c r="Y24" i="10"/>
  <c r="Q24" i="10" s="1"/>
  <c r="Y19" i="10"/>
  <c r="Q19" i="10" s="1"/>
  <c r="Y11" i="10"/>
  <c r="Q11" i="10" s="1"/>
  <c r="Y28" i="10"/>
  <c r="Q28" i="10" s="1"/>
  <c r="Y22" i="10"/>
  <c r="Q22" i="10" s="1"/>
  <c r="Y14" i="10"/>
  <c r="Q14" i="10" s="1"/>
  <c r="Y12" i="10"/>
  <c r="Q12" i="10" s="1"/>
  <c r="Y13" i="10"/>
  <c r="Q13" i="10" s="1"/>
  <c r="Y7" i="10"/>
  <c r="Q7" i="10" s="1"/>
  <c r="Y6" i="10"/>
  <c r="Q6" i="10" s="1"/>
  <c r="Y23" i="10"/>
  <c r="Q23" i="10" s="1"/>
  <c r="Y21" i="10"/>
  <c r="Q21" i="10" s="1"/>
  <c r="Y9" i="10"/>
  <c r="Q9" i="10" s="1"/>
  <c r="Y16" i="10"/>
  <c r="Q16" i="10" s="1"/>
  <c r="Y15" i="10"/>
  <c r="Q15" i="10" s="1"/>
  <c r="Y25" i="10"/>
  <c r="Q25" i="10" s="1"/>
  <c r="F80" i="19"/>
  <c r="F91" i="19" s="1"/>
  <c r="F79" i="19"/>
  <c r="F90" i="19" s="1"/>
  <c r="Y59" i="10" l="1"/>
  <c r="A64" i="19"/>
  <c r="C64" i="19" s="1"/>
  <c r="D64" i="19"/>
  <c r="D63" i="19"/>
  <c r="A65" i="19"/>
  <c r="C65" i="19" s="1"/>
  <c r="Q76" i="10"/>
  <c r="T124" i="10"/>
  <c r="D13" i="29" s="1"/>
  <c r="Y77" i="10"/>
  <c r="Y83" i="10" s="1"/>
  <c r="Y116" i="10" s="1"/>
  <c r="Y121" i="10" s="1"/>
  <c r="Y86" i="10"/>
  <c r="Z86" i="10" s="1"/>
  <c r="W110" i="10"/>
  <c r="W117" i="10" s="1"/>
  <c r="W122" i="10" s="1"/>
  <c r="W56" i="10"/>
  <c r="W115" i="10" s="1"/>
  <c r="W120" i="10" s="1"/>
  <c r="W124" i="9"/>
  <c r="L14" i="29" s="1"/>
  <c r="V86" i="9"/>
  <c r="V83" i="10"/>
  <c r="V116" i="10" s="1"/>
  <c r="V121" i="10" s="1"/>
  <c r="V124" i="10" s="1"/>
  <c r="W83" i="10"/>
  <c r="W116" i="10" s="1"/>
  <c r="W121" i="10" s="1"/>
  <c r="F77" i="19"/>
  <c r="F88" i="19" s="1"/>
  <c r="U69" i="9"/>
  <c r="V69" i="9" s="1"/>
  <c r="Y69" i="9" s="1"/>
  <c r="Z69" i="9" s="1"/>
  <c r="U25" i="9"/>
  <c r="V25" i="9" s="1"/>
  <c r="Y25" i="9" s="1"/>
  <c r="U19" i="9"/>
  <c r="V19" i="9" s="1"/>
  <c r="Y19" i="9" s="1"/>
  <c r="U9" i="9"/>
  <c r="V9" i="9" s="1"/>
  <c r="Y9" i="9" s="1"/>
  <c r="U67" i="9"/>
  <c r="V67" i="9" s="1"/>
  <c r="Y67" i="9" s="1"/>
  <c r="Z67" i="9" s="1"/>
  <c r="E67" i="9" s="1"/>
  <c r="U21" i="9"/>
  <c r="V21" i="9" s="1"/>
  <c r="Y21" i="9" s="1"/>
  <c r="U23" i="9"/>
  <c r="V23" i="9" s="1"/>
  <c r="Y23" i="9" s="1"/>
  <c r="U22" i="9"/>
  <c r="V22" i="9" s="1"/>
  <c r="Y22" i="9" s="1"/>
  <c r="U15" i="9"/>
  <c r="V15" i="9" s="1"/>
  <c r="Y15" i="9" s="1"/>
  <c r="U26" i="9"/>
  <c r="V26" i="9" s="1"/>
  <c r="Y26" i="9" s="1"/>
  <c r="U28" i="9"/>
  <c r="V28" i="9" s="1"/>
  <c r="Y28" i="9" s="1"/>
  <c r="U33" i="9"/>
  <c r="V33" i="9" s="1"/>
  <c r="U44" i="9"/>
  <c r="V44" i="9" s="1"/>
  <c r="Y44" i="9" s="1"/>
  <c r="Z44" i="9" s="1"/>
  <c r="U41" i="9"/>
  <c r="V41" i="9" s="1"/>
  <c r="Y41" i="9" s="1"/>
  <c r="Z41" i="9" s="1"/>
  <c r="E41" i="9" s="1"/>
  <c r="U55" i="9"/>
  <c r="V55" i="9" s="1"/>
  <c r="Y55" i="9" s="1"/>
  <c r="Z55" i="9" s="1"/>
  <c r="U34" i="9"/>
  <c r="V34" i="9" s="1"/>
  <c r="U37" i="9"/>
  <c r="V37" i="9" s="1"/>
  <c r="Y37" i="9" s="1"/>
  <c r="Z37" i="9" s="1"/>
  <c r="E37" i="9" s="1"/>
  <c r="U46" i="9"/>
  <c r="V46" i="9" s="1"/>
  <c r="Y46" i="9" s="1"/>
  <c r="Z46" i="9" s="1"/>
  <c r="E46" i="9" s="1"/>
  <c r="U53" i="9"/>
  <c r="V53" i="9" s="1"/>
  <c r="Y53" i="9" s="1"/>
  <c r="Z53" i="9" s="1"/>
  <c r="E53" i="9" s="1"/>
  <c r="U82" i="9"/>
  <c r="V82" i="9" s="1"/>
  <c r="Y82" i="9" s="1"/>
  <c r="Z82" i="9" s="1"/>
  <c r="E82" i="9" s="1"/>
  <c r="U108" i="9"/>
  <c r="V108" i="9" s="1"/>
  <c r="Y108" i="9" s="1"/>
  <c r="Z108" i="9" s="1"/>
  <c r="E108" i="9" s="1"/>
  <c r="F108" i="9" s="1"/>
  <c r="N108" i="9" s="1"/>
  <c r="U101" i="9"/>
  <c r="V101" i="9" s="1"/>
  <c r="Y101" i="9" s="1"/>
  <c r="Z101" i="9" s="1"/>
  <c r="E101" i="9" s="1"/>
  <c r="F101" i="9" s="1"/>
  <c r="N101" i="9" s="1"/>
  <c r="U48" i="9"/>
  <c r="V48" i="9" s="1"/>
  <c r="Y48" i="9" s="1"/>
  <c r="Z48" i="9" s="1"/>
  <c r="U49" i="9"/>
  <c r="V49" i="9" s="1"/>
  <c r="Y49" i="9" s="1"/>
  <c r="Z49" i="9" s="1"/>
  <c r="E49" i="9" s="1"/>
  <c r="U32" i="9"/>
  <c r="U76" i="9"/>
  <c r="V76" i="9" s="1"/>
  <c r="Y76" i="9" s="1"/>
  <c r="Z76" i="9" s="1"/>
  <c r="U103" i="9"/>
  <c r="V103" i="9" s="1"/>
  <c r="Y103" i="9" s="1"/>
  <c r="Z103" i="9" s="1"/>
  <c r="E103" i="9" s="1"/>
  <c r="M103" i="9" s="1"/>
  <c r="U61" i="9"/>
  <c r="V61" i="9" s="1"/>
  <c r="Y61" i="9" s="1"/>
  <c r="Z61" i="9" s="1"/>
  <c r="U93" i="9"/>
  <c r="V93" i="9" s="1"/>
  <c r="Y93" i="9" s="1"/>
  <c r="Z93" i="9" s="1"/>
  <c r="E93" i="9" s="1"/>
  <c r="M93" i="9" s="1"/>
  <c r="U6" i="9"/>
  <c r="V6" i="9" s="1"/>
  <c r="U8" i="9"/>
  <c r="V8" i="9" s="1"/>
  <c r="Y8" i="9" s="1"/>
  <c r="U27" i="9"/>
  <c r="V27" i="9" s="1"/>
  <c r="Y27" i="9" s="1"/>
  <c r="U45" i="9"/>
  <c r="V45" i="9" s="1"/>
  <c r="Y45" i="9" s="1"/>
  <c r="Z45" i="9" s="1"/>
  <c r="E45" i="9" s="1"/>
  <c r="U43" i="9"/>
  <c r="V43" i="9" s="1"/>
  <c r="Y43" i="9" s="1"/>
  <c r="Z43" i="9" s="1"/>
  <c r="U42" i="9"/>
  <c r="V42" i="9" s="1"/>
  <c r="Y42" i="9" s="1"/>
  <c r="Z42" i="9" s="1"/>
  <c r="E42" i="9" s="1"/>
  <c r="U47" i="9"/>
  <c r="V47" i="9" s="1"/>
  <c r="Y47" i="9" s="1"/>
  <c r="Z47" i="9" s="1"/>
  <c r="E47" i="9" s="1"/>
  <c r="U78" i="9"/>
  <c r="V78" i="9" s="1"/>
  <c r="Y78" i="9" s="1"/>
  <c r="Z78" i="9" s="1"/>
  <c r="E78" i="9" s="1"/>
  <c r="U64" i="9"/>
  <c r="V64" i="9" s="1"/>
  <c r="Y64" i="9" s="1"/>
  <c r="Z64" i="9" s="1"/>
  <c r="U100" i="9"/>
  <c r="V100" i="9" s="1"/>
  <c r="Y100" i="9" s="1"/>
  <c r="Z100" i="9" s="1"/>
  <c r="E100" i="9" s="1"/>
  <c r="M100" i="9" s="1"/>
  <c r="U91" i="9"/>
  <c r="V91" i="9" s="1"/>
  <c r="Y91" i="9" s="1"/>
  <c r="Z91" i="9" s="1"/>
  <c r="E91" i="9" s="1"/>
  <c r="F91" i="9" s="1"/>
  <c r="N91" i="9" s="1"/>
  <c r="U36" i="9"/>
  <c r="V36" i="9" s="1"/>
  <c r="Y36" i="9" s="1"/>
  <c r="Z36" i="9" s="1"/>
  <c r="U35" i="9"/>
  <c r="V35" i="9" s="1"/>
  <c r="Y35" i="9" s="1"/>
  <c r="Z35" i="9" s="1"/>
  <c r="U40" i="9"/>
  <c r="V40" i="9" s="1"/>
  <c r="Y40" i="9" s="1"/>
  <c r="Z40" i="9" s="1"/>
  <c r="E40" i="9" s="1"/>
  <c r="U51" i="9"/>
  <c r="V51" i="9" s="1"/>
  <c r="Y51" i="9" s="1"/>
  <c r="Z51" i="9" s="1"/>
  <c r="E51" i="9" s="1"/>
  <c r="M51" i="9" s="1"/>
  <c r="U38" i="9"/>
  <c r="V38" i="9" s="1"/>
  <c r="Y38" i="9" s="1"/>
  <c r="Z38" i="9" s="1"/>
  <c r="E38" i="9" s="1"/>
  <c r="U65" i="9"/>
  <c r="V65" i="9" s="1"/>
  <c r="Y65" i="9" s="1"/>
  <c r="Z65" i="9" s="1"/>
  <c r="U60" i="9"/>
  <c r="V60" i="9" s="1"/>
  <c r="Y60" i="9" s="1"/>
  <c r="Z60" i="9" s="1"/>
  <c r="E60" i="9" s="1"/>
  <c r="U70" i="9"/>
  <c r="V70" i="9" s="1"/>
  <c r="Y70" i="9" s="1"/>
  <c r="Z70" i="9" s="1"/>
  <c r="E70" i="9" s="1"/>
  <c r="U90" i="9"/>
  <c r="V90" i="9" s="1"/>
  <c r="Y90" i="9" s="1"/>
  <c r="Z90" i="9" s="1"/>
  <c r="E90" i="9" s="1"/>
  <c r="M90" i="9" s="1"/>
  <c r="U87" i="9"/>
  <c r="V87" i="9" s="1"/>
  <c r="Y87" i="9" s="1"/>
  <c r="Z87" i="9" s="1"/>
  <c r="E87" i="9" s="1"/>
  <c r="M87" i="9" s="1"/>
  <c r="U102" i="9"/>
  <c r="V102" i="9" s="1"/>
  <c r="Y102" i="9" s="1"/>
  <c r="Z102" i="9" s="1"/>
  <c r="E102" i="9" s="1"/>
  <c r="F102" i="9" s="1"/>
  <c r="N102" i="9" s="1"/>
  <c r="U96" i="9"/>
  <c r="V96" i="9" s="1"/>
  <c r="Y96" i="9" s="1"/>
  <c r="Z96" i="9" s="1"/>
  <c r="E96" i="9" s="1"/>
  <c r="M96" i="9" s="1"/>
  <c r="U89" i="9"/>
  <c r="V89" i="9" s="1"/>
  <c r="Y89" i="9" s="1"/>
  <c r="Z89" i="9" s="1"/>
  <c r="E89" i="9" s="1"/>
  <c r="F89" i="9" s="1"/>
  <c r="N89" i="9" s="1"/>
  <c r="U94" i="9"/>
  <c r="V94" i="9" s="1"/>
  <c r="Y94" i="9" s="1"/>
  <c r="Z94" i="9" s="1"/>
  <c r="E94" i="9" s="1"/>
  <c r="M94" i="9" s="1"/>
  <c r="U18" i="9"/>
  <c r="V18" i="9" s="1"/>
  <c r="Y18" i="9" s="1"/>
  <c r="U17" i="9"/>
  <c r="V17" i="9" s="1"/>
  <c r="Y17" i="9" s="1"/>
  <c r="U14" i="9"/>
  <c r="V14" i="9" s="1"/>
  <c r="Y14" i="9" s="1"/>
  <c r="U7" i="9"/>
  <c r="V7" i="9" s="1"/>
  <c r="Y7" i="9" s="1"/>
  <c r="U20" i="9"/>
  <c r="V20" i="9" s="1"/>
  <c r="Y20" i="9" s="1"/>
  <c r="U11" i="9"/>
  <c r="V11" i="9" s="1"/>
  <c r="Y11" i="9" s="1"/>
  <c r="U74" i="9"/>
  <c r="V74" i="9" s="1"/>
  <c r="Y74" i="9" s="1"/>
  <c r="Z74" i="9" s="1"/>
  <c r="U81" i="9"/>
  <c r="V81" i="9" s="1"/>
  <c r="Y81" i="9" s="1"/>
  <c r="Z81" i="9" s="1"/>
  <c r="U79" i="9"/>
  <c r="V79" i="9" s="1"/>
  <c r="Y79" i="9" s="1"/>
  <c r="Z79" i="9" s="1"/>
  <c r="U63" i="9"/>
  <c r="V63" i="9" s="1"/>
  <c r="Y63" i="9" s="1"/>
  <c r="Z63" i="9" s="1"/>
  <c r="E63" i="9" s="1"/>
  <c r="U13" i="9"/>
  <c r="V13" i="9" s="1"/>
  <c r="Y13" i="9" s="1"/>
  <c r="U10" i="9"/>
  <c r="V10" i="9" s="1"/>
  <c r="Y10" i="9" s="1"/>
  <c r="U24" i="9"/>
  <c r="V24" i="9" s="1"/>
  <c r="Y24" i="9" s="1"/>
  <c r="U16" i="9"/>
  <c r="V16" i="9" s="1"/>
  <c r="Y16" i="9" s="1"/>
  <c r="U12" i="9"/>
  <c r="V12" i="9" s="1"/>
  <c r="Y12" i="9" s="1"/>
  <c r="U54" i="9"/>
  <c r="V54" i="9" s="1"/>
  <c r="Y54" i="9" s="1"/>
  <c r="Z54" i="9" s="1"/>
  <c r="U52" i="9"/>
  <c r="V52" i="9" s="1"/>
  <c r="Y52" i="9" s="1"/>
  <c r="Z52" i="9" s="1"/>
  <c r="U39" i="9"/>
  <c r="V39" i="9" s="1"/>
  <c r="Y39" i="9" s="1"/>
  <c r="Z39" i="9" s="1"/>
  <c r="E39" i="9" s="1"/>
  <c r="U80" i="9"/>
  <c r="V80" i="9" s="1"/>
  <c r="Y80" i="9" s="1"/>
  <c r="Z80" i="9" s="1"/>
  <c r="U73" i="9"/>
  <c r="V73" i="9" s="1"/>
  <c r="Y73" i="9" s="1"/>
  <c r="Z73" i="9" s="1"/>
  <c r="U68" i="9"/>
  <c r="V68" i="9" s="1"/>
  <c r="Y68" i="9" s="1"/>
  <c r="Z68" i="9" s="1"/>
  <c r="U71" i="9"/>
  <c r="V71" i="9" s="1"/>
  <c r="Y71" i="9" s="1"/>
  <c r="Z71" i="9" s="1"/>
  <c r="E71" i="9" s="1"/>
  <c r="U107" i="9"/>
  <c r="V107" i="9" s="1"/>
  <c r="Y107" i="9" s="1"/>
  <c r="Z107" i="9" s="1"/>
  <c r="E107" i="9" s="1"/>
  <c r="F107" i="9" s="1"/>
  <c r="N107" i="9" s="1"/>
  <c r="U105" i="9"/>
  <c r="V105" i="9" s="1"/>
  <c r="Y105" i="9" s="1"/>
  <c r="Z105" i="9" s="1"/>
  <c r="E105" i="9" s="1"/>
  <c r="F105" i="9" s="1"/>
  <c r="N105" i="9" s="1"/>
  <c r="U106" i="9"/>
  <c r="V106" i="9" s="1"/>
  <c r="Y106" i="9" s="1"/>
  <c r="Z106" i="9" s="1"/>
  <c r="E106" i="9" s="1"/>
  <c r="M106" i="9" s="1"/>
  <c r="U109" i="9"/>
  <c r="V109" i="9" s="1"/>
  <c r="Y109" i="9" s="1"/>
  <c r="Z109" i="9" s="1"/>
  <c r="E109" i="9" s="1"/>
  <c r="F109" i="9" s="1"/>
  <c r="N109" i="9" s="1"/>
  <c r="U104" i="9"/>
  <c r="V104" i="9" s="1"/>
  <c r="Y104" i="9" s="1"/>
  <c r="Z104" i="9" s="1"/>
  <c r="E104" i="9" s="1"/>
  <c r="M104" i="9" s="1"/>
  <c r="V59" i="9"/>
  <c r="U72" i="9"/>
  <c r="V72" i="9" s="1"/>
  <c r="Y72" i="9" s="1"/>
  <c r="Z72" i="9" s="1"/>
  <c r="U62" i="9"/>
  <c r="V62" i="9" s="1"/>
  <c r="Y62" i="9" s="1"/>
  <c r="U77" i="9"/>
  <c r="U66" i="9"/>
  <c r="V66" i="9" s="1"/>
  <c r="Y66" i="9" s="1"/>
  <c r="Z66" i="9" s="1"/>
  <c r="E66" i="9" s="1"/>
  <c r="M66" i="9" s="1"/>
  <c r="U75" i="9"/>
  <c r="V75" i="9" s="1"/>
  <c r="Y75" i="9" s="1"/>
  <c r="Z75" i="9" s="1"/>
  <c r="E75" i="9" s="1"/>
  <c r="U95" i="9"/>
  <c r="V95" i="9" s="1"/>
  <c r="Y95" i="9" s="1"/>
  <c r="Z95" i="9" s="1"/>
  <c r="E95" i="9" s="1"/>
  <c r="M95" i="9" s="1"/>
  <c r="U99" i="9"/>
  <c r="V99" i="9" s="1"/>
  <c r="Y99" i="9" s="1"/>
  <c r="Z99" i="9" s="1"/>
  <c r="E99" i="9" s="1"/>
  <c r="F99" i="9" s="1"/>
  <c r="N99" i="9" s="1"/>
  <c r="U98" i="9"/>
  <c r="U92" i="9"/>
  <c r="V92" i="9" s="1"/>
  <c r="Y92" i="9" s="1"/>
  <c r="Z92" i="9" s="1"/>
  <c r="E92" i="9" s="1"/>
  <c r="M92" i="9" s="1"/>
  <c r="U88" i="9"/>
  <c r="U97" i="9"/>
  <c r="Y5" i="10"/>
  <c r="Q48" i="10"/>
  <c r="Z48" i="10"/>
  <c r="Q50" i="10"/>
  <c r="Z50" i="10"/>
  <c r="Z40" i="10"/>
  <c r="Q40" i="10"/>
  <c r="Q95" i="10"/>
  <c r="Z95" i="10"/>
  <c r="Q97" i="10"/>
  <c r="Z97" i="10"/>
  <c r="Z45" i="10"/>
  <c r="Q45" i="10"/>
  <c r="Q39" i="10"/>
  <c r="Z39" i="10"/>
  <c r="Y44" i="10"/>
  <c r="Q55" i="10"/>
  <c r="Z55" i="10"/>
  <c r="Q93" i="10"/>
  <c r="Z93" i="10"/>
  <c r="Q68" i="10"/>
  <c r="Z68" i="10"/>
  <c r="Y50" i="9"/>
  <c r="Z50" i="9" s="1"/>
  <c r="Q82" i="10"/>
  <c r="Z82" i="10"/>
  <c r="Q34" i="10"/>
  <c r="Z34" i="10"/>
  <c r="Q67" i="10"/>
  <c r="Z67" i="10"/>
  <c r="Q66" i="10"/>
  <c r="Z66" i="10"/>
  <c r="Y91" i="10"/>
  <c r="Q79" i="10"/>
  <c r="Z79" i="10"/>
  <c r="Y101" i="10"/>
  <c r="Q100" i="10"/>
  <c r="Z100" i="10"/>
  <c r="Z75" i="10"/>
  <c r="Q75" i="10"/>
  <c r="Q62" i="10"/>
  <c r="Z62" i="10"/>
  <c r="Q99" i="10"/>
  <c r="Z99" i="10"/>
  <c r="Y33" i="10"/>
  <c r="Q90" i="10"/>
  <c r="Z90" i="10"/>
  <c r="E90" i="10" s="1"/>
  <c r="Q71" i="10"/>
  <c r="Z71" i="10"/>
  <c r="Z108" i="10"/>
  <c r="Q108" i="10"/>
  <c r="Q73" i="10"/>
  <c r="Z73" i="10"/>
  <c r="Q47" i="10"/>
  <c r="Z47" i="10"/>
  <c r="Q109" i="10"/>
  <c r="Z109" i="10"/>
  <c r="Z61" i="10"/>
  <c r="E61" i="10" s="1"/>
  <c r="Q61" i="10"/>
  <c r="Y38" i="10"/>
  <c r="E76" i="10"/>
  <c r="Q35" i="10"/>
  <c r="Z35" i="10"/>
  <c r="Q105" i="10"/>
  <c r="Z105" i="10"/>
  <c r="Q89" i="10"/>
  <c r="Z89" i="10"/>
  <c r="E89" i="10" s="1"/>
  <c r="Q81" i="10"/>
  <c r="Z81" i="10"/>
  <c r="Q43" i="10"/>
  <c r="Z43" i="10"/>
  <c r="Q72" i="10"/>
  <c r="Z72" i="10"/>
  <c r="Q70" i="10"/>
  <c r="Z70" i="10"/>
  <c r="Q51" i="10"/>
  <c r="Z51" i="10"/>
  <c r="Y87" i="10"/>
  <c r="Q78" i="10"/>
  <c r="Z78" i="10"/>
  <c r="Z59" i="10"/>
  <c r="Q59" i="10"/>
  <c r="Z98" i="10"/>
  <c r="Q98" i="10"/>
  <c r="Q80" i="10"/>
  <c r="Z80" i="10"/>
  <c r="Z60" i="10"/>
  <c r="Q60" i="10"/>
  <c r="Q42" i="10"/>
  <c r="Z42" i="10"/>
  <c r="Q107" i="10"/>
  <c r="Z107" i="10"/>
  <c r="Q36" i="10"/>
  <c r="Z36" i="10"/>
  <c r="Q53" i="10"/>
  <c r="Z53" i="10"/>
  <c r="Q103" i="10"/>
  <c r="Z103" i="10"/>
  <c r="Q63" i="10"/>
  <c r="Z63" i="10"/>
  <c r="Q52" i="10"/>
  <c r="Z52" i="10"/>
  <c r="Q94" i="10"/>
  <c r="Z94" i="10"/>
  <c r="Q64" i="10"/>
  <c r="Z64" i="10"/>
  <c r="E64" i="10" s="1"/>
  <c r="Q41" i="10"/>
  <c r="Z41" i="10"/>
  <c r="Z92" i="10"/>
  <c r="Q92" i="10"/>
  <c r="Q69" i="10"/>
  <c r="Z69" i="10"/>
  <c r="Y102" i="10"/>
  <c r="Y88" i="10"/>
  <c r="Q74" i="10"/>
  <c r="Z74" i="10"/>
  <c r="Z49" i="10"/>
  <c r="Q49" i="10"/>
  <c r="Y32" i="10"/>
  <c r="Y104" i="10"/>
  <c r="Y46" i="10"/>
  <c r="Y54" i="10"/>
  <c r="Q37" i="10"/>
  <c r="Z37" i="10"/>
  <c r="Q96" i="10"/>
  <c r="Z96" i="10"/>
  <c r="Y106" i="10"/>
  <c r="Z65" i="10"/>
  <c r="Q65" i="10"/>
  <c r="Q6" i="9"/>
  <c r="S6" i="10"/>
  <c r="AH6" i="10" s="1"/>
  <c r="Q17" i="10"/>
  <c r="Q9" i="9"/>
  <c r="S9" i="10"/>
  <c r="AG9" i="10" s="1"/>
  <c r="Q7" i="9"/>
  <c r="S7" i="10"/>
  <c r="AH7" i="10" s="1"/>
  <c r="V5" i="9"/>
  <c r="Q22" i="9"/>
  <c r="S22" i="10"/>
  <c r="AG22" i="10" s="1"/>
  <c r="Q24" i="9"/>
  <c r="S24" i="10"/>
  <c r="AF24" i="10" s="1"/>
  <c r="Q20" i="9"/>
  <c r="S20" i="10"/>
  <c r="AG20" i="10" s="1"/>
  <c r="Q18" i="9"/>
  <c r="S18" i="10"/>
  <c r="AG18" i="10" s="1"/>
  <c r="Q16" i="9"/>
  <c r="S16" i="10"/>
  <c r="AH16" i="10" s="1"/>
  <c r="Q14" i="9"/>
  <c r="S14" i="10"/>
  <c r="AH14" i="10" s="1"/>
  <c r="Q8" i="9"/>
  <c r="S8" i="10"/>
  <c r="AH8" i="10" s="1"/>
  <c r="Q25" i="9"/>
  <c r="S25" i="10"/>
  <c r="AF25" i="10" s="1"/>
  <c r="Q26" i="9"/>
  <c r="S26" i="10"/>
  <c r="AF26" i="10" s="1"/>
  <c r="Q19" i="9"/>
  <c r="S19" i="10"/>
  <c r="AH19" i="10" s="1"/>
  <c r="Z17" i="10"/>
  <c r="E17" i="10" s="1"/>
  <c r="F17" i="10" s="1"/>
  <c r="N17" i="10" s="1"/>
  <c r="Q21" i="9"/>
  <c r="S21" i="10"/>
  <c r="AF21" i="10" s="1"/>
  <c r="Q13" i="9"/>
  <c r="S13" i="10"/>
  <c r="AF13" i="10" s="1"/>
  <c r="Q28" i="9"/>
  <c r="S28" i="10"/>
  <c r="AG28" i="10" s="1"/>
  <c r="Q27" i="9"/>
  <c r="S27" i="10"/>
  <c r="AH27" i="10" s="1"/>
  <c r="Q15" i="9"/>
  <c r="S15" i="10"/>
  <c r="AF15" i="10" s="1"/>
  <c r="Q23" i="9"/>
  <c r="S23" i="10"/>
  <c r="AG23" i="10" s="1"/>
  <c r="Q12" i="9"/>
  <c r="S12" i="10"/>
  <c r="AG12" i="10" s="1"/>
  <c r="Q11" i="9"/>
  <c r="S11" i="10"/>
  <c r="AH11" i="10" s="1"/>
  <c r="Q10" i="9"/>
  <c r="S10" i="10"/>
  <c r="AG10" i="10" s="1"/>
  <c r="Z22" i="10"/>
  <c r="Z24" i="10"/>
  <c r="Z27" i="10"/>
  <c r="Z23" i="10"/>
  <c r="Z15" i="10"/>
  <c r="Z11" i="10"/>
  <c r="Z20" i="10"/>
  <c r="Z8" i="10"/>
  <c r="E8" i="10" s="1"/>
  <c r="Z21" i="10"/>
  <c r="Z7" i="10"/>
  <c r="Z26" i="10"/>
  <c r="Z25" i="10"/>
  <c r="Z16" i="10"/>
  <c r="Z13" i="10"/>
  <c r="Z14" i="10"/>
  <c r="Z28" i="10"/>
  <c r="Z19" i="10"/>
  <c r="Z10" i="10"/>
  <c r="Z9" i="10"/>
  <c r="Z6" i="10"/>
  <c r="Z12" i="10"/>
  <c r="Z18" i="10"/>
  <c r="Y34" i="9" l="1"/>
  <c r="Z34" i="9" s="1"/>
  <c r="Y33" i="9"/>
  <c r="Z33" i="9" s="1"/>
  <c r="E33" i="9" s="1"/>
  <c r="Y6" i="9"/>
  <c r="Z6" i="9" s="1"/>
  <c r="S76" i="10"/>
  <c r="AF76" i="10" s="1"/>
  <c r="Q76" i="9"/>
  <c r="D65" i="19"/>
  <c r="Z77" i="10"/>
  <c r="Z83" i="10" s="1"/>
  <c r="Z116" i="10" s="1"/>
  <c r="Z121" i="10" s="1"/>
  <c r="Q77" i="10"/>
  <c r="Q77" i="9" s="1"/>
  <c r="Q86" i="10"/>
  <c r="Q86" i="9" s="1"/>
  <c r="W124" i="10"/>
  <c r="D14" i="29" s="1"/>
  <c r="Y86" i="9"/>
  <c r="Y56" i="10"/>
  <c r="Y115" i="10" s="1"/>
  <c r="Y120" i="10" s="1"/>
  <c r="U83" i="9"/>
  <c r="U116" i="9" s="1"/>
  <c r="U121" i="9" s="1"/>
  <c r="E86" i="10"/>
  <c r="F86" i="10" s="1"/>
  <c r="Q5" i="10"/>
  <c r="S5" i="10" s="1"/>
  <c r="Y29" i="10"/>
  <c r="Y114" i="10" s="1"/>
  <c r="Y119" i="10" s="1"/>
  <c r="Y59" i="9"/>
  <c r="Y110" i="10"/>
  <c r="Y117" i="10" s="1"/>
  <c r="Y122" i="10" s="1"/>
  <c r="V29" i="9"/>
  <c r="V114" i="9" s="1"/>
  <c r="V119" i="9" s="1"/>
  <c r="V32" i="9"/>
  <c r="U56" i="9"/>
  <c r="U115" i="9" s="1"/>
  <c r="U120" i="9" s="1"/>
  <c r="U110" i="9"/>
  <c r="U117" i="9" s="1"/>
  <c r="U122" i="9" s="1"/>
  <c r="U29" i="9"/>
  <c r="U114" i="9" s="1"/>
  <c r="U119" i="9" s="1"/>
  <c r="F76" i="10"/>
  <c r="G76" i="10" s="1"/>
  <c r="AH26" i="10"/>
  <c r="V77" i="9"/>
  <c r="V83" i="9" s="1"/>
  <c r="V116" i="9" s="1"/>
  <c r="V121" i="9" s="1"/>
  <c r="AH18" i="10"/>
  <c r="AH24" i="10"/>
  <c r="F93" i="9"/>
  <c r="N93" i="9" s="1"/>
  <c r="AF14" i="10"/>
  <c r="F90" i="9"/>
  <c r="N90" i="9" s="1"/>
  <c r="AF18" i="10"/>
  <c r="Z5" i="10"/>
  <c r="Z29" i="10" s="1"/>
  <c r="Z114" i="10" s="1"/>
  <c r="Z119" i="10" s="1"/>
  <c r="AG14" i="10"/>
  <c r="AG25" i="10"/>
  <c r="AG24" i="10"/>
  <c r="AH9" i="10"/>
  <c r="AH20" i="10"/>
  <c r="F106" i="9"/>
  <c r="N106" i="9" s="1"/>
  <c r="F103" i="9"/>
  <c r="N103" i="9" s="1"/>
  <c r="F100" i="9"/>
  <c r="N100" i="9" s="1"/>
  <c r="AF9" i="10"/>
  <c r="F94" i="9"/>
  <c r="N94" i="9" s="1"/>
  <c r="F87" i="9"/>
  <c r="N87" i="9" s="1"/>
  <c r="F51" i="9"/>
  <c r="N51" i="9" s="1"/>
  <c r="F96" i="9"/>
  <c r="N96" i="9" s="1"/>
  <c r="F95" i="9"/>
  <c r="N95" i="9" s="1"/>
  <c r="F66" i="9"/>
  <c r="N66" i="9" s="1"/>
  <c r="F104" i="9"/>
  <c r="N104" i="9" s="1"/>
  <c r="V97" i="9"/>
  <c r="Y97" i="9" s="1"/>
  <c r="Z97" i="9" s="1"/>
  <c r="E97" i="9" s="1"/>
  <c r="F97" i="9" s="1"/>
  <c r="N97" i="9" s="1"/>
  <c r="V98" i="9"/>
  <c r="Y98" i="9" s="1"/>
  <c r="Z98" i="9" s="1"/>
  <c r="E98" i="9" s="1"/>
  <c r="F98" i="9" s="1"/>
  <c r="N98" i="9" s="1"/>
  <c r="F92" i="9"/>
  <c r="N92" i="9" s="1"/>
  <c r="V88" i="9"/>
  <c r="Y88" i="9" s="1"/>
  <c r="Z88" i="9" s="1"/>
  <c r="AF7" i="10"/>
  <c r="AG16" i="10"/>
  <c r="AG7" i="10"/>
  <c r="AF8" i="10"/>
  <c r="AF16" i="10"/>
  <c r="AG26" i="10"/>
  <c r="AG19" i="10"/>
  <c r="AH28" i="10"/>
  <c r="AF19" i="10"/>
  <c r="AH25" i="10"/>
  <c r="AF12" i="10"/>
  <c r="AG13" i="10"/>
  <c r="AG27" i="10"/>
  <c r="AG6" i="10"/>
  <c r="AF28" i="10"/>
  <c r="Y5" i="9"/>
  <c r="AG21" i="10"/>
  <c r="AH21" i="10"/>
  <c r="AH15" i="10"/>
  <c r="AH10" i="10"/>
  <c r="AH12" i="10"/>
  <c r="AF10" i="10"/>
  <c r="AG15" i="10"/>
  <c r="AH23" i="10"/>
  <c r="AF22" i="10"/>
  <c r="E37" i="10"/>
  <c r="F37" i="10" s="1"/>
  <c r="N37" i="10" s="1"/>
  <c r="E74" i="10"/>
  <c r="F74" i="10" s="1"/>
  <c r="N74" i="10" s="1"/>
  <c r="M40" i="9"/>
  <c r="E92" i="10"/>
  <c r="F92" i="10" s="1"/>
  <c r="N92" i="10" s="1"/>
  <c r="AH13" i="10"/>
  <c r="AF11" i="10"/>
  <c r="AF23" i="10"/>
  <c r="AF27" i="10"/>
  <c r="Z106" i="10"/>
  <c r="Q106" i="10"/>
  <c r="F82" i="9"/>
  <c r="N82" i="9" s="1"/>
  <c r="M82" i="9"/>
  <c r="E81" i="9"/>
  <c r="F81" i="9" s="1"/>
  <c r="N81" i="9" s="1"/>
  <c r="E69" i="9"/>
  <c r="F69" i="9" s="1"/>
  <c r="N69" i="9" s="1"/>
  <c r="Q37" i="9"/>
  <c r="S37" i="10"/>
  <c r="Z32" i="10"/>
  <c r="Q32" i="10"/>
  <c r="S74" i="10"/>
  <c r="Q74" i="9"/>
  <c r="E69" i="10"/>
  <c r="F69" i="10" s="1"/>
  <c r="N69" i="10" s="1"/>
  <c r="E41" i="10"/>
  <c r="F41" i="10" s="1"/>
  <c r="N41" i="10" s="1"/>
  <c r="E94" i="10"/>
  <c r="F94" i="10" s="1"/>
  <c r="N94" i="10" s="1"/>
  <c r="E103" i="10"/>
  <c r="E36" i="10"/>
  <c r="F36" i="10" s="1"/>
  <c r="N36" i="10" s="1"/>
  <c r="E42" i="10"/>
  <c r="F42" i="10" s="1"/>
  <c r="N42" i="10" s="1"/>
  <c r="E60" i="10"/>
  <c r="E98" i="10"/>
  <c r="F98" i="10" s="1"/>
  <c r="N98" i="10" s="1"/>
  <c r="E78" i="10"/>
  <c r="F78" i="10" s="1"/>
  <c r="N78" i="10" s="1"/>
  <c r="E70" i="10"/>
  <c r="E43" i="10"/>
  <c r="F43" i="10" s="1"/>
  <c r="N43" i="10" s="1"/>
  <c r="M107" i="9"/>
  <c r="G107" i="9"/>
  <c r="O107" i="9" s="1"/>
  <c r="S81" i="10"/>
  <c r="Q81" i="9"/>
  <c r="S105" i="10"/>
  <c r="Q105" i="9"/>
  <c r="F61" i="10"/>
  <c r="N61" i="10" s="1"/>
  <c r="M61" i="10"/>
  <c r="Q47" i="9"/>
  <c r="S47" i="10"/>
  <c r="E108" i="10"/>
  <c r="F108" i="10" s="1"/>
  <c r="N108" i="10" s="1"/>
  <c r="F90" i="10"/>
  <c r="N90" i="10" s="1"/>
  <c r="M90" i="10"/>
  <c r="S99" i="10"/>
  <c r="Q99" i="9"/>
  <c r="E75" i="10"/>
  <c r="F75" i="10" s="1"/>
  <c r="N75" i="10" s="1"/>
  <c r="Q91" i="10"/>
  <c r="Z91" i="10"/>
  <c r="E91" i="10" s="1"/>
  <c r="S67" i="10"/>
  <c r="Q67" i="9"/>
  <c r="E34" i="10"/>
  <c r="F34" i="10" s="1"/>
  <c r="N34" i="10" s="1"/>
  <c r="S68" i="10"/>
  <c r="Q68" i="9"/>
  <c r="Q55" i="9"/>
  <c r="S55" i="10"/>
  <c r="S45" i="10"/>
  <c r="Q45" i="9"/>
  <c r="E95" i="10"/>
  <c r="E50" i="10"/>
  <c r="F50" i="10" s="1"/>
  <c r="N50" i="10" s="1"/>
  <c r="Q104" i="10"/>
  <c r="Z104" i="10"/>
  <c r="E34" i="9"/>
  <c r="F34" i="9" s="1"/>
  <c r="N34" i="9" s="1"/>
  <c r="Q64" i="9"/>
  <c r="S64" i="10"/>
  <c r="S53" i="10"/>
  <c r="Q53" i="9"/>
  <c r="S65" i="10"/>
  <c r="Q65" i="9"/>
  <c r="E96" i="10"/>
  <c r="Q54" i="10"/>
  <c r="Z54" i="10"/>
  <c r="Q49" i="9"/>
  <c r="S49" i="10"/>
  <c r="Q88" i="10"/>
  <c r="Z88" i="10"/>
  <c r="E88" i="10" s="1"/>
  <c r="F53" i="9"/>
  <c r="N53" i="9" s="1"/>
  <c r="M53" i="9"/>
  <c r="E55" i="9"/>
  <c r="M101" i="9"/>
  <c r="G101" i="9"/>
  <c r="O101" i="9" s="1"/>
  <c r="Q69" i="9"/>
  <c r="S69" i="10"/>
  <c r="S41" i="10"/>
  <c r="Q41" i="9"/>
  <c r="S94" i="10"/>
  <c r="Q94" i="9"/>
  <c r="Q103" i="9"/>
  <c r="S103" i="10"/>
  <c r="S36" i="10"/>
  <c r="Q36" i="9"/>
  <c r="Q42" i="9"/>
  <c r="S42" i="10"/>
  <c r="F75" i="9"/>
  <c r="N75" i="9" s="1"/>
  <c r="M75" i="9"/>
  <c r="Z62" i="9"/>
  <c r="E62" i="9" s="1"/>
  <c r="E80" i="10"/>
  <c r="M99" i="9"/>
  <c r="G99" i="9"/>
  <c r="Q78" i="9"/>
  <c r="S78" i="10"/>
  <c r="Q87" i="10"/>
  <c r="Z87" i="10"/>
  <c r="Q70" i="9"/>
  <c r="S70" i="10"/>
  <c r="Q43" i="9"/>
  <c r="S43" i="10"/>
  <c r="F37" i="9"/>
  <c r="N37" i="9" s="1"/>
  <c r="M37" i="9"/>
  <c r="F46" i="9"/>
  <c r="N46" i="9" s="1"/>
  <c r="M46" i="9"/>
  <c r="F45" i="9"/>
  <c r="N45" i="9" s="1"/>
  <c r="M45" i="9"/>
  <c r="F89" i="10"/>
  <c r="N89" i="10" s="1"/>
  <c r="M89" i="10"/>
  <c r="E35" i="10"/>
  <c r="E109" i="10"/>
  <c r="F109" i="10" s="1"/>
  <c r="N109" i="10" s="1"/>
  <c r="E73" i="10"/>
  <c r="F63" i="9"/>
  <c r="N63" i="9" s="1"/>
  <c r="M63" i="9"/>
  <c r="E61" i="9"/>
  <c r="F61" i="9" s="1"/>
  <c r="N61" i="9" s="1"/>
  <c r="E74" i="9"/>
  <c r="Q90" i="9"/>
  <c r="S90" i="10"/>
  <c r="E62" i="10"/>
  <c r="E100" i="10"/>
  <c r="F100" i="10" s="1"/>
  <c r="N100" i="10" s="1"/>
  <c r="M89" i="9"/>
  <c r="G89" i="9"/>
  <c r="O89" i="9" s="1"/>
  <c r="F38" i="9"/>
  <c r="N38" i="9" s="1"/>
  <c r="M38" i="9"/>
  <c r="F49" i="9"/>
  <c r="N49" i="9" s="1"/>
  <c r="M49" i="9"/>
  <c r="E48" i="9"/>
  <c r="F48" i="9" s="1"/>
  <c r="N48" i="9" s="1"/>
  <c r="M109" i="9"/>
  <c r="G109" i="9"/>
  <c r="O109" i="9" s="1"/>
  <c r="E64" i="9"/>
  <c r="E79" i="9"/>
  <c r="F79" i="9" s="1"/>
  <c r="N79" i="9" s="1"/>
  <c r="E76" i="9"/>
  <c r="E66" i="10"/>
  <c r="F66" i="10" s="1"/>
  <c r="N66" i="10" s="1"/>
  <c r="Q34" i="9"/>
  <c r="S34" i="10"/>
  <c r="E50" i="9"/>
  <c r="F50" i="9" s="1"/>
  <c r="N50" i="9" s="1"/>
  <c r="M33" i="9"/>
  <c r="E54" i="9"/>
  <c r="F54" i="9" s="1"/>
  <c r="N54" i="9" s="1"/>
  <c r="E93" i="10"/>
  <c r="Q44" i="10"/>
  <c r="Z44" i="10"/>
  <c r="E45" i="10"/>
  <c r="Q95" i="9"/>
  <c r="S95" i="10"/>
  <c r="Q50" i="9"/>
  <c r="S50" i="10"/>
  <c r="Q107" i="9"/>
  <c r="S107" i="10"/>
  <c r="AF6" i="10"/>
  <c r="AG11" i="10"/>
  <c r="E65" i="10"/>
  <c r="F65" i="10" s="1"/>
  <c r="N65" i="10" s="1"/>
  <c r="F71" i="9"/>
  <c r="N71" i="9" s="1"/>
  <c r="M71" i="9"/>
  <c r="F60" i="9"/>
  <c r="N60" i="9" s="1"/>
  <c r="M60" i="9"/>
  <c r="E80" i="9"/>
  <c r="F80" i="9" s="1"/>
  <c r="N80" i="9" s="1"/>
  <c r="Q96" i="9"/>
  <c r="S96" i="10"/>
  <c r="Z46" i="10"/>
  <c r="Q46" i="10"/>
  <c r="E49" i="10"/>
  <c r="F49" i="10" s="1"/>
  <c r="N49" i="10" s="1"/>
  <c r="Q102" i="10"/>
  <c r="Z102" i="10"/>
  <c r="F40" i="9"/>
  <c r="N40" i="9" s="1"/>
  <c r="S92" i="10"/>
  <c r="Q92" i="9"/>
  <c r="F64" i="10"/>
  <c r="N64" i="10" s="1"/>
  <c r="M64" i="10"/>
  <c r="E52" i="10"/>
  <c r="E63" i="10"/>
  <c r="F63" i="10" s="1"/>
  <c r="N63" i="10" s="1"/>
  <c r="E53" i="10"/>
  <c r="E107" i="10"/>
  <c r="F107" i="10" s="1"/>
  <c r="N107" i="10" s="1"/>
  <c r="Q80" i="9"/>
  <c r="S80" i="10"/>
  <c r="S59" i="10"/>
  <c r="Q59" i="9"/>
  <c r="E51" i="10"/>
  <c r="E72" i="10"/>
  <c r="F72" i="10" s="1"/>
  <c r="N72" i="10" s="1"/>
  <c r="M108" i="9"/>
  <c r="G108" i="9"/>
  <c r="O108" i="9" s="1"/>
  <c r="Q89" i="9"/>
  <c r="S89" i="10"/>
  <c r="S35" i="10"/>
  <c r="Q35" i="9"/>
  <c r="M76" i="10"/>
  <c r="Q38" i="10"/>
  <c r="Z38" i="10"/>
  <c r="S109" i="10"/>
  <c r="Q109" i="9"/>
  <c r="S73" i="10"/>
  <c r="Q73" i="9"/>
  <c r="E71" i="10"/>
  <c r="Q33" i="10"/>
  <c r="Z33" i="10"/>
  <c r="Q62" i="9"/>
  <c r="S62" i="10"/>
  <c r="Q100" i="9"/>
  <c r="S100" i="10"/>
  <c r="E79" i="10"/>
  <c r="S66" i="10"/>
  <c r="Q66" i="9"/>
  <c r="E82" i="10"/>
  <c r="F82" i="10" s="1"/>
  <c r="N82" i="10" s="1"/>
  <c r="S93" i="10"/>
  <c r="Q93" i="9"/>
  <c r="E39" i="10"/>
  <c r="F39" i="10" s="1"/>
  <c r="N39" i="10" s="1"/>
  <c r="E97" i="10"/>
  <c r="Q40" i="9"/>
  <c r="S40" i="10"/>
  <c r="E48" i="10"/>
  <c r="S52" i="10"/>
  <c r="Q52" i="9"/>
  <c r="Q63" i="9"/>
  <c r="S63" i="10"/>
  <c r="M91" i="9"/>
  <c r="G91" i="9"/>
  <c r="E72" i="9"/>
  <c r="F72" i="9" s="1"/>
  <c r="N72" i="9" s="1"/>
  <c r="S60" i="10"/>
  <c r="Q60" i="9"/>
  <c r="S98" i="10"/>
  <c r="Q98" i="9"/>
  <c r="E59" i="10"/>
  <c r="Q51" i="9"/>
  <c r="S51" i="10"/>
  <c r="S72" i="10"/>
  <c r="Q72" i="9"/>
  <c r="F47" i="9"/>
  <c r="N47" i="9" s="1"/>
  <c r="M47" i="9"/>
  <c r="F42" i="9"/>
  <c r="N42" i="9" s="1"/>
  <c r="M42" i="9"/>
  <c r="E35" i="9"/>
  <c r="F35" i="9" s="1"/>
  <c r="N35" i="9" s="1"/>
  <c r="E81" i="10"/>
  <c r="F81" i="10" s="1"/>
  <c r="N81" i="10" s="1"/>
  <c r="E105" i="10"/>
  <c r="S61" i="10"/>
  <c r="Q61" i="9"/>
  <c r="E47" i="10"/>
  <c r="F47" i="10" s="1"/>
  <c r="N47" i="10" s="1"/>
  <c r="Q108" i="9"/>
  <c r="S108" i="10"/>
  <c r="Q71" i="9"/>
  <c r="S71" i="10"/>
  <c r="F70" i="9"/>
  <c r="N70" i="9" s="1"/>
  <c r="M70" i="9"/>
  <c r="E68" i="9"/>
  <c r="F68" i="9" s="1"/>
  <c r="N68" i="9" s="1"/>
  <c r="F78" i="9"/>
  <c r="N78" i="9" s="1"/>
  <c r="M78" i="9"/>
  <c r="M102" i="9"/>
  <c r="G102" i="9"/>
  <c r="O102" i="9" s="1"/>
  <c r="E99" i="10"/>
  <c r="Q75" i="9"/>
  <c r="S75" i="10"/>
  <c r="M105" i="9"/>
  <c r="G105" i="9"/>
  <c r="O105" i="9" s="1"/>
  <c r="E44" i="9"/>
  <c r="F44" i="9" s="1"/>
  <c r="N44" i="9" s="1"/>
  <c r="E43" i="9"/>
  <c r="F43" i="9" s="1"/>
  <c r="N43" i="9" s="1"/>
  <c r="E36" i="9"/>
  <c r="F36" i="9" s="1"/>
  <c r="N36" i="9" s="1"/>
  <c r="Z101" i="10"/>
  <c r="Q101" i="10"/>
  <c r="F67" i="9"/>
  <c r="N67" i="9" s="1"/>
  <c r="M67" i="9"/>
  <c r="E73" i="9"/>
  <c r="F73" i="9" s="1"/>
  <c r="N73" i="9" s="1"/>
  <c r="E65" i="9"/>
  <c r="S79" i="10"/>
  <c r="Q79" i="9"/>
  <c r="E67" i="10"/>
  <c r="Q82" i="9"/>
  <c r="S82" i="10"/>
  <c r="F39" i="9"/>
  <c r="N39" i="9" s="1"/>
  <c r="M39" i="9"/>
  <c r="E52" i="9"/>
  <c r="F52" i="9" s="1"/>
  <c r="N52" i="9" s="1"/>
  <c r="F41" i="9"/>
  <c r="N41" i="9" s="1"/>
  <c r="M41" i="9"/>
  <c r="E68" i="10"/>
  <c r="F68" i="10" s="1"/>
  <c r="N68" i="10" s="1"/>
  <c r="E55" i="10"/>
  <c r="Q39" i="9"/>
  <c r="S39" i="10"/>
  <c r="Q97" i="9"/>
  <c r="S97" i="10"/>
  <c r="E40" i="10"/>
  <c r="F40" i="10" s="1"/>
  <c r="N40" i="10" s="1"/>
  <c r="Q48" i="9"/>
  <c r="S48" i="10"/>
  <c r="Q17" i="9"/>
  <c r="S17" i="10"/>
  <c r="AG8" i="10"/>
  <c r="AF20" i="10"/>
  <c r="AH22" i="10"/>
  <c r="E18" i="10"/>
  <c r="F18" i="10" s="1"/>
  <c r="N18" i="10" s="1"/>
  <c r="Z19" i="9"/>
  <c r="E6" i="10"/>
  <c r="F6" i="10" s="1"/>
  <c r="N6" i="10" s="1"/>
  <c r="Z27" i="9"/>
  <c r="Z8" i="9"/>
  <c r="Z24" i="9"/>
  <c r="Z20" i="9"/>
  <c r="E15" i="10"/>
  <c r="F15" i="10" s="1"/>
  <c r="N15" i="10" s="1"/>
  <c r="Z10" i="9"/>
  <c r="E23" i="10"/>
  <c r="F23" i="10" s="1"/>
  <c r="N23" i="10" s="1"/>
  <c r="E27" i="10"/>
  <c r="F27" i="10" s="1"/>
  <c r="N27" i="10" s="1"/>
  <c r="E24" i="10"/>
  <c r="F24" i="10" s="1"/>
  <c r="N24" i="10" s="1"/>
  <c r="E22" i="10"/>
  <c r="F22" i="10" s="1"/>
  <c r="N22" i="10" s="1"/>
  <c r="Z7" i="9"/>
  <c r="Z18" i="9"/>
  <c r="Z22" i="9"/>
  <c r="Z25" i="9"/>
  <c r="Z23" i="9"/>
  <c r="M17" i="10"/>
  <c r="G17" i="10"/>
  <c r="O17" i="10" s="1"/>
  <c r="E12" i="10"/>
  <c r="F12" i="10" s="1"/>
  <c r="N12" i="10" s="1"/>
  <c r="Z28" i="9"/>
  <c r="Z21" i="9"/>
  <c r="E9" i="10"/>
  <c r="F9" i="10" s="1"/>
  <c r="N9" i="10" s="1"/>
  <c r="E10" i="10"/>
  <c r="E19" i="10"/>
  <c r="E28" i="10"/>
  <c r="F28" i="10" s="1"/>
  <c r="N28" i="10" s="1"/>
  <c r="E14" i="10"/>
  <c r="E13" i="10"/>
  <c r="F13" i="10" s="1"/>
  <c r="N13" i="10" s="1"/>
  <c r="Z15" i="9"/>
  <c r="Z26" i="9"/>
  <c r="Z9" i="9"/>
  <c r="E16" i="10"/>
  <c r="E25" i="10"/>
  <c r="F25" i="10" s="1"/>
  <c r="N25" i="10" s="1"/>
  <c r="E26" i="10"/>
  <c r="Z16" i="9"/>
  <c r="Z13" i="9"/>
  <c r="E7" i="10"/>
  <c r="F7" i="10" s="1"/>
  <c r="N7" i="10" s="1"/>
  <c r="E21" i="10"/>
  <c r="F8" i="10"/>
  <c r="N8" i="10" s="1"/>
  <c r="M8" i="10"/>
  <c r="E20" i="10"/>
  <c r="F20" i="10" s="1"/>
  <c r="N20" i="10" s="1"/>
  <c r="E11" i="10"/>
  <c r="Z12" i="9"/>
  <c r="Z11" i="9"/>
  <c r="Z14" i="9"/>
  <c r="Z17" i="9"/>
  <c r="F33" i="9" l="1"/>
  <c r="N33" i="9" s="1"/>
  <c r="AG76" i="10"/>
  <c r="S77" i="10"/>
  <c r="S83" i="10" s="1"/>
  <c r="S116" i="10" s="1"/>
  <c r="S121" i="10" s="1"/>
  <c r="AH76" i="10"/>
  <c r="E77" i="10"/>
  <c r="M86" i="10"/>
  <c r="S86" i="10"/>
  <c r="AG86" i="10" s="1"/>
  <c r="E5" i="10"/>
  <c r="F5" i="10" s="1"/>
  <c r="AI24" i="10"/>
  <c r="Q83" i="10"/>
  <c r="Q116" i="10" s="1"/>
  <c r="Q121" i="10" s="1"/>
  <c r="H14" i="29"/>
  <c r="Z110" i="10"/>
  <c r="Z117" i="10" s="1"/>
  <c r="Z122" i="10" s="1"/>
  <c r="S29" i="10"/>
  <c r="S114" i="10" s="1"/>
  <c r="S119" i="10" s="1"/>
  <c r="D16" i="29"/>
  <c r="D32" i="29"/>
  <c r="Q110" i="10"/>
  <c r="Q117" i="10" s="1"/>
  <c r="Q122" i="10" s="1"/>
  <c r="N86" i="10"/>
  <c r="Q56" i="10"/>
  <c r="Q115" i="10" s="1"/>
  <c r="Q120" i="10" s="1"/>
  <c r="AI28" i="10"/>
  <c r="Y32" i="9"/>
  <c r="V56" i="9"/>
  <c r="Z59" i="9"/>
  <c r="E32" i="10"/>
  <c r="M32" i="10" s="1"/>
  <c r="Z56" i="10"/>
  <c r="Z115" i="10" s="1"/>
  <c r="Z120" i="10" s="1"/>
  <c r="Y124" i="10"/>
  <c r="V110" i="9"/>
  <c r="V117" i="9" s="1"/>
  <c r="V122" i="9" s="1"/>
  <c r="F59" i="10"/>
  <c r="G59" i="10" s="1"/>
  <c r="Z5" i="9"/>
  <c r="Y29" i="9"/>
  <c r="Y114" i="9" s="1"/>
  <c r="Y119" i="9" s="1"/>
  <c r="AI8" i="10"/>
  <c r="Q83" i="9"/>
  <c r="Q116" i="9" s="1"/>
  <c r="Q121" i="9" s="1"/>
  <c r="U124" i="9"/>
  <c r="L13" i="29" s="1"/>
  <c r="Q5" i="9"/>
  <c r="Q29" i="9" s="1"/>
  <c r="Q114" i="9" s="1"/>
  <c r="Q119" i="9" s="1"/>
  <c r="Q29" i="10"/>
  <c r="Q114" i="10" s="1"/>
  <c r="Q119" i="10" s="1"/>
  <c r="Z86" i="9"/>
  <c r="Y110" i="9"/>
  <c r="Y117" i="9" s="1"/>
  <c r="Y122" i="9" s="1"/>
  <c r="AI26" i="10"/>
  <c r="AI9" i="10"/>
  <c r="O76" i="10"/>
  <c r="N76" i="10"/>
  <c r="AI18" i="10"/>
  <c r="AI14" i="10"/>
  <c r="G93" i="9"/>
  <c r="O93" i="9" s="1"/>
  <c r="P93" i="9" s="1"/>
  <c r="L93" i="9" s="1"/>
  <c r="AD93" i="9" s="1"/>
  <c r="Y77" i="9"/>
  <c r="Y83" i="9" s="1"/>
  <c r="Y116" i="9" s="1"/>
  <c r="Y121" i="9" s="1"/>
  <c r="AI25" i="10"/>
  <c r="AI19" i="10"/>
  <c r="G90" i="9"/>
  <c r="O90" i="9" s="1"/>
  <c r="P90" i="9" s="1"/>
  <c r="L90" i="9" s="1"/>
  <c r="AB90" i="9" s="1"/>
  <c r="AI20" i="10"/>
  <c r="G106" i="9"/>
  <c r="O106" i="9" s="1"/>
  <c r="P106" i="9" s="1"/>
  <c r="L106" i="9" s="1"/>
  <c r="AB106" i="9" s="1"/>
  <c r="AI16" i="10"/>
  <c r="AI7" i="10"/>
  <c r="G96" i="9"/>
  <c r="O96" i="9" s="1"/>
  <c r="P96" i="9" s="1"/>
  <c r="L96" i="9" s="1"/>
  <c r="AD96" i="9" s="1"/>
  <c r="G51" i="9"/>
  <c r="O51" i="9" s="1"/>
  <c r="P51" i="9" s="1"/>
  <c r="L51" i="9" s="1"/>
  <c r="AB51" i="9" s="1"/>
  <c r="G87" i="9"/>
  <c r="O87" i="9" s="1"/>
  <c r="P87" i="9" s="1"/>
  <c r="L87" i="9" s="1"/>
  <c r="AB87" i="9" s="1"/>
  <c r="G94" i="9"/>
  <c r="O94" i="9" s="1"/>
  <c r="P94" i="9" s="1"/>
  <c r="L94" i="9" s="1"/>
  <c r="AB94" i="9" s="1"/>
  <c r="G103" i="9"/>
  <c r="O103" i="9" s="1"/>
  <c r="P103" i="9" s="1"/>
  <c r="L103" i="9" s="1"/>
  <c r="AD103" i="9" s="1"/>
  <c r="G100" i="9"/>
  <c r="O100" i="9" s="1"/>
  <c r="P100" i="9" s="1"/>
  <c r="L100" i="9" s="1"/>
  <c r="G92" i="9"/>
  <c r="H92" i="9" s="1"/>
  <c r="AA92" i="9" s="1"/>
  <c r="AI27" i="10"/>
  <c r="AI23" i="10"/>
  <c r="G104" i="9"/>
  <c r="O104" i="9" s="1"/>
  <c r="P104" i="9" s="1"/>
  <c r="L104" i="9" s="1"/>
  <c r="AD104" i="9" s="1"/>
  <c r="G95" i="9"/>
  <c r="O95" i="9" s="1"/>
  <c r="P95" i="9" s="1"/>
  <c r="L95" i="9" s="1"/>
  <c r="AB95" i="9" s="1"/>
  <c r="G98" i="9"/>
  <c r="O98" i="9" s="1"/>
  <c r="M98" i="9"/>
  <c r="G66" i="9"/>
  <c r="E88" i="9"/>
  <c r="F88" i="9" s="1"/>
  <c r="N88" i="9" s="1"/>
  <c r="G97" i="9"/>
  <c r="O97" i="9" s="1"/>
  <c r="M97" i="9"/>
  <c r="AI11" i="10"/>
  <c r="AI6" i="10"/>
  <c r="AI21" i="10"/>
  <c r="AI12" i="10"/>
  <c r="AI22" i="10"/>
  <c r="AI10" i="10"/>
  <c r="AI15" i="10"/>
  <c r="G41" i="9"/>
  <c r="O41" i="9" s="1"/>
  <c r="P41" i="9" s="1"/>
  <c r="L41" i="9" s="1"/>
  <c r="AI13" i="10"/>
  <c r="G67" i="9"/>
  <c r="O67" i="9" s="1"/>
  <c r="P67" i="9" s="1"/>
  <c r="L67" i="9" s="1"/>
  <c r="G71" i="9"/>
  <c r="O71" i="9" s="1"/>
  <c r="P71" i="9" s="1"/>
  <c r="L71" i="9" s="1"/>
  <c r="P101" i="9"/>
  <c r="L101" i="9" s="1"/>
  <c r="AC101" i="9" s="1"/>
  <c r="G60" i="9"/>
  <c r="O60" i="9" s="1"/>
  <c r="P60" i="9" s="1"/>
  <c r="L60" i="9" s="1"/>
  <c r="AD60" i="9" s="1"/>
  <c r="H101" i="9"/>
  <c r="AA101" i="9" s="1"/>
  <c r="G70" i="9"/>
  <c r="O70" i="9" s="1"/>
  <c r="P70" i="9" s="1"/>
  <c r="L70" i="9" s="1"/>
  <c r="H76" i="10"/>
  <c r="G49" i="9"/>
  <c r="O49" i="9" s="1"/>
  <c r="P49" i="9" s="1"/>
  <c r="L49" i="9" s="1"/>
  <c r="G38" i="9"/>
  <c r="O38" i="9" s="1"/>
  <c r="P38" i="9" s="1"/>
  <c r="L38" i="9" s="1"/>
  <c r="AD38" i="9" s="1"/>
  <c r="G75" i="9"/>
  <c r="O75" i="9" s="1"/>
  <c r="P75" i="9" s="1"/>
  <c r="L75" i="9" s="1"/>
  <c r="AD75" i="9" s="1"/>
  <c r="G61" i="10"/>
  <c r="O61" i="10" s="1"/>
  <c r="P61" i="10" s="1"/>
  <c r="L61" i="10" s="1"/>
  <c r="P102" i="9"/>
  <c r="L102" i="9" s="1"/>
  <c r="AB102" i="9" s="1"/>
  <c r="G90" i="10"/>
  <c r="O90" i="10" s="1"/>
  <c r="P90" i="10" s="1"/>
  <c r="L90" i="10" s="1"/>
  <c r="H107" i="9"/>
  <c r="AA107" i="9" s="1"/>
  <c r="M65" i="9"/>
  <c r="E101" i="10"/>
  <c r="F101" i="10" s="1"/>
  <c r="N101" i="10" s="1"/>
  <c r="M44" i="9"/>
  <c r="G44" i="9"/>
  <c r="O44" i="9" s="1"/>
  <c r="M53" i="10"/>
  <c r="E46" i="10"/>
  <c r="F46" i="10" s="1"/>
  <c r="N46" i="10" s="1"/>
  <c r="M45" i="10"/>
  <c r="M35" i="10"/>
  <c r="M55" i="9"/>
  <c r="M96" i="10"/>
  <c r="M95" i="10"/>
  <c r="AH68" i="10"/>
  <c r="AF68" i="10"/>
  <c r="AG68" i="10"/>
  <c r="AH67" i="10"/>
  <c r="AG67" i="10"/>
  <c r="AF67" i="10"/>
  <c r="F91" i="10"/>
  <c r="N91" i="10" s="1"/>
  <c r="M91" i="10"/>
  <c r="M70" i="10"/>
  <c r="M60" i="10"/>
  <c r="M103" i="10"/>
  <c r="AH37" i="10"/>
  <c r="AG37" i="10"/>
  <c r="AF37" i="10"/>
  <c r="M55" i="10"/>
  <c r="M67" i="10"/>
  <c r="M48" i="10"/>
  <c r="AF39" i="10"/>
  <c r="AG39" i="10"/>
  <c r="AH39" i="10"/>
  <c r="AG82" i="10"/>
  <c r="AH82" i="10"/>
  <c r="AF82" i="10"/>
  <c r="M36" i="9"/>
  <c r="G36" i="9"/>
  <c r="O36" i="9" s="1"/>
  <c r="AF75" i="10"/>
  <c r="AG75" i="10"/>
  <c r="AH75" i="10"/>
  <c r="AF61" i="10"/>
  <c r="AH61" i="10"/>
  <c r="AG61" i="10"/>
  <c r="AF72" i="10"/>
  <c r="AG72" i="10"/>
  <c r="AH72" i="10"/>
  <c r="AG60" i="10"/>
  <c r="AH60" i="10"/>
  <c r="AF60" i="10"/>
  <c r="M79" i="10"/>
  <c r="M71" i="10"/>
  <c r="M51" i="10"/>
  <c r="S102" i="10"/>
  <c r="Q102" i="9"/>
  <c r="AF107" i="10"/>
  <c r="AG107" i="10"/>
  <c r="AH107" i="10"/>
  <c r="M93" i="10"/>
  <c r="M76" i="9"/>
  <c r="M62" i="10"/>
  <c r="M74" i="9"/>
  <c r="AG43" i="10"/>
  <c r="AH43" i="10"/>
  <c r="AF43" i="10"/>
  <c r="E87" i="10"/>
  <c r="F87" i="10" s="1"/>
  <c r="N87" i="10" s="1"/>
  <c r="H99" i="9"/>
  <c r="AA99" i="9" s="1"/>
  <c r="O99" i="9"/>
  <c r="P99" i="9" s="1"/>
  <c r="L99" i="9" s="1"/>
  <c r="M80" i="10"/>
  <c r="M40" i="10"/>
  <c r="G40" i="10"/>
  <c r="O40" i="10" s="1"/>
  <c r="M68" i="10"/>
  <c r="G68" i="10"/>
  <c r="O68" i="10" s="1"/>
  <c r="AG79" i="10"/>
  <c r="AH79" i="10"/>
  <c r="AF79" i="10"/>
  <c r="M73" i="9"/>
  <c r="G73" i="9"/>
  <c r="O73" i="9" s="1"/>
  <c r="H105" i="9"/>
  <c r="AA105" i="9" s="1"/>
  <c r="M68" i="9"/>
  <c r="G68" i="9"/>
  <c r="O68" i="9" s="1"/>
  <c r="M81" i="10"/>
  <c r="G81" i="10"/>
  <c r="O81" i="10" s="1"/>
  <c r="G42" i="9"/>
  <c r="O42" i="9" s="1"/>
  <c r="P42" i="9" s="1"/>
  <c r="L42" i="9" s="1"/>
  <c r="G47" i="9"/>
  <c r="AG51" i="10"/>
  <c r="AF51" i="10"/>
  <c r="AH51" i="10"/>
  <c r="H91" i="9"/>
  <c r="AA91" i="9" s="1"/>
  <c r="O91" i="9"/>
  <c r="P91" i="9" s="1"/>
  <c r="L91" i="9" s="1"/>
  <c r="M39" i="10"/>
  <c r="G39" i="10"/>
  <c r="O39" i="10" s="1"/>
  <c r="M82" i="10"/>
  <c r="G82" i="10"/>
  <c r="O82" i="10" s="1"/>
  <c r="Q33" i="9"/>
  <c r="S33" i="10"/>
  <c r="AG109" i="10"/>
  <c r="AF109" i="10"/>
  <c r="AH109" i="10"/>
  <c r="AH89" i="10"/>
  <c r="AF89" i="10"/>
  <c r="AG89" i="10"/>
  <c r="P108" i="9"/>
  <c r="L108" i="9" s="1"/>
  <c r="AG80" i="10"/>
  <c r="AF80" i="10"/>
  <c r="AH80" i="10"/>
  <c r="M107" i="10"/>
  <c r="G107" i="10"/>
  <c r="O107" i="10" s="1"/>
  <c r="AH96" i="10"/>
  <c r="AF96" i="10"/>
  <c r="AG96" i="10"/>
  <c r="M80" i="9"/>
  <c r="G80" i="9"/>
  <c r="O80" i="9" s="1"/>
  <c r="AF95" i="10"/>
  <c r="AH95" i="10"/>
  <c r="AG95" i="10"/>
  <c r="E44" i="10"/>
  <c r="F44" i="10" s="1"/>
  <c r="N44" i="10" s="1"/>
  <c r="G33" i="9"/>
  <c r="M50" i="9"/>
  <c r="G50" i="9"/>
  <c r="O50" i="9" s="1"/>
  <c r="H109" i="9"/>
  <c r="AA109" i="9" s="1"/>
  <c r="M48" i="9"/>
  <c r="G48" i="9"/>
  <c r="O48" i="9" s="1"/>
  <c r="AF90" i="10"/>
  <c r="AG90" i="10"/>
  <c r="AH90" i="10"/>
  <c r="G63" i="9"/>
  <c r="G37" i="9"/>
  <c r="Q87" i="9"/>
  <c r="S87" i="10"/>
  <c r="F62" i="9"/>
  <c r="N62" i="9" s="1"/>
  <c r="M62" i="9"/>
  <c r="AF41" i="10"/>
  <c r="AG41" i="10"/>
  <c r="AH41" i="10"/>
  <c r="F88" i="10"/>
  <c r="N88" i="10" s="1"/>
  <c r="M88" i="10"/>
  <c r="E54" i="10"/>
  <c r="F54" i="10" s="1"/>
  <c r="N54" i="10" s="1"/>
  <c r="AG55" i="10"/>
  <c r="AH55" i="10"/>
  <c r="AF55" i="10"/>
  <c r="Q91" i="9"/>
  <c r="S91" i="10"/>
  <c r="AF99" i="10"/>
  <c r="AH99" i="10"/>
  <c r="AG99" i="10"/>
  <c r="M108" i="10"/>
  <c r="G108" i="10"/>
  <c r="O108" i="10" s="1"/>
  <c r="AF81" i="10"/>
  <c r="AG81" i="10"/>
  <c r="AH81" i="10"/>
  <c r="M94" i="10"/>
  <c r="G94" i="10"/>
  <c r="O94" i="10" s="1"/>
  <c r="M69" i="10"/>
  <c r="G69" i="10"/>
  <c r="O69" i="10" s="1"/>
  <c r="AG74" i="10"/>
  <c r="AH74" i="10"/>
  <c r="AF74" i="10"/>
  <c r="M81" i="9"/>
  <c r="G81" i="9"/>
  <c r="O81" i="9" s="1"/>
  <c r="M92" i="10"/>
  <c r="G92" i="10"/>
  <c r="O92" i="10" s="1"/>
  <c r="M37" i="10"/>
  <c r="G37" i="10"/>
  <c r="O37" i="10" s="1"/>
  <c r="M99" i="10"/>
  <c r="AH108" i="10"/>
  <c r="AF108" i="10"/>
  <c r="AG108" i="10"/>
  <c r="M105" i="10"/>
  <c r="M97" i="10"/>
  <c r="M59" i="10"/>
  <c r="AF40" i="10"/>
  <c r="AG40" i="10"/>
  <c r="AH40" i="10"/>
  <c r="AF62" i="10"/>
  <c r="AG62" i="10"/>
  <c r="AH62" i="10"/>
  <c r="E33" i="10"/>
  <c r="F33" i="10" s="1"/>
  <c r="N33" i="10" s="1"/>
  <c r="AF35" i="10"/>
  <c r="AH35" i="10"/>
  <c r="AG35" i="10"/>
  <c r="M52" i="10"/>
  <c r="M64" i="9"/>
  <c r="M73" i="10"/>
  <c r="AG48" i="10"/>
  <c r="AF48" i="10"/>
  <c r="AH48" i="10"/>
  <c r="AG97" i="10"/>
  <c r="AH97" i="10"/>
  <c r="AF97" i="10"/>
  <c r="F55" i="10"/>
  <c r="N55" i="10" s="1"/>
  <c r="G39" i="9"/>
  <c r="O39" i="9" s="1"/>
  <c r="P39" i="9" s="1"/>
  <c r="L39" i="9" s="1"/>
  <c r="F67" i="10"/>
  <c r="N67" i="10" s="1"/>
  <c r="F65" i="9"/>
  <c r="N65" i="9" s="1"/>
  <c r="Q101" i="9"/>
  <c r="S101" i="10"/>
  <c r="M43" i="9"/>
  <c r="G43" i="9"/>
  <c r="O43" i="9" s="1"/>
  <c r="P105" i="9"/>
  <c r="L105" i="9" s="1"/>
  <c r="F99" i="10"/>
  <c r="N99" i="10" s="1"/>
  <c r="H102" i="9"/>
  <c r="AA102" i="9" s="1"/>
  <c r="G78" i="9"/>
  <c r="O78" i="9" s="1"/>
  <c r="P78" i="9" s="1"/>
  <c r="L78" i="9" s="1"/>
  <c r="AG71" i="10"/>
  <c r="AH71" i="10"/>
  <c r="AF71" i="10"/>
  <c r="M47" i="10"/>
  <c r="G47" i="10"/>
  <c r="O47" i="10" s="1"/>
  <c r="F105" i="10"/>
  <c r="N105" i="10" s="1"/>
  <c r="AF98" i="10"/>
  <c r="AG98" i="10"/>
  <c r="AH98" i="10"/>
  <c r="M72" i="9"/>
  <c r="G72" i="9"/>
  <c r="O72" i="9" s="1"/>
  <c r="AF52" i="10"/>
  <c r="AH52" i="10"/>
  <c r="AG52" i="10"/>
  <c r="F48" i="10"/>
  <c r="N48" i="10" s="1"/>
  <c r="F97" i="10"/>
  <c r="N97" i="10" s="1"/>
  <c r="AH66" i="10"/>
  <c r="AG66" i="10"/>
  <c r="AF66" i="10"/>
  <c r="AH100" i="10"/>
  <c r="AG100" i="10"/>
  <c r="AF100" i="10"/>
  <c r="E38" i="10"/>
  <c r="F38" i="10" s="1"/>
  <c r="N38" i="10" s="1"/>
  <c r="M72" i="10"/>
  <c r="G72" i="10"/>
  <c r="O72" i="10" s="1"/>
  <c r="AG59" i="10"/>
  <c r="AF59" i="10"/>
  <c r="AH59" i="10"/>
  <c r="M63" i="10"/>
  <c r="G63" i="10"/>
  <c r="O63" i="10" s="1"/>
  <c r="G64" i="10"/>
  <c r="O64" i="10" s="1"/>
  <c r="P64" i="10" s="1"/>
  <c r="L64" i="10" s="1"/>
  <c r="AH92" i="10"/>
  <c r="AG92" i="10"/>
  <c r="AF92" i="10"/>
  <c r="M49" i="10"/>
  <c r="G49" i="10"/>
  <c r="O49" i="10" s="1"/>
  <c r="Q44" i="9"/>
  <c r="S44" i="10"/>
  <c r="AG34" i="10"/>
  <c r="AF34" i="10"/>
  <c r="AH34" i="10"/>
  <c r="M66" i="10"/>
  <c r="G66" i="10"/>
  <c r="O66" i="10" s="1"/>
  <c r="M79" i="9"/>
  <c r="G79" i="9"/>
  <c r="O79" i="9" s="1"/>
  <c r="P109" i="9"/>
  <c r="L109" i="9" s="1"/>
  <c r="H89" i="9"/>
  <c r="AA89" i="9" s="1"/>
  <c r="M100" i="10"/>
  <c r="G100" i="10"/>
  <c r="O100" i="10" s="1"/>
  <c r="M61" i="9"/>
  <c r="G61" i="9"/>
  <c r="O61" i="9" s="1"/>
  <c r="M109" i="10"/>
  <c r="G109" i="10"/>
  <c r="O109" i="10" s="1"/>
  <c r="G89" i="10"/>
  <c r="O89" i="10" s="1"/>
  <c r="P89" i="10" s="1"/>
  <c r="L89" i="10" s="1"/>
  <c r="G45" i="9"/>
  <c r="G46" i="9"/>
  <c r="AG70" i="10"/>
  <c r="AF70" i="10"/>
  <c r="AH70" i="10"/>
  <c r="AH78" i="10"/>
  <c r="AF78" i="10"/>
  <c r="AG78" i="10"/>
  <c r="AH36" i="10"/>
  <c r="AF36" i="10"/>
  <c r="AG36" i="10"/>
  <c r="AH69" i="10"/>
  <c r="AG69" i="10"/>
  <c r="AF69" i="10"/>
  <c r="S88" i="10"/>
  <c r="Q88" i="9"/>
  <c r="S54" i="10"/>
  <c r="Q54" i="9"/>
  <c r="AF65" i="10"/>
  <c r="AG65" i="10"/>
  <c r="AH65" i="10"/>
  <c r="AH53" i="10"/>
  <c r="AG53" i="10"/>
  <c r="AF53" i="10"/>
  <c r="M34" i="9"/>
  <c r="G34" i="9"/>
  <c r="O34" i="9" s="1"/>
  <c r="E104" i="10"/>
  <c r="F104" i="10" s="1"/>
  <c r="N104" i="10" s="1"/>
  <c r="M50" i="10"/>
  <c r="G50" i="10"/>
  <c r="O50" i="10" s="1"/>
  <c r="AG45" i="10"/>
  <c r="AH45" i="10"/>
  <c r="AF45" i="10"/>
  <c r="M34" i="10"/>
  <c r="G34" i="10"/>
  <c r="O34" i="10" s="1"/>
  <c r="AF47" i="10"/>
  <c r="AH47" i="10"/>
  <c r="AG47" i="10"/>
  <c r="M43" i="10"/>
  <c r="G43" i="10"/>
  <c r="O43" i="10" s="1"/>
  <c r="M78" i="10"/>
  <c r="G78" i="10"/>
  <c r="O78" i="10" s="1"/>
  <c r="M98" i="10"/>
  <c r="G98" i="10"/>
  <c r="O98" i="10" s="1"/>
  <c r="M36" i="10"/>
  <c r="G36" i="10"/>
  <c r="O36" i="10" s="1"/>
  <c r="Q32" i="9"/>
  <c r="S32" i="10"/>
  <c r="S106" i="10"/>
  <c r="Q106" i="9"/>
  <c r="M52" i="9"/>
  <c r="G52" i="9"/>
  <c r="O52" i="9" s="1"/>
  <c r="M35" i="9"/>
  <c r="G35" i="9"/>
  <c r="O35" i="9" s="1"/>
  <c r="AH63" i="10"/>
  <c r="AF63" i="10"/>
  <c r="AG63" i="10"/>
  <c r="AF93" i="10"/>
  <c r="AG93" i="10"/>
  <c r="AH93" i="10"/>
  <c r="F79" i="10"/>
  <c r="N79" i="10" s="1"/>
  <c r="F71" i="10"/>
  <c r="N71" i="10" s="1"/>
  <c r="AF73" i="10"/>
  <c r="AG73" i="10"/>
  <c r="AH73" i="10"/>
  <c r="S38" i="10"/>
  <c r="Q38" i="9"/>
  <c r="H108" i="9"/>
  <c r="AA108" i="9" s="1"/>
  <c r="F51" i="10"/>
  <c r="N51" i="10" s="1"/>
  <c r="F53" i="10"/>
  <c r="N53" i="10" s="1"/>
  <c r="F52" i="10"/>
  <c r="N52" i="10" s="1"/>
  <c r="E102" i="10"/>
  <c r="F102" i="10" s="1"/>
  <c r="N102" i="10" s="1"/>
  <c r="S46" i="10"/>
  <c r="Q46" i="9"/>
  <c r="M65" i="10"/>
  <c r="G65" i="10"/>
  <c r="O65" i="10" s="1"/>
  <c r="AF50" i="10"/>
  <c r="AG50" i="10"/>
  <c r="AH50" i="10"/>
  <c r="F45" i="10"/>
  <c r="N45" i="10" s="1"/>
  <c r="F93" i="10"/>
  <c r="N93" i="10" s="1"/>
  <c r="M54" i="9"/>
  <c r="G54" i="9"/>
  <c r="O54" i="9" s="1"/>
  <c r="F76" i="9"/>
  <c r="F64" i="9"/>
  <c r="N64" i="9" s="1"/>
  <c r="P89" i="9"/>
  <c r="L89" i="9" s="1"/>
  <c r="F62" i="10"/>
  <c r="N62" i="10" s="1"/>
  <c r="G86" i="10"/>
  <c r="F74" i="9"/>
  <c r="N74" i="9" s="1"/>
  <c r="F73" i="10"/>
  <c r="N73" i="10" s="1"/>
  <c r="F35" i="10"/>
  <c r="N35" i="10" s="1"/>
  <c r="F80" i="10"/>
  <c r="N80" i="10" s="1"/>
  <c r="AF42" i="10"/>
  <c r="AH42" i="10"/>
  <c r="AG42" i="10"/>
  <c r="AF103" i="10"/>
  <c r="AG103" i="10"/>
  <c r="AH103" i="10"/>
  <c r="AH94" i="10"/>
  <c r="AF94" i="10"/>
  <c r="AG94" i="10"/>
  <c r="F55" i="9"/>
  <c r="N55" i="9" s="1"/>
  <c r="G53" i="9"/>
  <c r="O53" i="9" s="1"/>
  <c r="P53" i="9" s="1"/>
  <c r="L53" i="9" s="1"/>
  <c r="AG49" i="10"/>
  <c r="AF49" i="10"/>
  <c r="AH49" i="10"/>
  <c r="F96" i="10"/>
  <c r="N96" i="10" s="1"/>
  <c r="AF64" i="10"/>
  <c r="AG64" i="10"/>
  <c r="AH64" i="10"/>
  <c r="Q104" i="9"/>
  <c r="S104" i="10"/>
  <c r="F95" i="10"/>
  <c r="N95" i="10" s="1"/>
  <c r="M75" i="10"/>
  <c r="G75" i="10"/>
  <c r="O75" i="10" s="1"/>
  <c r="AF105" i="10"/>
  <c r="AG105" i="10"/>
  <c r="AH105" i="10"/>
  <c r="P107" i="9"/>
  <c r="L107" i="9" s="1"/>
  <c r="F70" i="10"/>
  <c r="N70" i="10" s="1"/>
  <c r="F60" i="10"/>
  <c r="N60" i="10" s="1"/>
  <c r="M42" i="10"/>
  <c r="G42" i="10"/>
  <c r="O42" i="10" s="1"/>
  <c r="F103" i="10"/>
  <c r="N103" i="10" s="1"/>
  <c r="M41" i="10"/>
  <c r="G41" i="10"/>
  <c r="O41" i="10" s="1"/>
  <c r="M69" i="9"/>
  <c r="G69" i="9"/>
  <c r="O69" i="9" s="1"/>
  <c r="G82" i="9"/>
  <c r="O82" i="9" s="1"/>
  <c r="P82" i="9" s="1"/>
  <c r="L82" i="9" s="1"/>
  <c r="E106" i="10"/>
  <c r="G40" i="9"/>
  <c r="O40" i="9" s="1"/>
  <c r="P40" i="9" s="1"/>
  <c r="L40" i="9" s="1"/>
  <c r="M74" i="10"/>
  <c r="G74" i="10"/>
  <c r="O74" i="10" s="1"/>
  <c r="AF17" i="10"/>
  <c r="AH17" i="10"/>
  <c r="AG17" i="10"/>
  <c r="AH5" i="10"/>
  <c r="AF5" i="10"/>
  <c r="AG5" i="10"/>
  <c r="H17" i="10"/>
  <c r="AA17" i="10" s="1"/>
  <c r="E20" i="9"/>
  <c r="F20" i="9" s="1"/>
  <c r="N20" i="9" s="1"/>
  <c r="E11" i="9"/>
  <c r="G8" i="10"/>
  <c r="O8" i="10" s="1"/>
  <c r="P8" i="10" s="1"/>
  <c r="L8" i="10" s="1"/>
  <c r="E21" i="9"/>
  <c r="F21" i="9" s="1"/>
  <c r="N21" i="9" s="1"/>
  <c r="E28" i="9"/>
  <c r="F28" i="9" s="1"/>
  <c r="N28" i="9" s="1"/>
  <c r="M12" i="10"/>
  <c r="G12" i="10"/>
  <c r="O12" i="10" s="1"/>
  <c r="E18" i="9"/>
  <c r="E7" i="9"/>
  <c r="F7" i="9" s="1"/>
  <c r="M24" i="10"/>
  <c r="G24" i="10"/>
  <c r="O24" i="10" s="1"/>
  <c r="M23" i="10"/>
  <c r="G23" i="10"/>
  <c r="O23" i="10" s="1"/>
  <c r="E10" i="9"/>
  <c r="F10" i="9" s="1"/>
  <c r="N10" i="9" s="1"/>
  <c r="E24" i="9"/>
  <c r="F24" i="9" s="1"/>
  <c r="N24" i="9" s="1"/>
  <c r="E6" i="9"/>
  <c r="F6" i="9" s="1"/>
  <c r="N6" i="9" s="1"/>
  <c r="E19" i="9"/>
  <c r="F19" i="9" s="1"/>
  <c r="N19" i="9" s="1"/>
  <c r="M16" i="10"/>
  <c r="M19" i="10"/>
  <c r="E27" i="9"/>
  <c r="M6" i="10"/>
  <c r="G6" i="10"/>
  <c r="O6" i="10" s="1"/>
  <c r="M11" i="10"/>
  <c r="M21" i="10"/>
  <c r="E13" i="9"/>
  <c r="M26" i="10"/>
  <c r="M14" i="10"/>
  <c r="M10" i="10"/>
  <c r="E17" i="9"/>
  <c r="F17" i="9" s="1"/>
  <c r="N17" i="9" s="1"/>
  <c r="E12" i="9"/>
  <c r="F12" i="9" s="1"/>
  <c r="N12" i="9" s="1"/>
  <c r="M20" i="10"/>
  <c r="G20" i="10"/>
  <c r="O20" i="10" s="1"/>
  <c r="M7" i="10"/>
  <c r="G7" i="10"/>
  <c r="O7" i="10" s="1"/>
  <c r="M25" i="10"/>
  <c r="G25" i="10"/>
  <c r="O25" i="10" s="1"/>
  <c r="E9" i="9"/>
  <c r="E26" i="9"/>
  <c r="F26" i="9" s="1"/>
  <c r="N26" i="9" s="1"/>
  <c r="E15" i="9"/>
  <c r="M13" i="10"/>
  <c r="G13" i="10"/>
  <c r="O13" i="10" s="1"/>
  <c r="M28" i="10"/>
  <c r="G28" i="10"/>
  <c r="O28" i="10" s="1"/>
  <c r="M9" i="10"/>
  <c r="G9" i="10"/>
  <c r="O9" i="10" s="1"/>
  <c r="E23" i="9"/>
  <c r="E22" i="9"/>
  <c r="F22" i="9" s="1"/>
  <c r="N22" i="9" s="1"/>
  <c r="E14" i="9"/>
  <c r="F14" i="9" s="1"/>
  <c r="N14" i="9" s="1"/>
  <c r="F11" i="10"/>
  <c r="N11" i="10" s="1"/>
  <c r="F21" i="10"/>
  <c r="N21" i="10" s="1"/>
  <c r="E16" i="9"/>
  <c r="F16" i="9" s="1"/>
  <c r="N16" i="9" s="1"/>
  <c r="F26" i="10"/>
  <c r="N26" i="10" s="1"/>
  <c r="F16" i="10"/>
  <c r="N16" i="10" s="1"/>
  <c r="F14" i="10"/>
  <c r="N14" i="10" s="1"/>
  <c r="F19" i="10"/>
  <c r="N19" i="10" s="1"/>
  <c r="F10" i="10"/>
  <c r="N10" i="10" s="1"/>
  <c r="P17" i="10"/>
  <c r="L17" i="10" s="1"/>
  <c r="E25" i="9"/>
  <c r="F25" i="9" s="1"/>
  <c r="N25" i="9" s="1"/>
  <c r="M22" i="10"/>
  <c r="G22" i="10"/>
  <c r="O22" i="10" s="1"/>
  <c r="M27" i="10"/>
  <c r="G27" i="10"/>
  <c r="O27" i="10" s="1"/>
  <c r="M15" i="10"/>
  <c r="G15" i="10"/>
  <c r="O15" i="10" s="1"/>
  <c r="E8" i="9"/>
  <c r="M18" i="10"/>
  <c r="G18" i="10"/>
  <c r="O18" i="10" s="1"/>
  <c r="AI76" i="10" l="1"/>
  <c r="V115" i="9"/>
  <c r="V120" i="9" s="1"/>
  <c r="V124" i="9" s="1"/>
  <c r="AH77" i="10"/>
  <c r="AH83" i="10" s="1"/>
  <c r="AH116" i="10" s="1"/>
  <c r="AH121" i="10" s="1"/>
  <c r="AF77" i="10"/>
  <c r="AF83" i="10" s="1"/>
  <c r="AF116" i="10" s="1"/>
  <c r="AF121" i="10" s="1"/>
  <c r="AG77" i="10"/>
  <c r="AG83" i="10" s="1"/>
  <c r="AG116" i="10" s="1"/>
  <c r="AG121" i="10" s="1"/>
  <c r="AH86" i="10"/>
  <c r="AF86" i="10"/>
  <c r="H13" i="29"/>
  <c r="H16" i="29" s="1"/>
  <c r="E83" i="10"/>
  <c r="E116" i="10" s="1"/>
  <c r="E121" i="10" s="1"/>
  <c r="Z124" i="10"/>
  <c r="F77" i="10"/>
  <c r="M77" i="10"/>
  <c r="E29" i="10"/>
  <c r="E114" i="10" s="1"/>
  <c r="E119" i="10" s="1"/>
  <c r="M5" i="10"/>
  <c r="M29" i="10" s="1"/>
  <c r="M114" i="10" s="1"/>
  <c r="M119" i="10" s="1"/>
  <c r="F32" i="10"/>
  <c r="F56" i="10" s="1"/>
  <c r="F115" i="10" s="1"/>
  <c r="F120" i="10" s="1"/>
  <c r="AD94" i="9"/>
  <c r="Q124" i="10"/>
  <c r="G7" i="29" s="1"/>
  <c r="AC94" i="9"/>
  <c r="O92" i="9"/>
  <c r="P92" i="9" s="1"/>
  <c r="L92" i="9" s="1"/>
  <c r="AD92" i="9" s="1"/>
  <c r="AC90" i="9"/>
  <c r="S110" i="10"/>
  <c r="S117" i="10" s="1"/>
  <c r="S122" i="10" s="1"/>
  <c r="P76" i="10"/>
  <c r="L76" i="10" s="1"/>
  <c r="AC76" i="10" s="1"/>
  <c r="AK76" i="10" s="1"/>
  <c r="E86" i="9"/>
  <c r="Z110" i="9"/>
  <c r="Z117" i="9" s="1"/>
  <c r="Z122" i="9" s="1"/>
  <c r="E110" i="10"/>
  <c r="E117" i="10" s="1"/>
  <c r="E122" i="10" s="1"/>
  <c r="Z32" i="9"/>
  <c r="Y56" i="9"/>
  <c r="Y115" i="9" s="1"/>
  <c r="Y120" i="9" s="1"/>
  <c r="Y124" i="9" s="1"/>
  <c r="N5" i="10"/>
  <c r="N29" i="10" s="1"/>
  <c r="N114" i="10" s="1"/>
  <c r="N119" i="10" s="1"/>
  <c r="F29" i="10"/>
  <c r="F114" i="10" s="1"/>
  <c r="F119" i="10" s="1"/>
  <c r="AD90" i="9"/>
  <c r="O59" i="10"/>
  <c r="N59" i="10"/>
  <c r="N76" i="9"/>
  <c r="H90" i="9"/>
  <c r="AA90" i="9" s="1"/>
  <c r="L18" i="29"/>
  <c r="L16" i="29"/>
  <c r="D33" i="29" s="1"/>
  <c r="E59" i="9"/>
  <c r="Q56" i="9"/>
  <c r="Q115" i="9" s="1"/>
  <c r="Q120" i="9" s="1"/>
  <c r="O86" i="10"/>
  <c r="S56" i="10"/>
  <c r="S115" i="10" s="1"/>
  <c r="S120" i="10" s="1"/>
  <c r="Q110" i="9"/>
  <c r="Q117" i="9" s="1"/>
  <c r="Q122" i="9" s="1"/>
  <c r="E5" i="9"/>
  <c r="Z29" i="9"/>
  <c r="Z114" i="9" s="1"/>
  <c r="Z119" i="9" s="1"/>
  <c r="E56" i="10"/>
  <c r="E115" i="10" s="1"/>
  <c r="E120" i="10" s="1"/>
  <c r="AA76" i="10"/>
  <c r="AC93" i="9"/>
  <c r="AB93" i="9"/>
  <c r="H93" i="9"/>
  <c r="AA93" i="9" s="1"/>
  <c r="Z77" i="9"/>
  <c r="Z83" i="9" s="1"/>
  <c r="Z116" i="9" s="1"/>
  <c r="Z121" i="9" s="1"/>
  <c r="AD106" i="9"/>
  <c r="H94" i="9"/>
  <c r="AA94" i="9" s="1"/>
  <c r="AC106" i="9"/>
  <c r="H106" i="9"/>
  <c r="AA106" i="9" s="1"/>
  <c r="AC87" i="9"/>
  <c r="AD87" i="9"/>
  <c r="H96" i="9"/>
  <c r="AA96" i="9" s="1"/>
  <c r="H87" i="9"/>
  <c r="AA87" i="9" s="1"/>
  <c r="AB96" i="9"/>
  <c r="P98" i="9"/>
  <c r="L98" i="9" s="1"/>
  <c r="AC98" i="9" s="1"/>
  <c r="AB101" i="9"/>
  <c r="AC96" i="9"/>
  <c r="H103" i="9"/>
  <c r="AA103" i="9" s="1"/>
  <c r="AB103" i="9"/>
  <c r="AD102" i="9"/>
  <c r="H38" i="9"/>
  <c r="AA38" i="9" s="1"/>
  <c r="AC103" i="9"/>
  <c r="H47" i="10"/>
  <c r="AA47" i="10" s="1"/>
  <c r="AC51" i="9"/>
  <c r="H100" i="9"/>
  <c r="AA100" i="9" s="1"/>
  <c r="AD51" i="9"/>
  <c r="H51" i="9"/>
  <c r="AA51" i="9" s="1"/>
  <c r="H95" i="9"/>
  <c r="AA95" i="9" s="1"/>
  <c r="H71" i="9"/>
  <c r="AA71" i="9" s="1"/>
  <c r="AC104" i="9"/>
  <c r="AB104" i="9"/>
  <c r="H98" i="9"/>
  <c r="AA98" i="9" s="1"/>
  <c r="H104" i="9"/>
  <c r="AA104" i="9" s="1"/>
  <c r="H97" i="9"/>
  <c r="AA97" i="9" s="1"/>
  <c r="AD95" i="9"/>
  <c r="AC95" i="9"/>
  <c r="AC102" i="9"/>
  <c r="P97" i="9"/>
  <c r="L97" i="9" s="1"/>
  <c r="AB97" i="9" s="1"/>
  <c r="O66" i="9"/>
  <c r="P66" i="9" s="1"/>
  <c r="L66" i="9" s="1"/>
  <c r="H66" i="9"/>
  <c r="AA66" i="9" s="1"/>
  <c r="M88" i="9"/>
  <c r="G88" i="9"/>
  <c r="O88" i="9" s="1"/>
  <c r="AD101" i="9"/>
  <c r="P109" i="10"/>
  <c r="L109" i="10" s="1"/>
  <c r="AB109" i="10" s="1"/>
  <c r="P68" i="10"/>
  <c r="L68" i="10" s="1"/>
  <c r="AD68" i="10" s="1"/>
  <c r="AL68" i="10" s="1"/>
  <c r="H73" i="9"/>
  <c r="AA73" i="9" s="1"/>
  <c r="H40" i="10"/>
  <c r="AA40" i="10" s="1"/>
  <c r="AC38" i="9"/>
  <c r="P94" i="10"/>
  <c r="L94" i="10" s="1"/>
  <c r="AD94" i="10" s="1"/>
  <c r="AL94" i="10" s="1"/>
  <c r="P68" i="9"/>
  <c r="L68" i="9" s="1"/>
  <c r="AB68" i="9" s="1"/>
  <c r="H70" i="9"/>
  <c r="AA70" i="9" s="1"/>
  <c r="P74" i="10"/>
  <c r="L74" i="10" s="1"/>
  <c r="AD74" i="10" s="1"/>
  <c r="AL74" i="10" s="1"/>
  <c r="H54" i="9"/>
  <c r="AA54" i="9" s="1"/>
  <c r="H65" i="10"/>
  <c r="AA65" i="10" s="1"/>
  <c r="H35" i="9"/>
  <c r="AA35" i="9" s="1"/>
  <c r="H60" i="9"/>
  <c r="AA60" i="9" s="1"/>
  <c r="H67" i="9"/>
  <c r="AA67" i="9" s="1"/>
  <c r="AC41" i="9"/>
  <c r="AB41" i="9"/>
  <c r="AD41" i="9"/>
  <c r="P34" i="10"/>
  <c r="L34" i="10" s="1"/>
  <c r="AD34" i="10" s="1"/>
  <c r="AL34" i="10" s="1"/>
  <c r="H92" i="10"/>
  <c r="AA92" i="10" s="1"/>
  <c r="H69" i="10"/>
  <c r="AA69" i="10" s="1"/>
  <c r="P82" i="10"/>
  <c r="L82" i="10" s="1"/>
  <c r="AB82" i="10" s="1"/>
  <c r="H41" i="9"/>
  <c r="AA41" i="9" s="1"/>
  <c r="H79" i="9"/>
  <c r="AA79" i="9" s="1"/>
  <c r="P49" i="10"/>
  <c r="L49" i="10" s="1"/>
  <c r="AC49" i="10" s="1"/>
  <c r="AK49" i="10" s="1"/>
  <c r="H37" i="10"/>
  <c r="AA37" i="10" s="1"/>
  <c r="P92" i="10"/>
  <c r="L92" i="10" s="1"/>
  <c r="AB92" i="10" s="1"/>
  <c r="P108" i="10"/>
  <c r="L108" i="10" s="1"/>
  <c r="AB108" i="10" s="1"/>
  <c r="G88" i="10"/>
  <c r="O88" i="10" s="1"/>
  <c r="P88" i="10" s="1"/>
  <c r="L88" i="10" s="1"/>
  <c r="H107" i="10"/>
  <c r="AA107" i="10" s="1"/>
  <c r="H36" i="9"/>
  <c r="AA36" i="9" s="1"/>
  <c r="G91" i="10"/>
  <c r="O91" i="10" s="1"/>
  <c r="P91" i="10" s="1"/>
  <c r="L91" i="10" s="1"/>
  <c r="AB38" i="9"/>
  <c r="H34" i="10"/>
  <c r="AA34" i="10" s="1"/>
  <c r="P72" i="10"/>
  <c r="L72" i="10" s="1"/>
  <c r="AD72" i="10" s="1"/>
  <c r="AL72" i="10" s="1"/>
  <c r="H72" i="9"/>
  <c r="AA72" i="9" s="1"/>
  <c r="P81" i="9"/>
  <c r="L81" i="9" s="1"/>
  <c r="AB81" i="9" s="1"/>
  <c r="H94" i="10"/>
  <c r="AA94" i="10" s="1"/>
  <c r="H80" i="9"/>
  <c r="AA80" i="9" s="1"/>
  <c r="P81" i="10"/>
  <c r="L81" i="10" s="1"/>
  <c r="AD81" i="10" s="1"/>
  <c r="AL81" i="10" s="1"/>
  <c r="H68" i="9"/>
  <c r="AA68" i="9" s="1"/>
  <c r="P73" i="9"/>
  <c r="L73" i="9" s="1"/>
  <c r="AD73" i="9" s="1"/>
  <c r="AC49" i="9"/>
  <c r="AB49" i="9"/>
  <c r="H40" i="9"/>
  <c r="AA40" i="9" s="1"/>
  <c r="P44" i="9"/>
  <c r="L44" i="9" s="1"/>
  <c r="AC44" i="9" s="1"/>
  <c r="P35" i="9"/>
  <c r="L35" i="9" s="1"/>
  <c r="AD35" i="9" s="1"/>
  <c r="H49" i="9"/>
  <c r="AA49" i="9" s="1"/>
  <c r="H78" i="9"/>
  <c r="AA78" i="9" s="1"/>
  <c r="H75" i="10"/>
  <c r="AA75" i="10" s="1"/>
  <c r="P98" i="10"/>
  <c r="L98" i="10" s="1"/>
  <c r="AB98" i="10" s="1"/>
  <c r="H43" i="10"/>
  <c r="AA43" i="10" s="1"/>
  <c r="P66" i="10"/>
  <c r="L66" i="10" s="1"/>
  <c r="AB66" i="10" s="1"/>
  <c r="H108" i="10"/>
  <c r="AA108" i="10" s="1"/>
  <c r="P50" i="9"/>
  <c r="L50" i="9" s="1"/>
  <c r="AC50" i="9" s="1"/>
  <c r="AI79" i="10"/>
  <c r="AI61" i="10"/>
  <c r="AB75" i="9"/>
  <c r="H90" i="10"/>
  <c r="AA90" i="10" s="1"/>
  <c r="AI94" i="10"/>
  <c r="H75" i="9"/>
  <c r="AA75" i="9" s="1"/>
  <c r="AI72" i="10"/>
  <c r="AC75" i="9"/>
  <c r="AD49" i="9"/>
  <c r="AI35" i="10"/>
  <c r="AI40" i="10"/>
  <c r="H42" i="9"/>
  <c r="AA42" i="9" s="1"/>
  <c r="P80" i="9"/>
  <c r="L80" i="9" s="1"/>
  <c r="AC80" i="9" s="1"/>
  <c r="AC60" i="9"/>
  <c r="AG29" i="10"/>
  <c r="AG114" i="10" s="1"/>
  <c r="AG119" i="10" s="1"/>
  <c r="AI103" i="10"/>
  <c r="AB60" i="9"/>
  <c r="P42" i="10"/>
  <c r="L42" i="10" s="1"/>
  <c r="AC42" i="10" s="1"/>
  <c r="AK42" i="10" s="1"/>
  <c r="P54" i="9"/>
  <c r="L54" i="9" s="1"/>
  <c r="AD54" i="9" s="1"/>
  <c r="P65" i="10"/>
  <c r="L65" i="10" s="1"/>
  <c r="AC65" i="10" s="1"/>
  <c r="AK65" i="10" s="1"/>
  <c r="H36" i="10"/>
  <c r="AA36" i="10" s="1"/>
  <c r="H50" i="10"/>
  <c r="AA50" i="10" s="1"/>
  <c r="AI36" i="10"/>
  <c r="P100" i="10"/>
  <c r="L100" i="10" s="1"/>
  <c r="AD100" i="10" s="1"/>
  <c r="AL100" i="10" s="1"/>
  <c r="H66" i="10"/>
  <c r="AA66" i="10" s="1"/>
  <c r="P63" i="10"/>
  <c r="L63" i="10" s="1"/>
  <c r="AB63" i="10" s="1"/>
  <c r="H72" i="10"/>
  <c r="AA72" i="10" s="1"/>
  <c r="AI52" i="10"/>
  <c r="P72" i="9"/>
  <c r="L72" i="9" s="1"/>
  <c r="AC72" i="9" s="1"/>
  <c r="P43" i="9"/>
  <c r="L43" i="9" s="1"/>
  <c r="AB43" i="9" s="1"/>
  <c r="H59" i="10"/>
  <c r="AI108" i="10"/>
  <c r="P37" i="10"/>
  <c r="L37" i="10" s="1"/>
  <c r="AD37" i="10" s="1"/>
  <c r="AL37" i="10" s="1"/>
  <c r="P48" i="9"/>
  <c r="L48" i="9" s="1"/>
  <c r="AD48" i="9" s="1"/>
  <c r="H39" i="10"/>
  <c r="AA39" i="10" s="1"/>
  <c r="H68" i="10"/>
  <c r="AA68" i="10" s="1"/>
  <c r="P40" i="10"/>
  <c r="L40" i="10" s="1"/>
  <c r="AB40" i="10" s="1"/>
  <c r="AI43" i="10"/>
  <c r="P36" i="9"/>
  <c r="L36" i="9" s="1"/>
  <c r="AD36" i="9" s="1"/>
  <c r="H61" i="10"/>
  <c r="AA61" i="10" s="1"/>
  <c r="AD53" i="9"/>
  <c r="AC53" i="9"/>
  <c r="AB53" i="9"/>
  <c r="AB40" i="9"/>
  <c r="AD40" i="9"/>
  <c r="AC40" i="9"/>
  <c r="H78" i="10"/>
  <c r="AA78" i="10" s="1"/>
  <c r="P43" i="10"/>
  <c r="L43" i="10" s="1"/>
  <c r="AI47" i="10"/>
  <c r="AI45" i="10"/>
  <c r="P50" i="10"/>
  <c r="L50" i="10" s="1"/>
  <c r="H34" i="9"/>
  <c r="AA34" i="9" s="1"/>
  <c r="AI65" i="10"/>
  <c r="AH88" i="10"/>
  <c r="AF88" i="10"/>
  <c r="AG88" i="10"/>
  <c r="AI70" i="10"/>
  <c r="H61" i="9"/>
  <c r="AA61" i="9" s="1"/>
  <c r="H100" i="10"/>
  <c r="AA100" i="10" s="1"/>
  <c r="P79" i="9"/>
  <c r="L79" i="9" s="1"/>
  <c r="AH44" i="10"/>
  <c r="AG44" i="10"/>
  <c r="AF44" i="10"/>
  <c r="AI92" i="10"/>
  <c r="H63" i="10"/>
  <c r="AA63" i="10" s="1"/>
  <c r="AI59" i="10"/>
  <c r="M38" i="10"/>
  <c r="G38" i="10"/>
  <c r="O38" i="10" s="1"/>
  <c r="AI66" i="10"/>
  <c r="AI98" i="10"/>
  <c r="P47" i="10"/>
  <c r="L47" i="10" s="1"/>
  <c r="H43" i="9"/>
  <c r="AA43" i="9" s="1"/>
  <c r="AF101" i="10"/>
  <c r="AG101" i="10"/>
  <c r="AH101" i="10"/>
  <c r="AI97" i="10"/>
  <c r="AI48" i="10"/>
  <c r="AD70" i="9"/>
  <c r="AC70" i="9"/>
  <c r="AB70" i="9"/>
  <c r="G99" i="10"/>
  <c r="O99" i="10" s="1"/>
  <c r="P99" i="10" s="1"/>
  <c r="L99" i="10" s="1"/>
  <c r="H81" i="9"/>
  <c r="AA81" i="9" s="1"/>
  <c r="AI74" i="10"/>
  <c r="P69" i="10"/>
  <c r="L69" i="10" s="1"/>
  <c r="AI99" i="10"/>
  <c r="AI55" i="10"/>
  <c r="M54" i="10"/>
  <c r="G54" i="10"/>
  <c r="O54" i="10" s="1"/>
  <c r="AI41" i="10"/>
  <c r="H48" i="9"/>
  <c r="AA48" i="9" s="1"/>
  <c r="H50" i="9"/>
  <c r="AA50" i="9" s="1"/>
  <c r="P107" i="10"/>
  <c r="L107" i="10" s="1"/>
  <c r="AD108" i="9"/>
  <c r="AC108" i="9"/>
  <c r="AB108" i="9"/>
  <c r="AF33" i="10"/>
  <c r="AH33" i="10"/>
  <c r="AG33" i="10"/>
  <c r="H82" i="10"/>
  <c r="AA82" i="10" s="1"/>
  <c r="P39" i="10"/>
  <c r="L39" i="10" s="1"/>
  <c r="AD91" i="9"/>
  <c r="AC91" i="9"/>
  <c r="AB91" i="9"/>
  <c r="AI51" i="10"/>
  <c r="H81" i="10"/>
  <c r="AA81" i="10" s="1"/>
  <c r="M87" i="10"/>
  <c r="G87" i="10"/>
  <c r="O87" i="10" s="1"/>
  <c r="G71" i="10"/>
  <c r="O71" i="10" s="1"/>
  <c r="P71" i="10" s="1"/>
  <c r="L71" i="10" s="1"/>
  <c r="AI60" i="10"/>
  <c r="AI39" i="10"/>
  <c r="G67" i="10"/>
  <c r="O67" i="10" s="1"/>
  <c r="P67" i="10" s="1"/>
  <c r="L67" i="10" s="1"/>
  <c r="G103" i="10"/>
  <c r="O103" i="10" s="1"/>
  <c r="P103" i="10" s="1"/>
  <c r="L103" i="10" s="1"/>
  <c r="G53" i="10"/>
  <c r="O53" i="10" s="1"/>
  <c r="P53" i="10" s="1"/>
  <c r="L53" i="10" s="1"/>
  <c r="AD89" i="9"/>
  <c r="AC89" i="9"/>
  <c r="AB89" i="9"/>
  <c r="AG32" i="10"/>
  <c r="AF32" i="10"/>
  <c r="AH32" i="10"/>
  <c r="AD82" i="9"/>
  <c r="AC82" i="9"/>
  <c r="AB82" i="9"/>
  <c r="H41" i="10"/>
  <c r="AA41" i="10" s="1"/>
  <c r="H42" i="10"/>
  <c r="AA42" i="10" s="1"/>
  <c r="AD100" i="9"/>
  <c r="AB100" i="9"/>
  <c r="AC100" i="9"/>
  <c r="M102" i="10"/>
  <c r="G102" i="10"/>
  <c r="O102" i="10" s="1"/>
  <c r="AI93" i="10"/>
  <c r="H52" i="9"/>
  <c r="AA52" i="9" s="1"/>
  <c r="H98" i="10"/>
  <c r="AA98" i="10" s="1"/>
  <c r="P78" i="10"/>
  <c r="L78" i="10" s="1"/>
  <c r="P34" i="9"/>
  <c r="L34" i="9" s="1"/>
  <c r="AI69" i="10"/>
  <c r="AI78" i="10"/>
  <c r="H109" i="10"/>
  <c r="AA109" i="10" s="1"/>
  <c r="P61" i="9"/>
  <c r="L61" i="9" s="1"/>
  <c r="AI34" i="10"/>
  <c r="H49" i="10"/>
  <c r="AA49" i="10" s="1"/>
  <c r="AI100" i="10"/>
  <c r="AD39" i="9"/>
  <c r="AC39" i="9"/>
  <c r="AB39" i="9"/>
  <c r="G73" i="10"/>
  <c r="O73" i="10" s="1"/>
  <c r="P73" i="10" s="1"/>
  <c r="L73" i="10" s="1"/>
  <c r="H39" i="9"/>
  <c r="AA39" i="9" s="1"/>
  <c r="AD61" i="10"/>
  <c r="AL61" i="10" s="1"/>
  <c r="AC61" i="10"/>
  <c r="AK61" i="10" s="1"/>
  <c r="AB61" i="10"/>
  <c r="AC90" i="10"/>
  <c r="AK90" i="10" s="1"/>
  <c r="AD90" i="10"/>
  <c r="AL90" i="10" s="1"/>
  <c r="AB90" i="10"/>
  <c r="AH91" i="10"/>
  <c r="AG91" i="10"/>
  <c r="AF91" i="10"/>
  <c r="H53" i="9"/>
  <c r="AA53" i="9" s="1"/>
  <c r="O37" i="9"/>
  <c r="P37" i="9" s="1"/>
  <c r="L37" i="9" s="1"/>
  <c r="H37" i="9"/>
  <c r="AA37" i="9" s="1"/>
  <c r="AD78" i="9"/>
  <c r="AC78" i="9"/>
  <c r="AB78" i="9"/>
  <c r="AB99" i="9"/>
  <c r="AD99" i="9"/>
  <c r="AC99" i="9"/>
  <c r="G74" i="9"/>
  <c r="G51" i="10"/>
  <c r="O51" i="10" s="1"/>
  <c r="P51" i="10" s="1"/>
  <c r="L51" i="10" s="1"/>
  <c r="G35" i="10"/>
  <c r="O35" i="10" s="1"/>
  <c r="P35" i="10" s="1"/>
  <c r="L35" i="10" s="1"/>
  <c r="G65" i="9"/>
  <c r="O65" i="9" s="1"/>
  <c r="P65" i="9" s="1"/>
  <c r="L65" i="9" s="1"/>
  <c r="M106" i="10"/>
  <c r="AG38" i="10"/>
  <c r="AH38" i="10"/>
  <c r="AF38" i="10"/>
  <c r="H69" i="9"/>
  <c r="AA69" i="9" s="1"/>
  <c r="P41" i="10"/>
  <c r="L41" i="10" s="1"/>
  <c r="AI105" i="10"/>
  <c r="P75" i="10"/>
  <c r="L75" i="10" s="1"/>
  <c r="AH104" i="10"/>
  <c r="AG104" i="10"/>
  <c r="AF104" i="10"/>
  <c r="AI49" i="10"/>
  <c r="AD89" i="10"/>
  <c r="AL89" i="10" s="1"/>
  <c r="AB89" i="10"/>
  <c r="AC89" i="10"/>
  <c r="AK89" i="10" s="1"/>
  <c r="AG106" i="10"/>
  <c r="AH106" i="10"/>
  <c r="AF106" i="10"/>
  <c r="AG54" i="10"/>
  <c r="AH54" i="10"/>
  <c r="AF54" i="10"/>
  <c r="O46" i="9"/>
  <c r="P46" i="9" s="1"/>
  <c r="L46" i="9" s="1"/>
  <c r="H46" i="9"/>
  <c r="AA46" i="9" s="1"/>
  <c r="AD109" i="9"/>
  <c r="AC109" i="9"/>
  <c r="AB109" i="9"/>
  <c r="G52" i="10"/>
  <c r="O52" i="10" s="1"/>
  <c r="P52" i="10" s="1"/>
  <c r="L52" i="10" s="1"/>
  <c r="AI62" i="10"/>
  <c r="G105" i="10"/>
  <c r="O105" i="10" s="1"/>
  <c r="P105" i="10" s="1"/>
  <c r="L105" i="10" s="1"/>
  <c r="AG87" i="10"/>
  <c r="AH87" i="10"/>
  <c r="AF87" i="10"/>
  <c r="H89" i="10"/>
  <c r="AA89" i="10" s="1"/>
  <c r="AI90" i="10"/>
  <c r="AI95" i="10"/>
  <c r="H64" i="10"/>
  <c r="AA64" i="10" s="1"/>
  <c r="AI89" i="10"/>
  <c r="AI109" i="10"/>
  <c r="H47" i="9"/>
  <c r="AA47" i="9" s="1"/>
  <c r="O47" i="9"/>
  <c r="P47" i="9" s="1"/>
  <c r="L47" i="9" s="1"/>
  <c r="G93" i="10"/>
  <c r="O93" i="10" s="1"/>
  <c r="P93" i="10" s="1"/>
  <c r="L93" i="10" s="1"/>
  <c r="AI107" i="10"/>
  <c r="AI75" i="10"/>
  <c r="AD67" i="9"/>
  <c r="AC67" i="9"/>
  <c r="AB67" i="9"/>
  <c r="G48" i="10"/>
  <c r="O48" i="10" s="1"/>
  <c r="P48" i="10" s="1"/>
  <c r="L48" i="10" s="1"/>
  <c r="G95" i="10"/>
  <c r="O95" i="10" s="1"/>
  <c r="P95" i="10" s="1"/>
  <c r="L95" i="10" s="1"/>
  <c r="G96" i="10"/>
  <c r="O96" i="10" s="1"/>
  <c r="P96" i="10" s="1"/>
  <c r="L96" i="10" s="1"/>
  <c r="G55" i="9"/>
  <c r="O55" i="9" s="1"/>
  <c r="P55" i="9" s="1"/>
  <c r="L55" i="9" s="1"/>
  <c r="M46" i="10"/>
  <c r="G46" i="10"/>
  <c r="O46" i="10" s="1"/>
  <c r="H74" i="10"/>
  <c r="AA74" i="10" s="1"/>
  <c r="F106" i="10"/>
  <c r="N106" i="10" s="1"/>
  <c r="N110" i="10" s="1"/>
  <c r="N117" i="10" s="1"/>
  <c r="N122" i="10" s="1"/>
  <c r="P69" i="9"/>
  <c r="L69" i="9" s="1"/>
  <c r="AD107" i="9"/>
  <c r="AC107" i="9"/>
  <c r="AB107" i="9"/>
  <c r="AI64" i="10"/>
  <c r="AI42" i="10"/>
  <c r="AI50" i="10"/>
  <c r="AD71" i="9"/>
  <c r="AC71" i="9"/>
  <c r="AB71" i="9"/>
  <c r="AF46" i="10"/>
  <c r="AG46" i="10"/>
  <c r="AH46" i="10"/>
  <c r="AI73" i="10"/>
  <c r="AI63" i="10"/>
  <c r="P52" i="9"/>
  <c r="L52" i="9" s="1"/>
  <c r="H82" i="9"/>
  <c r="AA82" i="9" s="1"/>
  <c r="P36" i="10"/>
  <c r="L36" i="10" s="1"/>
  <c r="M104" i="10"/>
  <c r="G104" i="10"/>
  <c r="O104" i="10" s="1"/>
  <c r="AI53" i="10"/>
  <c r="O45" i="9"/>
  <c r="P45" i="9" s="1"/>
  <c r="L45" i="9" s="1"/>
  <c r="H45" i="9"/>
  <c r="AA45" i="9" s="1"/>
  <c r="AC64" i="10"/>
  <c r="AK64" i="10" s="1"/>
  <c r="AD64" i="10"/>
  <c r="AL64" i="10" s="1"/>
  <c r="AB64" i="10"/>
  <c r="AI71" i="10"/>
  <c r="AD105" i="9"/>
  <c r="AC105" i="9"/>
  <c r="AB105" i="9"/>
  <c r="G64" i="9"/>
  <c r="O64" i="9" s="1"/>
  <c r="P64" i="9" s="1"/>
  <c r="L64" i="9" s="1"/>
  <c r="M33" i="10"/>
  <c r="G33" i="10"/>
  <c r="O33" i="10" s="1"/>
  <c r="G97" i="10"/>
  <c r="O97" i="10" s="1"/>
  <c r="P97" i="10" s="1"/>
  <c r="L97" i="10" s="1"/>
  <c r="AI81" i="10"/>
  <c r="G62" i="9"/>
  <c r="O62" i="9" s="1"/>
  <c r="P62" i="9" s="1"/>
  <c r="L62" i="9" s="1"/>
  <c r="O63" i="9"/>
  <c r="P63" i="9" s="1"/>
  <c r="L63" i="9" s="1"/>
  <c r="H63" i="9"/>
  <c r="AA63" i="9" s="1"/>
  <c r="H86" i="10"/>
  <c r="O33" i="9"/>
  <c r="P33" i="9" s="1"/>
  <c r="L33" i="9" s="1"/>
  <c r="H33" i="9"/>
  <c r="AA33" i="9" s="1"/>
  <c r="M44" i="10"/>
  <c r="G44" i="10"/>
  <c r="O44" i="10" s="1"/>
  <c r="AI96" i="10"/>
  <c r="AI80" i="10"/>
  <c r="AD42" i="9"/>
  <c r="AC42" i="9"/>
  <c r="AB42" i="9"/>
  <c r="G80" i="10"/>
  <c r="O80" i="10" s="1"/>
  <c r="P80" i="10" s="1"/>
  <c r="L80" i="10" s="1"/>
  <c r="G62" i="10"/>
  <c r="O62" i="10" s="1"/>
  <c r="P62" i="10" s="1"/>
  <c r="L62" i="10" s="1"/>
  <c r="G76" i="9"/>
  <c r="AF102" i="10"/>
  <c r="AG102" i="10"/>
  <c r="AH102" i="10"/>
  <c r="G79" i="10"/>
  <c r="O79" i="10" s="1"/>
  <c r="P79" i="10" s="1"/>
  <c r="L79" i="10" s="1"/>
  <c r="AI82" i="10"/>
  <c r="G55" i="10"/>
  <c r="O55" i="10" s="1"/>
  <c r="P55" i="10" s="1"/>
  <c r="L55" i="10" s="1"/>
  <c r="AI37" i="10"/>
  <c r="G60" i="10"/>
  <c r="O60" i="10" s="1"/>
  <c r="P60" i="10" s="1"/>
  <c r="L60" i="10" s="1"/>
  <c r="G70" i="10"/>
  <c r="O70" i="10" s="1"/>
  <c r="P70" i="10" s="1"/>
  <c r="L70" i="10" s="1"/>
  <c r="AI67" i="10"/>
  <c r="AI68" i="10"/>
  <c r="G45" i="10"/>
  <c r="O45" i="10" s="1"/>
  <c r="P45" i="10" s="1"/>
  <c r="L45" i="10" s="1"/>
  <c r="H44" i="9"/>
  <c r="AA44" i="9" s="1"/>
  <c r="M101" i="10"/>
  <c r="G101" i="10"/>
  <c r="O101" i="10" s="1"/>
  <c r="P12" i="10"/>
  <c r="L12" i="10" s="1"/>
  <c r="AD12" i="10" s="1"/>
  <c r="AL12" i="10" s="1"/>
  <c r="AI5" i="10"/>
  <c r="AF29" i="10"/>
  <c r="AF114" i="10" s="1"/>
  <c r="AF119" i="10" s="1"/>
  <c r="AI17" i="10"/>
  <c r="AH29" i="10"/>
  <c r="AH114" i="10" s="1"/>
  <c r="AH119" i="10" s="1"/>
  <c r="H13" i="10"/>
  <c r="AA13" i="10" s="1"/>
  <c r="P28" i="10"/>
  <c r="L28" i="10" s="1"/>
  <c r="AD28" i="10" s="1"/>
  <c r="AL28" i="10" s="1"/>
  <c r="P15" i="10"/>
  <c r="L15" i="10" s="1"/>
  <c r="AC15" i="10" s="1"/>
  <c r="AK15" i="10" s="1"/>
  <c r="P22" i="10"/>
  <c r="L22" i="10" s="1"/>
  <c r="AD22" i="10" s="1"/>
  <c r="AL22" i="10" s="1"/>
  <c r="H9" i="10"/>
  <c r="AA9" i="10" s="1"/>
  <c r="P20" i="10"/>
  <c r="L20" i="10" s="1"/>
  <c r="AB20" i="10" s="1"/>
  <c r="P25" i="10"/>
  <c r="L25" i="10" s="1"/>
  <c r="AC25" i="10" s="1"/>
  <c r="AK25" i="10" s="1"/>
  <c r="H24" i="10"/>
  <c r="AA24" i="10" s="1"/>
  <c r="P18" i="10"/>
  <c r="L18" i="10" s="1"/>
  <c r="AB18" i="10" s="1"/>
  <c r="H15" i="10"/>
  <c r="AA15" i="10" s="1"/>
  <c r="H28" i="10"/>
  <c r="AA28" i="10" s="1"/>
  <c r="P13" i="10"/>
  <c r="L13" i="10" s="1"/>
  <c r="AD13" i="10" s="1"/>
  <c r="AL13" i="10" s="1"/>
  <c r="H7" i="10"/>
  <c r="AA7" i="10" s="1"/>
  <c r="P23" i="10"/>
  <c r="L23" i="10" s="1"/>
  <c r="AC23" i="10" s="1"/>
  <c r="AK23" i="10" s="1"/>
  <c r="G26" i="10"/>
  <c r="O26" i="10" s="1"/>
  <c r="P26" i="10" s="1"/>
  <c r="L26" i="10" s="1"/>
  <c r="AB26" i="10" s="1"/>
  <c r="G5" i="10"/>
  <c r="H27" i="10"/>
  <c r="AA27" i="10" s="1"/>
  <c r="H25" i="10"/>
  <c r="AA25" i="10" s="1"/>
  <c r="P7" i="10"/>
  <c r="L7" i="10" s="1"/>
  <c r="AD7" i="10" s="1"/>
  <c r="AL7" i="10" s="1"/>
  <c r="P6" i="10"/>
  <c r="L6" i="10" s="1"/>
  <c r="AC6" i="10" s="1"/>
  <c r="AK6" i="10" s="1"/>
  <c r="M8" i="9"/>
  <c r="M23" i="9"/>
  <c r="M15" i="9"/>
  <c r="M9" i="9"/>
  <c r="M11" i="9"/>
  <c r="M17" i="9"/>
  <c r="G17" i="9"/>
  <c r="O17" i="9" s="1"/>
  <c r="AB17" i="10"/>
  <c r="AD17" i="10"/>
  <c r="AL17" i="10" s="1"/>
  <c r="AC17" i="10"/>
  <c r="AK17" i="10" s="1"/>
  <c r="M13" i="9"/>
  <c r="M27" i="9"/>
  <c r="AD8" i="10"/>
  <c r="AL8" i="10" s="1"/>
  <c r="AB8" i="10"/>
  <c r="AC8" i="10"/>
  <c r="AK8" i="10" s="1"/>
  <c r="M18" i="9"/>
  <c r="M16" i="9"/>
  <c r="G16" i="9"/>
  <c r="O16" i="9" s="1"/>
  <c r="G11" i="10"/>
  <c r="O11" i="10" s="1"/>
  <c r="P11" i="10" s="1"/>
  <c r="L11" i="10" s="1"/>
  <c r="G7" i="9"/>
  <c r="O7" i="9" s="1"/>
  <c r="N7" i="9"/>
  <c r="M21" i="9"/>
  <c r="G21" i="9"/>
  <c r="O21" i="9" s="1"/>
  <c r="P27" i="10"/>
  <c r="L27" i="10" s="1"/>
  <c r="M14" i="9"/>
  <c r="G14" i="9"/>
  <c r="O14" i="9" s="1"/>
  <c r="M22" i="9"/>
  <c r="G22" i="9"/>
  <c r="O22" i="9" s="1"/>
  <c r="M26" i="9"/>
  <c r="G26" i="9"/>
  <c r="O26" i="9" s="1"/>
  <c r="G14" i="10"/>
  <c r="O14" i="10" s="1"/>
  <c r="P14" i="10" s="1"/>
  <c r="L14" i="10" s="1"/>
  <c r="G21" i="10"/>
  <c r="G16" i="10"/>
  <c r="M19" i="9"/>
  <c r="G19" i="9"/>
  <c r="O19" i="9" s="1"/>
  <c r="M6" i="9"/>
  <c r="G6" i="9"/>
  <c r="O6" i="9" s="1"/>
  <c r="M10" i="9"/>
  <c r="G10" i="9"/>
  <c r="O10" i="9" s="1"/>
  <c r="M7" i="9"/>
  <c r="H18" i="10"/>
  <c r="AA18" i="10" s="1"/>
  <c r="F8" i="9"/>
  <c r="N8" i="9" s="1"/>
  <c r="H22" i="10"/>
  <c r="AA22" i="10" s="1"/>
  <c r="M25" i="9"/>
  <c r="G25" i="9"/>
  <c r="O25" i="9" s="1"/>
  <c r="H8" i="10"/>
  <c r="AA8" i="10" s="1"/>
  <c r="F23" i="9"/>
  <c r="N23" i="9" s="1"/>
  <c r="P9" i="10"/>
  <c r="L9" i="10" s="1"/>
  <c r="F15" i="9"/>
  <c r="N15" i="9" s="1"/>
  <c r="F9" i="9"/>
  <c r="N9" i="9" s="1"/>
  <c r="H20" i="10"/>
  <c r="AA20" i="10" s="1"/>
  <c r="M12" i="9"/>
  <c r="G12" i="9"/>
  <c r="O12" i="9" s="1"/>
  <c r="G10" i="10"/>
  <c r="O10" i="10" s="1"/>
  <c r="P10" i="10" s="1"/>
  <c r="L10" i="10" s="1"/>
  <c r="F13" i="9"/>
  <c r="N13" i="9" s="1"/>
  <c r="H6" i="10"/>
  <c r="AA6" i="10" s="1"/>
  <c r="F27" i="9"/>
  <c r="N27" i="9" s="1"/>
  <c r="G19" i="10"/>
  <c r="M24" i="9"/>
  <c r="G24" i="9"/>
  <c r="O24" i="9" s="1"/>
  <c r="H23" i="10"/>
  <c r="AA23" i="10" s="1"/>
  <c r="P24" i="10"/>
  <c r="L24" i="10" s="1"/>
  <c r="F18" i="9"/>
  <c r="N18" i="9" s="1"/>
  <c r="H12" i="10"/>
  <c r="AA12" i="10" s="1"/>
  <c r="M28" i="9"/>
  <c r="G28" i="9"/>
  <c r="O28" i="9" s="1"/>
  <c r="F11" i="9"/>
  <c r="M20" i="9"/>
  <c r="G20" i="9"/>
  <c r="O20" i="9" s="1"/>
  <c r="AI77" i="10" l="1"/>
  <c r="AI86" i="10"/>
  <c r="N32" i="10"/>
  <c r="N56" i="10" s="1"/>
  <c r="N115" i="10" s="1"/>
  <c r="N120" i="10" s="1"/>
  <c r="AC92" i="9"/>
  <c r="G77" i="10"/>
  <c r="H77" i="10" s="1"/>
  <c r="AB92" i="9"/>
  <c r="N77" i="10"/>
  <c r="F83" i="10"/>
  <c r="F116" i="10" s="1"/>
  <c r="F121" i="10" s="1"/>
  <c r="G8" i="29"/>
  <c r="G14" i="29"/>
  <c r="G13" i="29"/>
  <c r="D31" i="29"/>
  <c r="AE90" i="9"/>
  <c r="M83" i="10"/>
  <c r="M116" i="10" s="1"/>
  <c r="M121" i="10" s="1"/>
  <c r="AE94" i="9"/>
  <c r="AE101" i="9"/>
  <c r="G32" i="10"/>
  <c r="G56" i="10" s="1"/>
  <c r="G115" i="10" s="1"/>
  <c r="G120" i="10" s="1"/>
  <c r="I7" i="29"/>
  <c r="M56" i="10"/>
  <c r="M115" i="10" s="1"/>
  <c r="M120" i="10" s="1"/>
  <c r="E124" i="10"/>
  <c r="D4" i="29" s="1"/>
  <c r="P59" i="10"/>
  <c r="L59" i="10" s="1"/>
  <c r="AD59" i="10" s="1"/>
  <c r="S124" i="10"/>
  <c r="AE106" i="9"/>
  <c r="Q124" i="9"/>
  <c r="O7" i="29" s="1"/>
  <c r="AE87" i="9"/>
  <c r="E29" i="9"/>
  <c r="E114" i="9" s="1"/>
  <c r="E119" i="9" s="1"/>
  <c r="M5" i="9"/>
  <c r="M29" i="9" s="1"/>
  <c r="M114" i="9" s="1"/>
  <c r="M119" i="9" s="1"/>
  <c r="E32" i="9"/>
  <c r="Z56" i="9"/>
  <c r="Z115" i="9" s="1"/>
  <c r="Z120" i="9" s="1"/>
  <c r="Z124" i="9" s="1"/>
  <c r="M110" i="10"/>
  <c r="M117" i="10" s="1"/>
  <c r="M122" i="10" s="1"/>
  <c r="AA59" i="10"/>
  <c r="AE93" i="9"/>
  <c r="M59" i="9"/>
  <c r="E110" i="9"/>
  <c r="E117" i="9" s="1"/>
  <c r="E122" i="9" s="1"/>
  <c r="M86" i="9"/>
  <c r="M110" i="9" s="1"/>
  <c r="M117" i="9" s="1"/>
  <c r="M122" i="9" s="1"/>
  <c r="O5" i="10"/>
  <c r="G29" i="10"/>
  <c r="G114" i="10" s="1"/>
  <c r="G119" i="10" s="1"/>
  <c r="O76" i="9"/>
  <c r="AA86" i="10"/>
  <c r="F5" i="9"/>
  <c r="G5" i="9" s="1"/>
  <c r="P86" i="10"/>
  <c r="F59" i="9"/>
  <c r="G59" i="9" s="1"/>
  <c r="F110" i="10"/>
  <c r="F117" i="10" s="1"/>
  <c r="F122" i="10" s="1"/>
  <c r="F86" i="9"/>
  <c r="AD76" i="10"/>
  <c r="AL76" i="10" s="1"/>
  <c r="AD82" i="10"/>
  <c r="AL82" i="10" s="1"/>
  <c r="AB76" i="10"/>
  <c r="AJ76" i="10" s="1"/>
  <c r="AD109" i="10"/>
  <c r="AL109" i="10" s="1"/>
  <c r="E77" i="9"/>
  <c r="AB74" i="10"/>
  <c r="AJ74" i="10" s="1"/>
  <c r="AC109" i="10"/>
  <c r="AK109" i="10" s="1"/>
  <c r="AE103" i="9"/>
  <c r="AD98" i="9"/>
  <c r="AB98" i="9"/>
  <c r="AE102" i="9"/>
  <c r="AE96" i="9"/>
  <c r="AC94" i="10"/>
  <c r="AK94" i="10" s="1"/>
  <c r="AD42" i="10"/>
  <c r="AL42" i="10" s="1"/>
  <c r="AE51" i="9"/>
  <c r="AE95" i="9"/>
  <c r="AE104" i="9"/>
  <c r="P88" i="9"/>
  <c r="L88" i="9" s="1"/>
  <c r="AD88" i="9" s="1"/>
  <c r="AD97" i="9"/>
  <c r="AB73" i="9"/>
  <c r="AD98" i="10"/>
  <c r="AL98" i="10" s="1"/>
  <c r="AD50" i="9"/>
  <c r="AB72" i="10"/>
  <c r="AJ72" i="10" s="1"/>
  <c r="AD108" i="10"/>
  <c r="AL108" i="10" s="1"/>
  <c r="AC97" i="9"/>
  <c r="AE38" i="9"/>
  <c r="AB66" i="9"/>
  <c r="AD66" i="9"/>
  <c r="AC66" i="9"/>
  <c r="AC81" i="9"/>
  <c r="AE60" i="9"/>
  <c r="AD80" i="9"/>
  <c r="H88" i="9"/>
  <c r="AA88" i="9" s="1"/>
  <c r="AC68" i="9"/>
  <c r="AC73" i="9"/>
  <c r="AB44" i="9"/>
  <c r="AE75" i="9"/>
  <c r="AE41" i="9"/>
  <c r="AC36" i="9"/>
  <c r="AC82" i="10"/>
  <c r="AK82" i="10" s="1"/>
  <c r="AC74" i="10"/>
  <c r="AK74" i="10" s="1"/>
  <c r="AD66" i="10"/>
  <c r="AL66" i="10" s="1"/>
  <c r="AD72" i="9"/>
  <c r="AD23" i="10"/>
  <c r="AL23" i="10" s="1"/>
  <c r="AC68" i="10"/>
  <c r="AK68" i="10" s="1"/>
  <c r="AB68" i="10"/>
  <c r="AJ68" i="10" s="1"/>
  <c r="AB35" i="9"/>
  <c r="H91" i="10"/>
  <c r="AA91" i="10" s="1"/>
  <c r="AC108" i="10"/>
  <c r="AK108" i="10" s="1"/>
  <c r="AB94" i="10"/>
  <c r="AJ94" i="10" s="1"/>
  <c r="AC72" i="10"/>
  <c r="AK72" i="10" s="1"/>
  <c r="AD49" i="10"/>
  <c r="AL49" i="10" s="1"/>
  <c r="AC100" i="10"/>
  <c r="AK100" i="10" s="1"/>
  <c r="AB65" i="10"/>
  <c r="AJ65" i="10" s="1"/>
  <c r="AD6" i="10"/>
  <c r="AL6" i="10" s="1"/>
  <c r="AD68" i="9"/>
  <c r="H99" i="10"/>
  <c r="AA99" i="10" s="1"/>
  <c r="AB100" i="10"/>
  <c r="AJ100" i="10" s="1"/>
  <c r="AC81" i="10"/>
  <c r="AK81" i="10" s="1"/>
  <c r="AD65" i="10"/>
  <c r="AL65" i="10" s="1"/>
  <c r="AB49" i="10"/>
  <c r="AJ49" i="10" s="1"/>
  <c r="AB36" i="9"/>
  <c r="AB81" i="10"/>
  <c r="AJ81" i="10" s="1"/>
  <c r="AB80" i="9"/>
  <c r="H88" i="10"/>
  <c r="AA88" i="10" s="1"/>
  <c r="P101" i="10"/>
  <c r="L101" i="10" s="1"/>
  <c r="AB101" i="10" s="1"/>
  <c r="H104" i="10"/>
  <c r="AA104" i="10" s="1"/>
  <c r="AD92" i="10"/>
  <c r="AL92" i="10" s="1"/>
  <c r="AC28" i="10"/>
  <c r="AK28" i="10" s="1"/>
  <c r="H103" i="10"/>
  <c r="AA103" i="10" s="1"/>
  <c r="AC34" i="10"/>
  <c r="AK34" i="10" s="1"/>
  <c r="AE49" i="9"/>
  <c r="AB34" i="10"/>
  <c r="AJ34" i="10" s="1"/>
  <c r="AC92" i="10"/>
  <c r="AK92" i="10" s="1"/>
  <c r="H46" i="10"/>
  <c r="AA46" i="10" s="1"/>
  <c r="AC43" i="9"/>
  <c r="AD63" i="10"/>
  <c r="AL63" i="10" s="1"/>
  <c r="AD88" i="10"/>
  <c r="AL88" i="10" s="1"/>
  <c r="AB88" i="10"/>
  <c r="AJ88" i="10" s="1"/>
  <c r="AC88" i="10"/>
  <c r="AK88" i="10" s="1"/>
  <c r="AC66" i="10"/>
  <c r="AK66" i="10" s="1"/>
  <c r="AD81" i="9"/>
  <c r="AC35" i="9"/>
  <c r="AC37" i="10"/>
  <c r="AK37" i="10" s="1"/>
  <c r="AB42" i="10"/>
  <c r="AJ42" i="10" s="1"/>
  <c r="H38" i="10"/>
  <c r="AA38" i="10" s="1"/>
  <c r="AB48" i="9"/>
  <c r="AB54" i="9"/>
  <c r="H80" i="10"/>
  <c r="AA80" i="10" s="1"/>
  <c r="AC98" i="10"/>
  <c r="AK98" i="10" s="1"/>
  <c r="AD44" i="9"/>
  <c r="AB50" i="9"/>
  <c r="AC48" i="9"/>
  <c r="AC54" i="9"/>
  <c r="AD20" i="10"/>
  <c r="AL20" i="10" s="1"/>
  <c r="AD18" i="10"/>
  <c r="AL18" i="10" s="1"/>
  <c r="AB12" i="10"/>
  <c r="AJ12" i="10" s="1"/>
  <c r="AD40" i="10"/>
  <c r="AL40" i="10" s="1"/>
  <c r="AI104" i="10"/>
  <c r="AI38" i="10"/>
  <c r="H87" i="10"/>
  <c r="AA87" i="10" s="1"/>
  <c r="H54" i="10"/>
  <c r="AA54" i="10" s="1"/>
  <c r="AH110" i="10"/>
  <c r="AH117" i="10" s="1"/>
  <c r="AH122" i="10" s="1"/>
  <c r="AG110" i="10"/>
  <c r="AG117" i="10" s="1"/>
  <c r="AG122" i="10" s="1"/>
  <c r="AD43" i="9"/>
  <c r="AC63" i="10"/>
  <c r="AK63" i="10" s="1"/>
  <c r="H67" i="10"/>
  <c r="AA67" i="10" s="1"/>
  <c r="AB37" i="10"/>
  <c r="AJ37" i="10" s="1"/>
  <c r="P33" i="10"/>
  <c r="L33" i="10" s="1"/>
  <c r="AC33" i="10" s="1"/>
  <c r="AK33" i="10" s="1"/>
  <c r="P46" i="10"/>
  <c r="L46" i="10" s="1"/>
  <c r="AB46" i="10" s="1"/>
  <c r="H79" i="10"/>
  <c r="AA79" i="10" s="1"/>
  <c r="AC40" i="10"/>
  <c r="AK40" i="10" s="1"/>
  <c r="AI106" i="10"/>
  <c r="G106" i="10"/>
  <c r="O106" i="10" s="1"/>
  <c r="P106" i="10" s="1"/>
  <c r="L106" i="10" s="1"/>
  <c r="AC106" i="10" s="1"/>
  <c r="AK106" i="10" s="1"/>
  <c r="AB72" i="9"/>
  <c r="P102" i="10"/>
  <c r="L102" i="10" s="1"/>
  <c r="AD102" i="10" s="1"/>
  <c r="AL102" i="10" s="1"/>
  <c r="P87" i="10"/>
  <c r="L87" i="10" s="1"/>
  <c r="AC87" i="10" s="1"/>
  <c r="AK87" i="10" s="1"/>
  <c r="H73" i="10"/>
  <c r="AA73" i="10" s="1"/>
  <c r="AC7" i="10"/>
  <c r="AK7" i="10" s="1"/>
  <c r="H101" i="10"/>
  <c r="AA101" i="10" s="1"/>
  <c r="H53" i="10"/>
  <c r="AA53" i="10" s="1"/>
  <c r="P44" i="10"/>
  <c r="L44" i="10" s="1"/>
  <c r="AB44" i="10" s="1"/>
  <c r="H55" i="10"/>
  <c r="AA55" i="10" s="1"/>
  <c r="H48" i="10"/>
  <c r="AA48" i="10" s="1"/>
  <c r="AE78" i="9"/>
  <c r="AG56" i="10"/>
  <c r="AG115" i="10" s="1"/>
  <c r="AG120" i="10" s="1"/>
  <c r="AD80" i="10"/>
  <c r="AL80" i="10" s="1"/>
  <c r="AB80" i="10"/>
  <c r="AC80" i="10"/>
  <c r="AK80" i="10" s="1"/>
  <c r="AC79" i="10"/>
  <c r="AK79" i="10" s="1"/>
  <c r="AD79" i="10"/>
  <c r="AL79" i="10" s="1"/>
  <c r="AB79" i="10"/>
  <c r="AJ108" i="10"/>
  <c r="AD69" i="9"/>
  <c r="AC69" i="9"/>
  <c r="AB69" i="9"/>
  <c r="H60" i="10"/>
  <c r="AA60" i="10" s="1"/>
  <c r="AD52" i="10"/>
  <c r="AL52" i="10" s="1"/>
  <c r="AB52" i="10"/>
  <c r="AC52" i="10"/>
  <c r="AK52" i="10" s="1"/>
  <c r="AD51" i="10"/>
  <c r="AL51" i="10" s="1"/>
  <c r="AB51" i="10"/>
  <c r="AC51" i="10"/>
  <c r="AK51" i="10" s="1"/>
  <c r="AJ90" i="10"/>
  <c r="AM90" i="10" s="1"/>
  <c r="AE90" i="10"/>
  <c r="H52" i="10"/>
  <c r="AA52" i="10" s="1"/>
  <c r="AD61" i="9"/>
  <c r="AC61" i="9"/>
  <c r="AB61" i="9"/>
  <c r="AD67" i="10"/>
  <c r="AL67" i="10" s="1"/>
  <c r="AC67" i="10"/>
  <c r="AK67" i="10" s="1"/>
  <c r="AB67" i="10"/>
  <c r="AD71" i="10"/>
  <c r="AL71" i="10" s="1"/>
  <c r="AC71" i="10"/>
  <c r="AK71" i="10" s="1"/>
  <c r="AB71" i="10"/>
  <c r="AD62" i="9"/>
  <c r="AC62" i="9"/>
  <c r="AB62" i="9"/>
  <c r="AD60" i="10"/>
  <c r="AL60" i="10" s="1"/>
  <c r="AB60" i="10"/>
  <c r="AC60" i="10"/>
  <c r="AK60" i="10" s="1"/>
  <c r="AD55" i="9"/>
  <c r="AC55" i="9"/>
  <c r="AB55" i="9"/>
  <c r="AJ92" i="10"/>
  <c r="AI102" i="10"/>
  <c r="AJ66" i="10"/>
  <c r="AD45" i="9"/>
  <c r="AC45" i="9"/>
  <c r="AB45" i="9"/>
  <c r="AD36" i="10"/>
  <c r="AL36" i="10" s="1"/>
  <c r="AB36" i="10"/>
  <c r="AC36" i="10"/>
  <c r="AK36" i="10" s="1"/>
  <c r="AE107" i="9"/>
  <c r="AD96" i="10"/>
  <c r="AL96" i="10" s="1"/>
  <c r="AB96" i="10"/>
  <c r="AC96" i="10"/>
  <c r="AK96" i="10" s="1"/>
  <c r="AJ109" i="10"/>
  <c r="AJ89" i="10"/>
  <c r="AM89" i="10" s="1"/>
  <c r="AE89" i="10"/>
  <c r="AD41" i="10"/>
  <c r="AL41" i="10" s="1"/>
  <c r="AC41" i="10"/>
  <c r="AK41" i="10" s="1"/>
  <c r="AB41" i="10"/>
  <c r="AD65" i="9"/>
  <c r="AC65" i="9"/>
  <c r="AB65" i="9"/>
  <c r="H55" i="9"/>
  <c r="AA55" i="9" s="1"/>
  <c r="H93" i="10"/>
  <c r="AA93" i="10" s="1"/>
  <c r="AE99" i="9"/>
  <c r="AI91" i="10"/>
  <c r="H105" i="10"/>
  <c r="AA105" i="10" s="1"/>
  <c r="AD73" i="10"/>
  <c r="AL73" i="10" s="1"/>
  <c r="AC73" i="10"/>
  <c r="AK73" i="10" s="1"/>
  <c r="AB73" i="10"/>
  <c r="AD34" i="9"/>
  <c r="AC34" i="9"/>
  <c r="AB34" i="9"/>
  <c r="AH56" i="10"/>
  <c r="AH115" i="10" s="1"/>
  <c r="AH120" i="10" s="1"/>
  <c r="H35" i="10"/>
  <c r="AA35" i="10" s="1"/>
  <c r="H51" i="10"/>
  <c r="AA51" i="10" s="1"/>
  <c r="AD107" i="10"/>
  <c r="AL107" i="10" s="1"/>
  <c r="AB107" i="10"/>
  <c r="AC107" i="10"/>
  <c r="AK107" i="10" s="1"/>
  <c r="AD99" i="10"/>
  <c r="AL99" i="10" s="1"/>
  <c r="AB99" i="10"/>
  <c r="AC99" i="10"/>
  <c r="AK99" i="10" s="1"/>
  <c r="AI101" i="10"/>
  <c r="AD79" i="9"/>
  <c r="AC79" i="9"/>
  <c r="AB79" i="9"/>
  <c r="AD43" i="10"/>
  <c r="AL43" i="10" s="1"/>
  <c r="AB43" i="10"/>
  <c r="AC43" i="10"/>
  <c r="AK43" i="10" s="1"/>
  <c r="AE40" i="9"/>
  <c r="AE71" i="9"/>
  <c r="AD46" i="9"/>
  <c r="AC46" i="9"/>
  <c r="AB46" i="9"/>
  <c r="AC12" i="10"/>
  <c r="AK12" i="10" s="1"/>
  <c r="AC48" i="10"/>
  <c r="AK48" i="10" s="1"/>
  <c r="AD48" i="10"/>
  <c r="AL48" i="10" s="1"/>
  <c r="AB48" i="10"/>
  <c r="H71" i="10"/>
  <c r="AA71" i="10" s="1"/>
  <c r="AD63" i="9"/>
  <c r="AC63" i="9"/>
  <c r="AB63" i="9"/>
  <c r="AD97" i="10"/>
  <c r="AL97" i="10" s="1"/>
  <c r="AB97" i="10"/>
  <c r="AC97" i="10"/>
  <c r="AK97" i="10" s="1"/>
  <c r="AE105" i="9"/>
  <c r="AF110" i="10"/>
  <c r="AF117" i="10" s="1"/>
  <c r="AF122" i="10" s="1"/>
  <c r="AJ64" i="10"/>
  <c r="AM64" i="10" s="1"/>
  <c r="AE64" i="10"/>
  <c r="AD95" i="10"/>
  <c r="AL95" i="10" s="1"/>
  <c r="AB95" i="10"/>
  <c r="AC95" i="10"/>
  <c r="AK95" i="10" s="1"/>
  <c r="AD93" i="10"/>
  <c r="AL93" i="10" s="1"/>
  <c r="AB93" i="10"/>
  <c r="AC93" i="10"/>
  <c r="AK93" i="10" s="1"/>
  <c r="AJ40" i="10"/>
  <c r="H62" i="9"/>
  <c r="AA62" i="9" s="1"/>
  <c r="AD105" i="10"/>
  <c r="AL105" i="10" s="1"/>
  <c r="AB105" i="10"/>
  <c r="AC105" i="10"/>
  <c r="AK105" i="10" s="1"/>
  <c r="H64" i="9"/>
  <c r="AA64" i="9" s="1"/>
  <c r="AE109" i="9"/>
  <c r="AC35" i="10"/>
  <c r="AK35" i="10" s="1"/>
  <c r="AD35" i="10"/>
  <c r="AL35" i="10" s="1"/>
  <c r="AB35" i="10"/>
  <c r="H96" i="10"/>
  <c r="AA96" i="10" s="1"/>
  <c r="H74" i="9"/>
  <c r="AA74" i="9" s="1"/>
  <c r="O74" i="9"/>
  <c r="P74" i="9" s="1"/>
  <c r="L74" i="9" s="1"/>
  <c r="AE39" i="9"/>
  <c r="AJ63" i="10"/>
  <c r="AC78" i="10"/>
  <c r="AK78" i="10" s="1"/>
  <c r="AD78" i="10"/>
  <c r="AL78" i="10" s="1"/>
  <c r="AB78" i="10"/>
  <c r="AE82" i="9"/>
  <c r="AI32" i="10"/>
  <c r="AF56" i="10"/>
  <c r="AF115" i="10" s="1"/>
  <c r="AF120" i="10" s="1"/>
  <c r="AE89" i="9"/>
  <c r="H65" i="9"/>
  <c r="AA65" i="9" s="1"/>
  <c r="AB91" i="10"/>
  <c r="AD91" i="10"/>
  <c r="AL91" i="10" s="1"/>
  <c r="AC91" i="10"/>
  <c r="AK91" i="10" s="1"/>
  <c r="AI83" i="10"/>
  <c r="AI116" i="10" s="1"/>
  <c r="AI121" i="10" s="1"/>
  <c r="AD39" i="10"/>
  <c r="AL39" i="10" s="1"/>
  <c r="AB39" i="10"/>
  <c r="AC39" i="10"/>
  <c r="AK39" i="10" s="1"/>
  <c r="AI33" i="10"/>
  <c r="AE108" i="9"/>
  <c r="AB69" i="10"/>
  <c r="AD69" i="10"/>
  <c r="AL69" i="10" s="1"/>
  <c r="AC69" i="10"/>
  <c r="AK69" i="10" s="1"/>
  <c r="AE70" i="9"/>
  <c r="AI44" i="10"/>
  <c r="AI88" i="10"/>
  <c r="AD50" i="10"/>
  <c r="AL50" i="10" s="1"/>
  <c r="AB50" i="10"/>
  <c r="AC50" i="10"/>
  <c r="AK50" i="10" s="1"/>
  <c r="AE53" i="9"/>
  <c r="AE67" i="9"/>
  <c r="AJ82" i="10"/>
  <c r="AC45" i="10"/>
  <c r="AK45" i="10" s="1"/>
  <c r="AD45" i="10"/>
  <c r="AL45" i="10" s="1"/>
  <c r="AB45" i="10"/>
  <c r="AD62" i="10"/>
  <c r="AL62" i="10" s="1"/>
  <c r="AC62" i="10"/>
  <c r="AK62" i="10" s="1"/>
  <c r="AB62" i="10"/>
  <c r="AE42" i="9"/>
  <c r="AC20" i="10"/>
  <c r="AK20" i="10" s="1"/>
  <c r="AD70" i="10"/>
  <c r="AL70" i="10" s="1"/>
  <c r="AC70" i="10"/>
  <c r="AK70" i="10" s="1"/>
  <c r="AB70" i="10"/>
  <c r="AD55" i="10"/>
  <c r="AL55" i="10" s="1"/>
  <c r="AB55" i="10"/>
  <c r="AC55" i="10"/>
  <c r="AK55" i="10" s="1"/>
  <c r="H44" i="10"/>
  <c r="AA44" i="10" s="1"/>
  <c r="AD33" i="9"/>
  <c r="AC33" i="9"/>
  <c r="AB33" i="9"/>
  <c r="H33" i="10"/>
  <c r="AA33" i="10" s="1"/>
  <c r="AD64" i="9"/>
  <c r="AC64" i="9"/>
  <c r="AB64" i="9"/>
  <c r="P104" i="10"/>
  <c r="L104" i="10" s="1"/>
  <c r="AC52" i="9"/>
  <c r="AD52" i="9"/>
  <c r="AB52" i="9"/>
  <c r="AI46" i="10"/>
  <c r="H45" i="10"/>
  <c r="AA45" i="10" s="1"/>
  <c r="H70" i="10"/>
  <c r="AA70" i="10" s="1"/>
  <c r="H76" i="9"/>
  <c r="AC47" i="9"/>
  <c r="AD47" i="9"/>
  <c r="AB47" i="9"/>
  <c r="AI87" i="10"/>
  <c r="H97" i="10"/>
  <c r="AA97" i="10" s="1"/>
  <c r="AI54" i="10"/>
  <c r="AJ98" i="10"/>
  <c r="AD75" i="10"/>
  <c r="AL75" i="10" s="1"/>
  <c r="AC75" i="10"/>
  <c r="AK75" i="10" s="1"/>
  <c r="AB75" i="10"/>
  <c r="H95" i="10"/>
  <c r="AA95" i="10" s="1"/>
  <c r="AD37" i="9"/>
  <c r="AC37" i="9"/>
  <c r="AB37" i="9"/>
  <c r="AJ61" i="10"/>
  <c r="AM61" i="10" s="1"/>
  <c r="AE61" i="10"/>
  <c r="H102" i="10"/>
  <c r="AA102" i="10" s="1"/>
  <c r="AE100" i="9"/>
  <c r="AD53" i="10"/>
  <c r="AL53" i="10" s="1"/>
  <c r="AB53" i="10"/>
  <c r="AC53" i="10"/>
  <c r="AK53" i="10" s="1"/>
  <c r="AD103" i="10"/>
  <c r="AL103" i="10" s="1"/>
  <c r="AB103" i="10"/>
  <c r="AC103" i="10"/>
  <c r="AK103" i="10" s="1"/>
  <c r="H62" i="10"/>
  <c r="AA62" i="10" s="1"/>
  <c r="AE91" i="9"/>
  <c r="P54" i="10"/>
  <c r="L54" i="10" s="1"/>
  <c r="AD47" i="10"/>
  <c r="AL47" i="10" s="1"/>
  <c r="AB47" i="10"/>
  <c r="AC47" i="10"/>
  <c r="AK47" i="10" s="1"/>
  <c r="P38" i="10"/>
  <c r="L38" i="10" s="1"/>
  <c r="AI29" i="10"/>
  <c r="AI114" i="10" s="1"/>
  <c r="AI119" i="10" s="1"/>
  <c r="P24" i="9"/>
  <c r="L24" i="9" s="1"/>
  <c r="AB24" i="9" s="1"/>
  <c r="H12" i="9"/>
  <c r="AA12" i="9" s="1"/>
  <c r="AB15" i="10"/>
  <c r="AJ15" i="10" s="1"/>
  <c r="AB28" i="10"/>
  <c r="AJ28" i="10" s="1"/>
  <c r="AD26" i="10"/>
  <c r="AL26" i="10" s="1"/>
  <c r="AD25" i="10"/>
  <c r="AL25" i="10" s="1"/>
  <c r="AD15" i="10"/>
  <c r="AL15" i="10" s="1"/>
  <c r="AB7" i="10"/>
  <c r="P20" i="9"/>
  <c r="L20" i="9" s="1"/>
  <c r="AC20" i="9" s="1"/>
  <c r="H10" i="9"/>
  <c r="AA10" i="9" s="1"/>
  <c r="H5" i="10"/>
  <c r="AB13" i="10"/>
  <c r="AJ13" i="10" s="1"/>
  <c r="AC22" i="10"/>
  <c r="AK22" i="10" s="1"/>
  <c r="AB25" i="10"/>
  <c r="P28" i="9"/>
  <c r="L28" i="9" s="1"/>
  <c r="AD28" i="9" s="1"/>
  <c r="AC26" i="10"/>
  <c r="AK26" i="10" s="1"/>
  <c r="AC13" i="10"/>
  <c r="AK13" i="10" s="1"/>
  <c r="AC18" i="10"/>
  <c r="AK18" i="10" s="1"/>
  <c r="AB22" i="10"/>
  <c r="AJ22" i="10" s="1"/>
  <c r="H21" i="9"/>
  <c r="AA21" i="9" s="1"/>
  <c r="H16" i="9"/>
  <c r="AA16" i="9" s="1"/>
  <c r="AB23" i="10"/>
  <c r="H28" i="9"/>
  <c r="AA28" i="9" s="1"/>
  <c r="P12" i="9"/>
  <c r="L12" i="9" s="1"/>
  <c r="AC12" i="9" s="1"/>
  <c r="H25" i="9"/>
  <c r="AA25" i="9" s="1"/>
  <c r="P19" i="9"/>
  <c r="L19" i="9" s="1"/>
  <c r="AD19" i="9" s="1"/>
  <c r="H26" i="9"/>
  <c r="AA26" i="9" s="1"/>
  <c r="H14" i="9"/>
  <c r="AA14" i="9" s="1"/>
  <c r="G15" i="9"/>
  <c r="O15" i="9" s="1"/>
  <c r="P15" i="9" s="1"/>
  <c r="L15" i="9" s="1"/>
  <c r="AC15" i="9" s="1"/>
  <c r="P10" i="9"/>
  <c r="L10" i="9" s="1"/>
  <c r="AD10" i="9" s="1"/>
  <c r="AB6" i="10"/>
  <c r="H6" i="9"/>
  <c r="AA6" i="9" s="1"/>
  <c r="P26" i="9"/>
  <c r="L26" i="9" s="1"/>
  <c r="AD26" i="9" s="1"/>
  <c r="H26" i="10"/>
  <c r="AA26" i="10" s="1"/>
  <c r="P7" i="9"/>
  <c r="L7" i="9" s="1"/>
  <c r="AD24" i="10"/>
  <c r="AL24" i="10" s="1"/>
  <c r="AB24" i="10"/>
  <c r="AC24" i="10"/>
  <c r="AK24" i="10" s="1"/>
  <c r="G18" i="9"/>
  <c r="O18" i="9" s="1"/>
  <c r="P18" i="9" s="1"/>
  <c r="L18" i="9" s="1"/>
  <c r="AD14" i="10"/>
  <c r="AL14" i="10" s="1"/>
  <c r="AC14" i="10"/>
  <c r="AK14" i="10" s="1"/>
  <c r="AB14" i="10"/>
  <c r="G9" i="9"/>
  <c r="AJ17" i="10"/>
  <c r="AM17" i="10" s="1"/>
  <c r="AE17" i="10"/>
  <c r="H14" i="10"/>
  <c r="AA14" i="10" s="1"/>
  <c r="AD9" i="10"/>
  <c r="AL9" i="10" s="1"/>
  <c r="AC9" i="10"/>
  <c r="AK9" i="10" s="1"/>
  <c r="AB9" i="10"/>
  <c r="P25" i="9"/>
  <c r="L25" i="9" s="1"/>
  <c r="P6" i="9"/>
  <c r="L6" i="9" s="1"/>
  <c r="O16" i="10"/>
  <c r="P16" i="10" s="1"/>
  <c r="L16" i="10" s="1"/>
  <c r="H16" i="10"/>
  <c r="AA16" i="10" s="1"/>
  <c r="H22" i="9"/>
  <c r="AA22" i="9" s="1"/>
  <c r="P14" i="9"/>
  <c r="L14" i="9" s="1"/>
  <c r="P21" i="9"/>
  <c r="L21" i="9" s="1"/>
  <c r="AJ26" i="10"/>
  <c r="P16" i="9"/>
  <c r="L16" i="9" s="1"/>
  <c r="G13" i="9"/>
  <c r="AJ20" i="10"/>
  <c r="H17" i="9"/>
  <c r="AA17" i="9" s="1"/>
  <c r="G8" i="9"/>
  <c r="O8" i="9" s="1"/>
  <c r="P8" i="9" s="1"/>
  <c r="L8" i="9" s="1"/>
  <c r="AD27" i="10"/>
  <c r="AL27" i="10" s="1"/>
  <c r="AB27" i="10"/>
  <c r="AC27" i="10"/>
  <c r="AK27" i="10" s="1"/>
  <c r="AJ8" i="10"/>
  <c r="AM8" i="10" s="1"/>
  <c r="AE8" i="10"/>
  <c r="AD11" i="10"/>
  <c r="AL11" i="10" s="1"/>
  <c r="AB11" i="10"/>
  <c r="AC11" i="10"/>
  <c r="AK11" i="10" s="1"/>
  <c r="H20" i="9"/>
  <c r="AA20" i="9" s="1"/>
  <c r="G11" i="9"/>
  <c r="O11" i="9" s="1"/>
  <c r="N11" i="9"/>
  <c r="H24" i="9"/>
  <c r="AA24" i="9" s="1"/>
  <c r="O19" i="10"/>
  <c r="P19" i="10" s="1"/>
  <c r="L19" i="10" s="1"/>
  <c r="H19" i="10"/>
  <c r="AA19" i="10" s="1"/>
  <c r="AD10" i="10"/>
  <c r="AL10" i="10" s="1"/>
  <c r="AB10" i="10"/>
  <c r="AC10" i="10"/>
  <c r="AK10" i="10" s="1"/>
  <c r="H7" i="9"/>
  <c r="AA7" i="9" s="1"/>
  <c r="H19" i="9"/>
  <c r="AA19" i="9" s="1"/>
  <c r="O21" i="10"/>
  <c r="P21" i="10" s="1"/>
  <c r="L21" i="10" s="1"/>
  <c r="H21" i="10"/>
  <c r="AA21" i="10" s="1"/>
  <c r="P22" i="9"/>
  <c r="L22" i="9" s="1"/>
  <c r="G27" i="9"/>
  <c r="O27" i="9" s="1"/>
  <c r="P27" i="9" s="1"/>
  <c r="L27" i="9" s="1"/>
  <c r="AJ18" i="10"/>
  <c r="H10" i="10"/>
  <c r="AA10" i="10" s="1"/>
  <c r="P17" i="9"/>
  <c r="L17" i="9" s="1"/>
  <c r="H11" i="10"/>
  <c r="AA11" i="10" s="1"/>
  <c r="G23" i="9"/>
  <c r="O23" i="9" s="1"/>
  <c r="P23" i="9" s="1"/>
  <c r="L23" i="9" s="1"/>
  <c r="AE92" i="9" l="1"/>
  <c r="O77" i="10"/>
  <c r="P77" i="10" s="1"/>
  <c r="N83" i="10"/>
  <c r="N116" i="10" s="1"/>
  <c r="N121" i="10" s="1"/>
  <c r="N124" i="10" s="1"/>
  <c r="F5" i="29" s="1"/>
  <c r="I5" i="29" s="1"/>
  <c r="G83" i="10"/>
  <c r="G116" i="10" s="1"/>
  <c r="G121" i="10" s="1"/>
  <c r="G16" i="29"/>
  <c r="H32" i="10"/>
  <c r="AA32" i="10" s="1"/>
  <c r="AA56" i="10" s="1"/>
  <c r="AA115" i="10" s="1"/>
  <c r="F124" i="10"/>
  <c r="D5" i="29" s="1"/>
  <c r="O32" i="10"/>
  <c r="O56" i="10" s="1"/>
  <c r="O115" i="10" s="1"/>
  <c r="O120" i="10" s="1"/>
  <c r="M124" i="10"/>
  <c r="F4" i="29" s="1"/>
  <c r="I4" i="29" s="1"/>
  <c r="O14" i="29"/>
  <c r="G32" i="29" s="1"/>
  <c r="O31" i="29" s="1"/>
  <c r="O13" i="29"/>
  <c r="G31" i="29" s="1"/>
  <c r="O25" i="29" s="1"/>
  <c r="AM81" i="10"/>
  <c r="AA77" i="10"/>
  <c r="AA83" i="10" s="1"/>
  <c r="AA116" i="10" s="1"/>
  <c r="AM76" i="10"/>
  <c r="G25" i="29"/>
  <c r="AM109" i="10"/>
  <c r="O8" i="29"/>
  <c r="G26" i="29" s="1"/>
  <c r="AM82" i="10"/>
  <c r="AM94" i="10"/>
  <c r="AE76" i="10"/>
  <c r="G110" i="10"/>
  <c r="G117" i="10" s="1"/>
  <c r="G122" i="10" s="1"/>
  <c r="O83" i="10"/>
  <c r="O116" i="10" s="1"/>
  <c r="O121" i="10" s="1"/>
  <c r="O59" i="9"/>
  <c r="AA76" i="9"/>
  <c r="O110" i="10"/>
  <c r="O117" i="10" s="1"/>
  <c r="O122" i="10" s="1"/>
  <c r="P5" i="10"/>
  <c r="O29" i="10"/>
  <c r="O114" i="10" s="1"/>
  <c r="O119" i="10" s="1"/>
  <c r="E56" i="9"/>
  <c r="E115" i="9" s="1"/>
  <c r="E120" i="9" s="1"/>
  <c r="M32" i="9"/>
  <c r="M56" i="9" s="1"/>
  <c r="M115" i="9" s="1"/>
  <c r="M120" i="9" s="1"/>
  <c r="N86" i="9"/>
  <c r="N110" i="9" s="1"/>
  <c r="N117" i="9" s="1"/>
  <c r="N122" i="9" s="1"/>
  <c r="F110" i="9"/>
  <c r="F117" i="9" s="1"/>
  <c r="F122" i="9" s="1"/>
  <c r="N59" i="9"/>
  <c r="H59" i="9"/>
  <c r="AB59" i="10"/>
  <c r="AJ59" i="10" s="1"/>
  <c r="L86" i="10"/>
  <c r="P110" i="10"/>
  <c r="P117" i="10" s="1"/>
  <c r="P122" i="10" s="1"/>
  <c r="G86" i="9"/>
  <c r="H86" i="9" s="1"/>
  <c r="G29" i="9"/>
  <c r="G114" i="9" s="1"/>
  <c r="G119" i="9" s="1"/>
  <c r="AA5" i="10"/>
  <c r="AA29" i="10" s="1"/>
  <c r="AA114" i="10" s="1"/>
  <c r="H29" i="10"/>
  <c r="H114" i="10" s="1"/>
  <c r="H119" i="10" s="1"/>
  <c r="AC59" i="10"/>
  <c r="AK59" i="10" s="1"/>
  <c r="N5" i="9"/>
  <c r="N29" i="9" s="1"/>
  <c r="N114" i="9" s="1"/>
  <c r="N119" i="9" s="1"/>
  <c r="F29" i="9"/>
  <c r="F114" i="9" s="1"/>
  <c r="F119" i="9" s="1"/>
  <c r="P76" i="9"/>
  <c r="E83" i="9"/>
  <c r="E116" i="9" s="1"/>
  <c r="E121" i="9" s="1"/>
  <c r="H83" i="10"/>
  <c r="H116" i="10" s="1"/>
  <c r="H121" i="10" s="1"/>
  <c r="F32" i="9"/>
  <c r="AE109" i="10"/>
  <c r="AM68" i="10"/>
  <c r="AE94" i="10"/>
  <c r="F77" i="9"/>
  <c r="M77" i="9"/>
  <c r="AE49" i="10"/>
  <c r="AE98" i="9"/>
  <c r="AG124" i="10"/>
  <c r="AM42" i="10"/>
  <c r="AE44" i="9"/>
  <c r="AE6" i="10"/>
  <c r="AE74" i="10"/>
  <c r="AE81" i="10"/>
  <c r="AF124" i="10"/>
  <c r="AM74" i="10"/>
  <c r="AE73" i="9"/>
  <c r="AE81" i="9"/>
  <c r="AC88" i="9"/>
  <c r="AE23" i="10"/>
  <c r="AE82" i="10"/>
  <c r="AE50" i="9"/>
  <c r="AB88" i="9"/>
  <c r="AE97" i="9"/>
  <c r="AE72" i="9"/>
  <c r="AE36" i="9"/>
  <c r="AE68" i="10"/>
  <c r="AE42" i="10"/>
  <c r="AE66" i="10"/>
  <c r="AE92" i="10"/>
  <c r="AE65" i="10"/>
  <c r="AM66" i="10"/>
  <c r="AM92" i="10"/>
  <c r="AE108" i="10"/>
  <c r="AM108" i="10"/>
  <c r="AM65" i="10"/>
  <c r="AE80" i="9"/>
  <c r="AE66" i="9"/>
  <c r="AE68" i="9"/>
  <c r="AM100" i="10"/>
  <c r="AE35" i="9"/>
  <c r="AB106" i="10"/>
  <c r="AJ106" i="10" s="1"/>
  <c r="AE34" i="10"/>
  <c r="AB33" i="10"/>
  <c r="AE43" i="9"/>
  <c r="AM49" i="10"/>
  <c r="AE25" i="10"/>
  <c r="AE72" i="10"/>
  <c r="AM72" i="10"/>
  <c r="AD101" i="10"/>
  <c r="AL101" i="10" s="1"/>
  <c r="AH124" i="10"/>
  <c r="AM88" i="10"/>
  <c r="AE88" i="10"/>
  <c r="AE100" i="10"/>
  <c r="AC101" i="10"/>
  <c r="AK101" i="10" s="1"/>
  <c r="AM20" i="10"/>
  <c r="AB102" i="10"/>
  <c r="AJ102" i="10" s="1"/>
  <c r="AD44" i="10"/>
  <c r="AL44" i="10" s="1"/>
  <c r="AM34" i="10"/>
  <c r="AM28" i="10"/>
  <c r="AE54" i="9"/>
  <c r="AM98" i="10"/>
  <c r="AM37" i="10"/>
  <c r="AC102" i="10"/>
  <c r="AK102" i="10" s="1"/>
  <c r="AE40" i="10"/>
  <c r="AB87" i="10"/>
  <c r="AJ87" i="10" s="1"/>
  <c r="AD33" i="10"/>
  <c r="AL33" i="10" s="1"/>
  <c r="AD87" i="10"/>
  <c r="AL87" i="10" s="1"/>
  <c r="AE37" i="10"/>
  <c r="AE48" i="9"/>
  <c r="AE7" i="10"/>
  <c r="AE98" i="10"/>
  <c r="AM40" i="10"/>
  <c r="AD46" i="10"/>
  <c r="AL46" i="10" s="1"/>
  <c r="AM12" i="10"/>
  <c r="H106" i="10"/>
  <c r="AA106" i="10" s="1"/>
  <c r="AA110" i="10" s="1"/>
  <c r="AA117" i="10" s="1"/>
  <c r="AB19" i="9"/>
  <c r="AI110" i="10"/>
  <c r="AI117" i="10" s="1"/>
  <c r="AI122" i="10" s="1"/>
  <c r="AM63" i="10"/>
  <c r="AC46" i="10"/>
  <c r="AK46" i="10" s="1"/>
  <c r="AC44" i="10"/>
  <c r="AK44" i="10" s="1"/>
  <c r="AE63" i="10"/>
  <c r="AD106" i="10"/>
  <c r="AL106" i="10" s="1"/>
  <c r="AB10" i="9"/>
  <c r="AC10" i="9"/>
  <c r="AC19" i="9"/>
  <c r="AE20" i="10"/>
  <c r="AE64" i="9"/>
  <c r="AE105" i="10"/>
  <c r="AJ105" i="10"/>
  <c r="AM105" i="10" s="1"/>
  <c r="AJ48" i="10"/>
  <c r="AM48" i="10" s="1"/>
  <c r="AE48" i="10"/>
  <c r="AJ107" i="10"/>
  <c r="AM107" i="10" s="1"/>
  <c r="AE107" i="10"/>
  <c r="AJ73" i="10"/>
  <c r="AM73" i="10" s="1"/>
  <c r="AE73" i="10"/>
  <c r="AJ46" i="10"/>
  <c r="AJ60" i="10"/>
  <c r="AM60" i="10" s="1"/>
  <c r="AE60" i="10"/>
  <c r="AE62" i="9"/>
  <c r="AE71" i="10"/>
  <c r="AJ71" i="10"/>
  <c r="AM71" i="10" s="1"/>
  <c r="AE55" i="10"/>
  <c r="AJ55" i="10"/>
  <c r="AM55" i="10" s="1"/>
  <c r="AD74" i="9"/>
  <c r="AC74" i="9"/>
  <c r="AB74" i="9"/>
  <c r="AJ96" i="10"/>
  <c r="AM96" i="10" s="1"/>
  <c r="AE96" i="10"/>
  <c r="AJ36" i="10"/>
  <c r="AM36" i="10" s="1"/>
  <c r="AE36" i="10"/>
  <c r="AE55" i="9"/>
  <c r="AE69" i="9"/>
  <c r="AJ79" i="10"/>
  <c r="AM79" i="10" s="1"/>
  <c r="AE79" i="10"/>
  <c r="AI56" i="10"/>
  <c r="AI115" i="10" s="1"/>
  <c r="AI120" i="10" s="1"/>
  <c r="AE37" i="9"/>
  <c r="AE47" i="9"/>
  <c r="AJ35" i="10"/>
  <c r="AM35" i="10" s="1"/>
  <c r="AE35" i="10"/>
  <c r="AE93" i="10"/>
  <c r="AJ93" i="10"/>
  <c r="AM93" i="10" s="1"/>
  <c r="AE63" i="9"/>
  <c r="AE43" i="10"/>
  <c r="AJ43" i="10"/>
  <c r="AM43" i="10" s="1"/>
  <c r="AL59" i="10"/>
  <c r="AJ103" i="10"/>
  <c r="AM103" i="10" s="1"/>
  <c r="AE103" i="10"/>
  <c r="AD104" i="10"/>
  <c r="AB104" i="10"/>
  <c r="AC104" i="10"/>
  <c r="AK104" i="10" s="1"/>
  <c r="AE70" i="10"/>
  <c r="AJ70" i="10"/>
  <c r="AM70" i="10" s="1"/>
  <c r="AJ62" i="10"/>
  <c r="AM62" i="10" s="1"/>
  <c r="AE62" i="10"/>
  <c r="AE50" i="10"/>
  <c r="AJ50" i="10"/>
  <c r="AM50" i="10" s="1"/>
  <c r="AE39" i="10"/>
  <c r="AJ39" i="10"/>
  <c r="AM39" i="10" s="1"/>
  <c r="AJ91" i="10"/>
  <c r="AM91" i="10" s="1"/>
  <c r="AE91" i="10"/>
  <c r="AJ78" i="10"/>
  <c r="AM78" i="10" s="1"/>
  <c r="AE78" i="10"/>
  <c r="AE34" i="9"/>
  <c r="AE65" i="9"/>
  <c r="AE61" i="9"/>
  <c r="AJ52" i="10"/>
  <c r="AM52" i="10" s="1"/>
  <c r="AE52" i="10"/>
  <c r="AJ80" i="10"/>
  <c r="AM80" i="10" s="1"/>
  <c r="AE80" i="10"/>
  <c r="AE33" i="9"/>
  <c r="AC24" i="9"/>
  <c r="AD38" i="10"/>
  <c r="AL38" i="10" s="1"/>
  <c r="AB38" i="10"/>
  <c r="AC38" i="10"/>
  <c r="AK38" i="10" s="1"/>
  <c r="AD54" i="10"/>
  <c r="AL54" i="10" s="1"/>
  <c r="AB54" i="10"/>
  <c r="AC54" i="10"/>
  <c r="AK54" i="10" s="1"/>
  <c r="AJ53" i="10"/>
  <c r="AM53" i="10" s="1"/>
  <c r="AE53" i="10"/>
  <c r="AE75" i="10"/>
  <c r="AJ75" i="10"/>
  <c r="AM75" i="10" s="1"/>
  <c r="AE45" i="10"/>
  <c r="AJ45" i="10"/>
  <c r="AM45" i="10" s="1"/>
  <c r="AJ95" i="10"/>
  <c r="AM95" i="10" s="1"/>
  <c r="AE95" i="10"/>
  <c r="AE46" i="9"/>
  <c r="AE12" i="10"/>
  <c r="AE47" i="10"/>
  <c r="AJ47" i="10"/>
  <c r="AM47" i="10" s="1"/>
  <c r="AE52" i="9"/>
  <c r="AJ69" i="10"/>
  <c r="AM69" i="10" s="1"/>
  <c r="AE69" i="10"/>
  <c r="AJ97" i="10"/>
  <c r="AM97" i="10" s="1"/>
  <c r="AE97" i="10"/>
  <c r="AJ101" i="10"/>
  <c r="AE79" i="9"/>
  <c r="AE99" i="10"/>
  <c r="AJ99" i="10"/>
  <c r="AM99" i="10" s="1"/>
  <c r="AJ41" i="10"/>
  <c r="AM41" i="10" s="1"/>
  <c r="AE41" i="10"/>
  <c r="AE45" i="9"/>
  <c r="AJ67" i="10"/>
  <c r="AM67" i="10" s="1"/>
  <c r="AE67" i="10"/>
  <c r="AJ51" i="10"/>
  <c r="AM51" i="10" s="1"/>
  <c r="AE51" i="10"/>
  <c r="AJ44" i="10"/>
  <c r="AD24" i="9"/>
  <c r="AB26" i="9"/>
  <c r="AE28" i="10"/>
  <c r="AJ7" i="10"/>
  <c r="AM7" i="10" s="1"/>
  <c r="AJ23" i="10"/>
  <c r="AM23" i="10" s="1"/>
  <c r="AM15" i="10"/>
  <c r="AM18" i="10"/>
  <c r="AM26" i="10"/>
  <c r="AD20" i="9"/>
  <c r="AD15" i="9"/>
  <c r="AE13" i="10"/>
  <c r="AB20" i="9"/>
  <c r="AM22" i="10"/>
  <c r="AE22" i="10"/>
  <c r="AE15" i="10"/>
  <c r="AD12" i="9"/>
  <c r="AE26" i="10"/>
  <c r="AB28" i="9"/>
  <c r="AE18" i="10"/>
  <c r="AC28" i="9"/>
  <c r="AJ25" i="10"/>
  <c r="AM25" i="10" s="1"/>
  <c r="AJ6" i="10"/>
  <c r="AM6" i="10" s="1"/>
  <c r="AM13" i="10"/>
  <c r="AB12" i="9"/>
  <c r="AC26" i="9"/>
  <c r="AB15" i="9"/>
  <c r="H15" i="9"/>
  <c r="AA15" i="9" s="1"/>
  <c r="H18" i="9"/>
  <c r="AA18" i="9" s="1"/>
  <c r="H9" i="9"/>
  <c r="AA9" i="9" s="1"/>
  <c r="O9" i="9"/>
  <c r="P9" i="9" s="1"/>
  <c r="L9" i="9" s="1"/>
  <c r="H11" i="9"/>
  <c r="AA11" i="9" s="1"/>
  <c r="AD19" i="10"/>
  <c r="AL19" i="10" s="1"/>
  <c r="AC19" i="10"/>
  <c r="AK19" i="10" s="1"/>
  <c r="AB19" i="10"/>
  <c r="AE27" i="10"/>
  <c r="AJ27" i="10"/>
  <c r="AM27" i="10" s="1"/>
  <c r="O13" i="9"/>
  <c r="P13" i="9" s="1"/>
  <c r="L13" i="9" s="1"/>
  <c r="H13" i="9"/>
  <c r="AA13" i="9" s="1"/>
  <c r="AD16" i="10"/>
  <c r="AL16" i="10" s="1"/>
  <c r="AB16" i="10"/>
  <c r="AC16" i="10"/>
  <c r="AK16" i="10" s="1"/>
  <c r="AJ10" i="10"/>
  <c r="AM10" i="10" s="1"/>
  <c r="AE10" i="10"/>
  <c r="AD8" i="9"/>
  <c r="AC8" i="9"/>
  <c r="AB8" i="9"/>
  <c r="H27" i="9"/>
  <c r="AA27" i="9" s="1"/>
  <c r="AD14" i="9"/>
  <c r="AC14" i="9"/>
  <c r="AB14" i="9"/>
  <c r="AD6" i="9"/>
  <c r="AC6" i="9"/>
  <c r="AB6" i="9"/>
  <c r="H8" i="9"/>
  <c r="AA8" i="9" s="1"/>
  <c r="AE14" i="10"/>
  <c r="AJ14" i="10"/>
  <c r="AM14" i="10" s="1"/>
  <c r="AD23" i="9"/>
  <c r="AC23" i="9"/>
  <c r="AB23" i="9"/>
  <c r="AD22" i="9"/>
  <c r="AC22" i="9"/>
  <c r="AB22" i="9"/>
  <c r="O5" i="9"/>
  <c r="H5" i="9"/>
  <c r="AD16" i="9"/>
  <c r="AC16" i="9"/>
  <c r="AB16" i="9"/>
  <c r="AJ9" i="10"/>
  <c r="AM9" i="10" s="1"/>
  <c r="AE9" i="10"/>
  <c r="AD17" i="9"/>
  <c r="AC17" i="9"/>
  <c r="AB17" i="9"/>
  <c r="AD27" i="9"/>
  <c r="AC27" i="9"/>
  <c r="AB27" i="9"/>
  <c r="AD21" i="10"/>
  <c r="AL21" i="10" s="1"/>
  <c r="AC21" i="10"/>
  <c r="AK21" i="10" s="1"/>
  <c r="AB21" i="10"/>
  <c r="P11" i="9"/>
  <c r="L11" i="9" s="1"/>
  <c r="AE11" i="10"/>
  <c r="AJ11" i="10"/>
  <c r="AM11" i="10" s="1"/>
  <c r="H23" i="9"/>
  <c r="AA23" i="9" s="1"/>
  <c r="AD18" i="9"/>
  <c r="AC18" i="9"/>
  <c r="AB18" i="9"/>
  <c r="AC21" i="9"/>
  <c r="AD21" i="9"/>
  <c r="AB21" i="9"/>
  <c r="AD25" i="9"/>
  <c r="AC25" i="9"/>
  <c r="AB25" i="9"/>
  <c r="AE24" i="10"/>
  <c r="AJ24" i="10"/>
  <c r="AM24" i="10" s="1"/>
  <c r="AD7" i="9"/>
  <c r="AC7" i="9"/>
  <c r="AB7" i="9"/>
  <c r="E5" i="29" l="1"/>
  <c r="G124" i="10"/>
  <c r="D6" i="29" s="1"/>
  <c r="P32" i="10"/>
  <c r="L32" i="10" s="1"/>
  <c r="H56" i="10"/>
  <c r="H115" i="10" s="1"/>
  <c r="H120" i="10" s="1"/>
  <c r="E4" i="29"/>
  <c r="Q31" i="29"/>
  <c r="R31" i="29" s="1"/>
  <c r="Q25" i="29"/>
  <c r="R25" i="29" s="1"/>
  <c r="O16" i="29"/>
  <c r="AE59" i="10"/>
  <c r="G77" i="9"/>
  <c r="G83" i="9" s="1"/>
  <c r="G116" i="9" s="1"/>
  <c r="G121" i="9" s="1"/>
  <c r="E124" i="9"/>
  <c r="L4" i="29" s="1"/>
  <c r="D22" i="29" s="1"/>
  <c r="AA86" i="9"/>
  <c r="AA110" i="9" s="1"/>
  <c r="AA117" i="9" s="1"/>
  <c r="H110" i="9"/>
  <c r="H117" i="9" s="1"/>
  <c r="H122" i="9" s="1"/>
  <c r="N32" i="9"/>
  <c r="N56" i="9" s="1"/>
  <c r="N115" i="9" s="1"/>
  <c r="N120" i="9" s="1"/>
  <c r="F56" i="9"/>
  <c r="F115" i="9" s="1"/>
  <c r="F120" i="9" s="1"/>
  <c r="G32" i="9"/>
  <c r="H32" i="9" s="1"/>
  <c r="P29" i="10"/>
  <c r="P114" i="10" s="1"/>
  <c r="P119" i="10" s="1"/>
  <c r="L5" i="10"/>
  <c r="AA5" i="9"/>
  <c r="AA29" i="9" s="1"/>
  <c r="AA114" i="9" s="1"/>
  <c r="H29" i="9"/>
  <c r="H114" i="9" s="1"/>
  <c r="H119" i="9" s="1"/>
  <c r="P83" i="10"/>
  <c r="P116" i="10" s="1"/>
  <c r="P121" i="10" s="1"/>
  <c r="L77" i="10"/>
  <c r="H110" i="10"/>
  <c r="H117" i="10" s="1"/>
  <c r="H122" i="10" s="1"/>
  <c r="L76" i="9"/>
  <c r="AA59" i="9"/>
  <c r="O86" i="9"/>
  <c r="G110" i="9"/>
  <c r="G117" i="9" s="1"/>
  <c r="G122" i="9" s="1"/>
  <c r="P5" i="9"/>
  <c r="P29" i="9" s="1"/>
  <c r="P114" i="9" s="1"/>
  <c r="P119" i="9" s="1"/>
  <c r="O29" i="9"/>
  <c r="O114" i="9" s="1"/>
  <c r="O119" i="9" s="1"/>
  <c r="M83" i="9"/>
  <c r="M116" i="9" s="1"/>
  <c r="M121" i="9" s="1"/>
  <c r="M124" i="9" s="1"/>
  <c r="N4" i="29" s="1"/>
  <c r="L110" i="10"/>
  <c r="L117" i="10" s="1"/>
  <c r="L122" i="10" s="1"/>
  <c r="AD86" i="10"/>
  <c r="AL86" i="10" s="1"/>
  <c r="AB86" i="10"/>
  <c r="AB110" i="10" s="1"/>
  <c r="AB117" i="10" s="1"/>
  <c r="AB122" i="10" s="1"/>
  <c r="AC86" i="10"/>
  <c r="AK86" i="10" s="1"/>
  <c r="AK110" i="10" s="1"/>
  <c r="AK117" i="10" s="1"/>
  <c r="AK122" i="10" s="1"/>
  <c r="F83" i="9"/>
  <c r="F116" i="9" s="1"/>
  <c r="F121" i="9" s="1"/>
  <c r="O124" i="10"/>
  <c r="F6" i="29" s="1"/>
  <c r="P59" i="9"/>
  <c r="AE33" i="10"/>
  <c r="N77" i="9"/>
  <c r="AE88" i="9"/>
  <c r="AE102" i="10"/>
  <c r="AJ33" i="10"/>
  <c r="AM33" i="10" s="1"/>
  <c r="AI124" i="10"/>
  <c r="AM102" i="10"/>
  <c r="AE19" i="9"/>
  <c r="AM101" i="10"/>
  <c r="AM44" i="10"/>
  <c r="AE101" i="10"/>
  <c r="AE10" i="9"/>
  <c r="AE44" i="10"/>
  <c r="AM87" i="10"/>
  <c r="AE87" i="10"/>
  <c r="AM46" i="10"/>
  <c r="AE106" i="10"/>
  <c r="AE46" i="10"/>
  <c r="AM106" i="10"/>
  <c r="AE38" i="10"/>
  <c r="AJ38" i="10"/>
  <c r="AM38" i="10" s="1"/>
  <c r="AE74" i="9"/>
  <c r="AL104" i="10"/>
  <c r="AE24" i="9"/>
  <c r="AM59" i="10"/>
  <c r="AJ54" i="10"/>
  <c r="AM54" i="10" s="1"/>
  <c r="AE54" i="10"/>
  <c r="AJ104" i="10"/>
  <c r="AE104" i="10"/>
  <c r="AE20" i="9"/>
  <c r="AE28" i="9"/>
  <c r="AE12" i="9"/>
  <c r="AE26" i="9"/>
  <c r="AE15" i="9"/>
  <c r="AE21" i="9"/>
  <c r="AE25" i="9"/>
  <c r="AD13" i="9"/>
  <c r="AC13" i="9"/>
  <c r="AB13" i="9"/>
  <c r="AE19" i="10"/>
  <c r="AJ19" i="10"/>
  <c r="AM19" i="10" s="1"/>
  <c r="AD11" i="9"/>
  <c r="AC11" i="9"/>
  <c r="AB11" i="9"/>
  <c r="AE27" i="9"/>
  <c r="AE17" i="9"/>
  <c r="AE22" i="9"/>
  <c r="AE14" i="9"/>
  <c r="AE8" i="9"/>
  <c r="AE16" i="10"/>
  <c r="AJ16" i="10"/>
  <c r="AM16" i="10" s="1"/>
  <c r="AE7" i="9"/>
  <c r="AE23" i="9"/>
  <c r="AE18" i="9"/>
  <c r="AJ21" i="10"/>
  <c r="AM21" i="10" s="1"/>
  <c r="AE21" i="10"/>
  <c r="AE16" i="9"/>
  <c r="AE6" i="9"/>
  <c r="AC9" i="9"/>
  <c r="AD9" i="9"/>
  <c r="AB9" i="9"/>
  <c r="P56" i="10" l="1"/>
  <c r="P115" i="10" s="1"/>
  <c r="P120" i="10" s="1"/>
  <c r="H124" i="10"/>
  <c r="D8" i="29" s="1"/>
  <c r="D15" i="29" s="1"/>
  <c r="D18" i="29" s="1"/>
  <c r="D35" i="29" s="1"/>
  <c r="G33" i="29"/>
  <c r="H77" i="9"/>
  <c r="AA77" i="9" s="1"/>
  <c r="AA83" i="9" s="1"/>
  <c r="AA116" i="9" s="1"/>
  <c r="O77" i="9"/>
  <c r="AC110" i="10"/>
  <c r="AC117" i="10" s="1"/>
  <c r="AC122" i="10" s="1"/>
  <c r="AD110" i="10"/>
  <c r="AD117" i="10" s="1"/>
  <c r="AD122" i="10" s="1"/>
  <c r="L5" i="9"/>
  <c r="AD5" i="9" s="1"/>
  <c r="AL110" i="10"/>
  <c r="AL117" i="10" s="1"/>
  <c r="AL122" i="10" s="1"/>
  <c r="F124" i="9"/>
  <c r="L5" i="29" s="1"/>
  <c r="D23" i="29" s="1"/>
  <c r="AD76" i="9"/>
  <c r="AB76" i="9"/>
  <c r="AC76" i="9"/>
  <c r="Q4" i="29"/>
  <c r="I22" i="29" s="1"/>
  <c r="M4" i="29"/>
  <c r="F22" i="29"/>
  <c r="AC5" i="10"/>
  <c r="L29" i="10"/>
  <c r="L114" i="10" s="1"/>
  <c r="L119" i="10" s="1"/>
  <c r="AB5" i="10"/>
  <c r="AD5" i="10"/>
  <c r="L59" i="9"/>
  <c r="AJ86" i="10"/>
  <c r="AM86" i="10" s="1"/>
  <c r="AE86" i="10"/>
  <c r="AE110" i="10" s="1"/>
  <c r="AE117" i="10" s="1"/>
  <c r="AE122" i="10" s="1"/>
  <c r="P124" i="10"/>
  <c r="F8" i="29" s="1"/>
  <c r="L56" i="10"/>
  <c r="L115" i="10" s="1"/>
  <c r="L120" i="10" s="1"/>
  <c r="AC32" i="10"/>
  <c r="AB32" i="10"/>
  <c r="AD32" i="10"/>
  <c r="E6" i="29"/>
  <c r="I6" i="29"/>
  <c r="P86" i="9"/>
  <c r="O110" i="9"/>
  <c r="O117" i="9" s="1"/>
  <c r="O122" i="9" s="1"/>
  <c r="AA32" i="9"/>
  <c r="AA56" i="9" s="1"/>
  <c r="AA115" i="9" s="1"/>
  <c r="H56" i="9"/>
  <c r="H115" i="9" s="1"/>
  <c r="H120" i="9" s="1"/>
  <c r="AD77" i="10"/>
  <c r="AC77" i="10"/>
  <c r="L83" i="10"/>
  <c r="L116" i="10" s="1"/>
  <c r="L121" i="10" s="1"/>
  <c r="AB77" i="10"/>
  <c r="N83" i="9"/>
  <c r="N116" i="9" s="1"/>
  <c r="N121" i="9" s="1"/>
  <c r="N124" i="9" s="1"/>
  <c r="N5" i="29" s="1"/>
  <c r="O32" i="9"/>
  <c r="G56" i="9"/>
  <c r="G115" i="9" s="1"/>
  <c r="G120" i="9" s="1"/>
  <c r="G124" i="9" s="1"/>
  <c r="L6" i="29" s="1"/>
  <c r="D24" i="29" s="1"/>
  <c r="AM104" i="10"/>
  <c r="AE9" i="9"/>
  <c r="AE11" i="9"/>
  <c r="AE13" i="9"/>
  <c r="P77" i="9" l="1"/>
  <c r="L77" i="9" s="1"/>
  <c r="L83" i="9" s="1"/>
  <c r="L116" i="9" s="1"/>
  <c r="L121" i="9" s="1"/>
  <c r="E13" i="29"/>
  <c r="F13" i="29" s="1"/>
  <c r="O83" i="9"/>
  <c r="O116" i="9" s="1"/>
  <c r="O121" i="9" s="1"/>
  <c r="H83" i="9"/>
  <c r="H116" i="9" s="1"/>
  <c r="H121" i="9" s="1"/>
  <c r="H124" i="9" s="1"/>
  <c r="L8" i="29" s="1"/>
  <c r="L15" i="29" s="1"/>
  <c r="AB5" i="9"/>
  <c r="AD29" i="9"/>
  <c r="AD114" i="9" s="1"/>
  <c r="AD119" i="9" s="1"/>
  <c r="L29" i="9"/>
  <c r="L114" i="9" s="1"/>
  <c r="L119" i="9" s="1"/>
  <c r="AC5" i="9"/>
  <c r="L86" i="9"/>
  <c r="P110" i="9"/>
  <c r="P117" i="9" s="1"/>
  <c r="P122" i="9" s="1"/>
  <c r="AE5" i="10"/>
  <c r="AE29" i="10" s="1"/>
  <c r="AE114" i="10" s="1"/>
  <c r="AE119" i="10" s="1"/>
  <c r="AJ5" i="10"/>
  <c r="AB29" i="10"/>
  <c r="AB114" i="10" s="1"/>
  <c r="AB119" i="10" s="1"/>
  <c r="AE77" i="10"/>
  <c r="AE83" i="10" s="1"/>
  <c r="AE116" i="10" s="1"/>
  <c r="AE121" i="10" s="1"/>
  <c r="AJ77" i="10"/>
  <c r="AB83" i="10"/>
  <c r="AB116" i="10" s="1"/>
  <c r="AB121" i="10" s="1"/>
  <c r="AL32" i="10"/>
  <c r="AL56" i="10" s="1"/>
  <c r="AL115" i="10" s="1"/>
  <c r="AL120" i="10" s="1"/>
  <c r="AD56" i="10"/>
  <c r="AD115" i="10" s="1"/>
  <c r="AD120" i="10" s="1"/>
  <c r="E8" i="29"/>
  <c r="I8" i="29"/>
  <c r="P83" i="9"/>
  <c r="P116" i="9" s="1"/>
  <c r="P121" i="9" s="1"/>
  <c r="L124" i="10"/>
  <c r="AL77" i="10"/>
  <c r="AL83" i="10" s="1"/>
  <c r="AL116" i="10" s="1"/>
  <c r="AL121" i="10" s="1"/>
  <c r="AD83" i="10"/>
  <c r="AD116" i="10" s="1"/>
  <c r="AD121" i="10" s="1"/>
  <c r="AM110" i="10"/>
  <c r="AM117" i="10" s="1"/>
  <c r="AM122" i="10" s="1"/>
  <c r="AE32" i="10"/>
  <c r="AE56" i="10" s="1"/>
  <c r="AE115" i="10" s="1"/>
  <c r="AE120" i="10" s="1"/>
  <c r="AJ32" i="10"/>
  <c r="AB56" i="10"/>
  <c r="AB115" i="10" s="1"/>
  <c r="AB120" i="10" s="1"/>
  <c r="AC59" i="9"/>
  <c r="AB59" i="9"/>
  <c r="AD59" i="9"/>
  <c r="AK5" i="10"/>
  <c r="AK29" i="10" s="1"/>
  <c r="AK114" i="10" s="1"/>
  <c r="AK119" i="10" s="1"/>
  <c r="AC29" i="10"/>
  <c r="AC114" i="10" s="1"/>
  <c r="AC119" i="10" s="1"/>
  <c r="AJ110" i="10"/>
  <c r="AJ117" i="10" s="1"/>
  <c r="AJ122" i="10" s="1"/>
  <c r="P32" i="9"/>
  <c r="O56" i="9"/>
  <c r="O115" i="9" s="1"/>
  <c r="O120" i="9" s="1"/>
  <c r="O124" i="9" s="1"/>
  <c r="N6" i="29" s="1"/>
  <c r="Q5" i="29"/>
  <c r="I23" i="29" s="1"/>
  <c r="M5" i="29"/>
  <c r="F23" i="29"/>
  <c r="AK77" i="10"/>
  <c r="AK83" i="10" s="1"/>
  <c r="AK116" i="10" s="1"/>
  <c r="AK121" i="10" s="1"/>
  <c r="AC83" i="10"/>
  <c r="AC116" i="10" s="1"/>
  <c r="AC121" i="10" s="1"/>
  <c r="AK32" i="10"/>
  <c r="AK56" i="10" s="1"/>
  <c r="AK115" i="10" s="1"/>
  <c r="AK120" i="10" s="1"/>
  <c r="AC56" i="10"/>
  <c r="AC115" i="10" s="1"/>
  <c r="AC120" i="10" s="1"/>
  <c r="AL5" i="10"/>
  <c r="AL29" i="10" s="1"/>
  <c r="AL114" i="10" s="1"/>
  <c r="AL119" i="10" s="1"/>
  <c r="AD29" i="10"/>
  <c r="AD114" i="10" s="1"/>
  <c r="AD119" i="10" s="1"/>
  <c r="AE76" i="9"/>
  <c r="D26" i="29" l="1"/>
  <c r="AD124" i="10"/>
  <c r="AB29" i="9"/>
  <c r="AB114" i="9" s="1"/>
  <c r="AB119" i="9" s="1"/>
  <c r="AE124" i="10"/>
  <c r="AL124" i="10"/>
  <c r="AE5" i="9"/>
  <c r="AE29" i="9" s="1"/>
  <c r="AE114" i="9" s="1"/>
  <c r="AE119" i="9" s="1"/>
  <c r="AC29" i="9"/>
  <c r="AC114" i="9" s="1"/>
  <c r="AC119" i="9" s="1"/>
  <c r="AC124" i="10"/>
  <c r="E14" i="29"/>
  <c r="AE59" i="9"/>
  <c r="AM32" i="10"/>
  <c r="AM56" i="10" s="1"/>
  <c r="AM115" i="10" s="1"/>
  <c r="AM120" i="10" s="1"/>
  <c r="AJ56" i="10"/>
  <c r="AJ115" i="10" s="1"/>
  <c r="AJ120" i="10" s="1"/>
  <c r="AJ83" i="10"/>
  <c r="AJ116" i="10" s="1"/>
  <c r="AJ121" i="10" s="1"/>
  <c r="AM77" i="10"/>
  <c r="AM83" i="10" s="1"/>
  <c r="AM116" i="10" s="1"/>
  <c r="AM121" i="10" s="1"/>
  <c r="AB124" i="10"/>
  <c r="L110" i="9"/>
  <c r="L117" i="9" s="1"/>
  <c r="L122" i="9" s="1"/>
  <c r="AB86" i="9"/>
  <c r="AC86" i="9"/>
  <c r="AD86" i="9"/>
  <c r="L32" i="9"/>
  <c r="P56" i="9"/>
  <c r="P115" i="9" s="1"/>
  <c r="P120" i="9" s="1"/>
  <c r="P124" i="9" s="1"/>
  <c r="N8" i="29" s="1"/>
  <c r="M13" i="29" s="1"/>
  <c r="N13" i="29" s="1"/>
  <c r="AM5" i="10"/>
  <c r="AM29" i="10" s="1"/>
  <c r="AM114" i="10" s="1"/>
  <c r="AM119" i="10" s="1"/>
  <c r="AJ29" i="10"/>
  <c r="AJ114" i="10" s="1"/>
  <c r="AJ119" i="10" s="1"/>
  <c r="Q6" i="29"/>
  <c r="I24" i="29" s="1"/>
  <c r="M6" i="29"/>
  <c r="F24" i="29"/>
  <c r="AK124" i="10"/>
  <c r="AC77" i="9"/>
  <c r="AD77" i="9"/>
  <c r="AD83" i="9" s="1"/>
  <c r="AD116" i="9" s="1"/>
  <c r="AD121" i="9" s="1"/>
  <c r="AB77" i="9"/>
  <c r="AM124" i="10" l="1"/>
  <c r="AJ124" i="10"/>
  <c r="AC110" i="9"/>
  <c r="AC117" i="9" s="1"/>
  <c r="AC122" i="9" s="1"/>
  <c r="AE86" i="9"/>
  <c r="AE110" i="9" s="1"/>
  <c r="AE117" i="9" s="1"/>
  <c r="AE122" i="9" s="1"/>
  <c r="AB110" i="9"/>
  <c r="AB117" i="9" s="1"/>
  <c r="AB122" i="9" s="1"/>
  <c r="I13" i="29"/>
  <c r="AD110" i="9"/>
  <c r="AD117" i="9" s="1"/>
  <c r="AD122" i="9" s="1"/>
  <c r="M8" i="29"/>
  <c r="E26" i="29" s="1"/>
  <c r="F26" i="29"/>
  <c r="L56" i="9"/>
  <c r="L115" i="9" s="1"/>
  <c r="L120" i="9" s="1"/>
  <c r="L124" i="9" s="1"/>
  <c r="AD32" i="9"/>
  <c r="AC32" i="9"/>
  <c r="AB32" i="9"/>
  <c r="F14" i="29"/>
  <c r="I14" i="29" s="1"/>
  <c r="E16" i="29"/>
  <c r="AE77" i="9"/>
  <c r="AB83" i="9"/>
  <c r="AB116" i="9" s="1"/>
  <c r="AB121" i="9" s="1"/>
  <c r="AC83" i="9"/>
  <c r="AC116" i="9" s="1"/>
  <c r="AC121" i="9" s="1"/>
  <c r="F16" i="29" l="1"/>
  <c r="I16" i="29" s="1"/>
  <c r="M14" i="29"/>
  <c r="AE32" i="9"/>
  <c r="AE56" i="9" s="1"/>
  <c r="AE115" i="9" s="1"/>
  <c r="AE120" i="9" s="1"/>
  <c r="AB56" i="9"/>
  <c r="AB115" i="9" s="1"/>
  <c r="AB120" i="9" s="1"/>
  <c r="AB124" i="9" s="1"/>
  <c r="AC56" i="9"/>
  <c r="AC115" i="9" s="1"/>
  <c r="AC120" i="9" s="1"/>
  <c r="AC124" i="9" s="1"/>
  <c r="AD56" i="9"/>
  <c r="AD115" i="9" s="1"/>
  <c r="AD120" i="9" s="1"/>
  <c r="AD124" i="9" s="1"/>
  <c r="AE83" i="9"/>
  <c r="AE116" i="9" s="1"/>
  <c r="AE121" i="9" s="1"/>
  <c r="AE124" i="9" l="1"/>
  <c r="F31" i="29"/>
  <c r="O23" i="29" s="1"/>
  <c r="M16" i="29"/>
  <c r="E33" i="29" s="1"/>
  <c r="N14" i="29"/>
  <c r="N16" i="29" l="1"/>
  <c r="F32" i="29"/>
  <c r="O29" i="29" s="1"/>
  <c r="O35" i="29" s="1"/>
  <c r="Q23" i="29" l="1"/>
  <c r="R23" i="29" s="1"/>
  <c r="Q29" i="29"/>
  <c r="R29" i="29" s="1"/>
  <c r="F33" i="29"/>
  <c r="E35" i="29" s="1"/>
  <c r="Q35" i="29" l="1"/>
  <c r="R35" i="29" s="1"/>
  <c r="R59" i="9" l="1"/>
  <c r="S59" i="9" s="1"/>
  <c r="AH59" i="9" l="1"/>
  <c r="AF59" i="9"/>
  <c r="AG59" i="9"/>
  <c r="R10" i="9"/>
  <c r="S10" i="9" s="1"/>
  <c r="R92" i="9"/>
  <c r="S92" i="9" s="1"/>
  <c r="R62" i="9"/>
  <c r="S62" i="9" s="1"/>
  <c r="R40" i="9"/>
  <c r="S40" i="9" s="1"/>
  <c r="R69" i="9"/>
  <c r="S69" i="9" s="1"/>
  <c r="R34" i="9"/>
  <c r="S34" i="9" s="1"/>
  <c r="R6" i="9"/>
  <c r="S6" i="9" s="1"/>
  <c r="R8" i="9"/>
  <c r="S8" i="9" s="1"/>
  <c r="A58" i="19"/>
  <c r="R87" i="9"/>
  <c r="S87" i="9" s="1"/>
  <c r="R61" i="9"/>
  <c r="S61" i="9" s="1"/>
  <c r="R64" i="9"/>
  <c r="S64" i="9" s="1"/>
  <c r="R9" i="9"/>
  <c r="S9" i="9" s="1"/>
  <c r="R38" i="9"/>
  <c r="S38" i="9" s="1"/>
  <c r="R12" i="9"/>
  <c r="S12" i="9" s="1"/>
  <c r="R67" i="9"/>
  <c r="S67" i="9" s="1"/>
  <c r="R95" i="9"/>
  <c r="S95" i="9" s="1"/>
  <c r="R60" i="9"/>
  <c r="S60" i="9" s="1"/>
  <c r="R94" i="9"/>
  <c r="S94" i="9" s="1"/>
  <c r="R14" i="9"/>
  <c r="S14" i="9" s="1"/>
  <c r="R97" i="9"/>
  <c r="S97" i="9" s="1"/>
  <c r="R63" i="9"/>
  <c r="S63" i="9" s="1"/>
  <c r="R93" i="9"/>
  <c r="S93" i="9" s="1"/>
  <c r="R65" i="9"/>
  <c r="S65" i="9" s="1"/>
  <c r="R88" i="9"/>
  <c r="S88" i="9" s="1"/>
  <c r="R36" i="9"/>
  <c r="S36" i="9" s="1"/>
  <c r="R91" i="9"/>
  <c r="S91" i="9" s="1"/>
  <c r="R15" i="9"/>
  <c r="S15" i="9" s="1"/>
  <c r="R89" i="9"/>
  <c r="S89" i="9" s="1"/>
  <c r="R100" i="9"/>
  <c r="S100" i="9" s="1"/>
  <c r="R81" i="9"/>
  <c r="S81" i="9" s="1"/>
  <c r="R20" i="9"/>
  <c r="S20" i="9" s="1"/>
  <c r="R90" i="9"/>
  <c r="S90" i="9" s="1"/>
  <c r="R72" i="9"/>
  <c r="S72" i="9" s="1"/>
  <c r="R17" i="9"/>
  <c r="S17" i="9" s="1"/>
  <c r="R22" i="9"/>
  <c r="S22" i="9" s="1"/>
  <c r="R48" i="9"/>
  <c r="S48" i="9" s="1"/>
  <c r="R35" i="9"/>
  <c r="S35" i="9" s="1"/>
  <c r="R33" i="9"/>
  <c r="S33" i="9" s="1"/>
  <c r="R7" i="9"/>
  <c r="S7" i="9" s="1"/>
  <c r="R73" i="9"/>
  <c r="S73" i="9" s="1"/>
  <c r="R39" i="9"/>
  <c r="S39" i="9" s="1"/>
  <c r="R18" i="9"/>
  <c r="S18" i="9" s="1"/>
  <c r="R70" i="9"/>
  <c r="S70" i="9" s="1"/>
  <c r="R19" i="9"/>
  <c r="S19" i="9" s="1"/>
  <c r="R76" i="9"/>
  <c r="S76" i="9" s="1"/>
  <c r="R79" i="9"/>
  <c r="S79" i="9" s="1"/>
  <c r="R102" i="9"/>
  <c r="S102" i="9" s="1"/>
  <c r="R23" i="9"/>
  <c r="S23" i="9" s="1"/>
  <c r="R103" i="9"/>
  <c r="S103" i="9" s="1"/>
  <c r="R24" i="9"/>
  <c r="S24" i="9" s="1"/>
  <c r="R50" i="9"/>
  <c r="S50" i="9" s="1"/>
  <c r="R104" i="9"/>
  <c r="S104" i="9" s="1"/>
  <c r="R96" i="9"/>
  <c r="S96" i="9" s="1"/>
  <c r="R13" i="9"/>
  <c r="S13" i="9" s="1"/>
  <c r="R66" i="9"/>
  <c r="S66" i="9" s="1"/>
  <c r="R11" i="9"/>
  <c r="S11" i="9" s="1"/>
  <c r="R41" i="9"/>
  <c r="S41" i="9" s="1"/>
  <c r="R68" i="9"/>
  <c r="S68" i="9" s="1"/>
  <c r="R44" i="9"/>
  <c r="S44" i="9" s="1"/>
  <c r="R26" i="9"/>
  <c r="S26" i="9" s="1"/>
  <c r="R43" i="9"/>
  <c r="S43" i="9" s="1"/>
  <c r="R42" i="9"/>
  <c r="S42" i="9" s="1"/>
  <c r="R16" i="9"/>
  <c r="S16" i="9" s="1"/>
  <c r="R45" i="9"/>
  <c r="S45" i="9" s="1"/>
  <c r="R98" i="9"/>
  <c r="S98" i="9" s="1"/>
  <c r="R21" i="9"/>
  <c r="S21" i="9" s="1"/>
  <c r="R47" i="9"/>
  <c r="S47" i="9" s="1"/>
  <c r="R46" i="9"/>
  <c r="S46" i="9" s="1"/>
  <c r="R99" i="9"/>
  <c r="S99" i="9" s="1"/>
  <c r="R71" i="9"/>
  <c r="S71" i="9" s="1"/>
  <c r="R101" i="9"/>
  <c r="S101" i="9" s="1"/>
  <c r="R74" i="9"/>
  <c r="S74" i="9" s="1"/>
  <c r="R49" i="9"/>
  <c r="S49" i="9" s="1"/>
  <c r="R75" i="9"/>
  <c r="S75" i="9" s="1"/>
  <c r="R37" i="9"/>
  <c r="S37" i="9" s="1"/>
  <c r="R105" i="9"/>
  <c r="S105" i="9" s="1"/>
  <c r="R25" i="9"/>
  <c r="S25" i="9" s="1"/>
  <c r="R28" i="9"/>
  <c r="S28" i="9" s="1"/>
  <c r="R107" i="9"/>
  <c r="S107" i="9" s="1"/>
  <c r="R82" i="9"/>
  <c r="S82" i="9" s="1"/>
  <c r="R109" i="9"/>
  <c r="S109" i="9" s="1"/>
  <c r="R108" i="9"/>
  <c r="S108" i="9" s="1"/>
  <c r="R54" i="9"/>
  <c r="S54" i="9" s="1"/>
  <c r="R53" i="9"/>
  <c r="S53" i="9" s="1"/>
  <c r="R52" i="9"/>
  <c r="S52" i="9" s="1"/>
  <c r="R77" i="9"/>
  <c r="S77" i="9" s="1"/>
  <c r="R5" i="9"/>
  <c r="R32" i="9"/>
  <c r="R55" i="9"/>
  <c r="S55" i="9" s="1"/>
  <c r="R27" i="9"/>
  <c r="S27" i="9" s="1"/>
  <c r="R78" i="9"/>
  <c r="S78" i="9" s="1"/>
  <c r="R51" i="9"/>
  <c r="S51" i="9" s="1"/>
  <c r="R86" i="9"/>
  <c r="R80" i="9"/>
  <c r="S80" i="9" s="1"/>
  <c r="R106" i="9"/>
  <c r="S106" i="9" s="1"/>
  <c r="S83" i="9" l="1"/>
  <c r="S116" i="9" s="1"/>
  <c r="S121" i="9" s="1"/>
  <c r="AF51" i="9"/>
  <c r="AG51" i="9"/>
  <c r="AK51" i="9" s="1"/>
  <c r="AH51" i="9"/>
  <c r="AL51" i="9" s="1"/>
  <c r="AH80" i="9"/>
  <c r="AL80" i="9" s="1"/>
  <c r="AF80" i="9"/>
  <c r="AG80" i="9"/>
  <c r="AK80" i="9" s="1"/>
  <c r="AG78" i="9"/>
  <c r="AK78" i="9" s="1"/>
  <c r="AH78" i="9"/>
  <c r="AL78" i="9" s="1"/>
  <c r="AF78" i="9"/>
  <c r="R29" i="9"/>
  <c r="R114" i="9" s="1"/>
  <c r="R119" i="9" s="1"/>
  <c r="S5" i="9"/>
  <c r="AH54" i="9"/>
  <c r="AL54" i="9" s="1"/>
  <c r="AF54" i="9"/>
  <c r="AG54" i="9"/>
  <c r="AK54" i="9" s="1"/>
  <c r="AH107" i="9"/>
  <c r="AL107" i="9" s="1"/>
  <c r="AF107" i="9"/>
  <c r="AG107" i="9"/>
  <c r="AK107" i="9" s="1"/>
  <c r="AF37" i="9"/>
  <c r="AG37" i="9"/>
  <c r="AK37" i="9" s="1"/>
  <c r="AH37" i="9"/>
  <c r="AL37" i="9" s="1"/>
  <c r="AF101" i="9"/>
  <c r="AH101" i="9"/>
  <c r="AL101" i="9" s="1"/>
  <c r="AG101" i="9"/>
  <c r="AK101" i="9" s="1"/>
  <c r="AG47" i="9"/>
  <c r="AK47" i="9" s="1"/>
  <c r="AF47" i="9"/>
  <c r="AH47" i="9"/>
  <c r="AL47" i="9" s="1"/>
  <c r="AG16" i="9"/>
  <c r="AK16" i="9" s="1"/>
  <c r="AF16" i="9"/>
  <c r="AH16" i="9"/>
  <c r="AL16" i="9" s="1"/>
  <c r="AG44" i="9"/>
  <c r="AK44" i="9" s="1"/>
  <c r="AH44" i="9"/>
  <c r="AL44" i="9" s="1"/>
  <c r="AF44" i="9"/>
  <c r="AG66" i="9"/>
  <c r="AK66" i="9" s="1"/>
  <c r="AH66" i="9"/>
  <c r="AL66" i="9" s="1"/>
  <c r="AF66" i="9"/>
  <c r="AH50" i="9"/>
  <c r="AL50" i="9" s="1"/>
  <c r="AF50" i="9"/>
  <c r="AG50" i="9"/>
  <c r="AK50" i="9" s="1"/>
  <c r="AF102" i="9"/>
  <c r="AH102" i="9"/>
  <c r="AL102" i="9" s="1"/>
  <c r="AG102" i="9"/>
  <c r="AK102" i="9" s="1"/>
  <c r="AG70" i="9"/>
  <c r="AK70" i="9" s="1"/>
  <c r="AH70" i="9"/>
  <c r="AL70" i="9" s="1"/>
  <c r="AF70" i="9"/>
  <c r="AF7" i="9"/>
  <c r="AH7" i="9"/>
  <c r="AL7" i="9" s="1"/>
  <c r="AG7" i="9"/>
  <c r="AK7" i="9" s="1"/>
  <c r="AG22" i="9"/>
  <c r="AK22" i="9" s="1"/>
  <c r="AF22" i="9"/>
  <c r="AH22" i="9"/>
  <c r="AL22" i="9" s="1"/>
  <c r="AG20" i="9"/>
  <c r="AK20" i="9" s="1"/>
  <c r="AH20" i="9"/>
  <c r="AL20" i="9" s="1"/>
  <c r="AF20" i="9"/>
  <c r="AG15" i="9"/>
  <c r="AK15" i="9" s="1"/>
  <c r="AF15" i="9"/>
  <c r="AH15" i="9"/>
  <c r="AL15" i="9" s="1"/>
  <c r="AG65" i="9"/>
  <c r="AK65" i="9" s="1"/>
  <c r="AF65" i="9"/>
  <c r="AH65" i="9"/>
  <c r="AL65" i="9" s="1"/>
  <c r="AF14" i="9"/>
  <c r="AH14" i="9"/>
  <c r="AL14" i="9" s="1"/>
  <c r="AG14" i="9"/>
  <c r="AK14" i="9" s="1"/>
  <c r="AH67" i="9"/>
  <c r="AL67" i="9" s="1"/>
  <c r="AG67" i="9"/>
  <c r="AK67" i="9" s="1"/>
  <c r="AF67" i="9"/>
  <c r="AF64" i="9"/>
  <c r="AG64" i="9"/>
  <c r="AK64" i="9" s="1"/>
  <c r="AH64" i="9"/>
  <c r="AL64" i="9" s="1"/>
  <c r="AH8" i="9"/>
  <c r="AL8" i="9" s="1"/>
  <c r="AF8" i="9"/>
  <c r="AG8" i="9"/>
  <c r="AK8" i="9" s="1"/>
  <c r="AG40" i="9"/>
  <c r="AK40" i="9" s="1"/>
  <c r="AF40" i="9"/>
  <c r="AH40" i="9"/>
  <c r="AL40" i="9" s="1"/>
  <c r="AK59" i="9"/>
  <c r="AH77" i="9"/>
  <c r="AL77" i="9" s="1"/>
  <c r="AF77" i="9"/>
  <c r="AG77" i="9"/>
  <c r="AK77" i="9" s="1"/>
  <c r="AH71" i="9"/>
  <c r="AL71" i="9" s="1"/>
  <c r="AG71" i="9"/>
  <c r="AK71" i="9" s="1"/>
  <c r="AF71" i="9"/>
  <c r="AF42" i="9"/>
  <c r="AG42" i="9"/>
  <c r="AK42" i="9" s="1"/>
  <c r="AH42" i="9"/>
  <c r="AL42" i="9" s="1"/>
  <c r="AG68" i="9"/>
  <c r="AK68" i="9" s="1"/>
  <c r="AH68" i="9"/>
  <c r="AL68" i="9" s="1"/>
  <c r="AF68" i="9"/>
  <c r="AH13" i="9"/>
  <c r="AL13" i="9" s="1"/>
  <c r="AG13" i="9"/>
  <c r="AK13" i="9" s="1"/>
  <c r="AF13" i="9"/>
  <c r="AG24" i="9"/>
  <c r="AK24" i="9" s="1"/>
  <c r="AF24" i="9"/>
  <c r="AH24" i="9"/>
  <c r="AL24" i="9" s="1"/>
  <c r="AH79" i="9"/>
  <c r="AL79" i="9" s="1"/>
  <c r="AF79" i="9"/>
  <c r="AG79" i="9"/>
  <c r="AK79" i="9" s="1"/>
  <c r="AF18" i="9"/>
  <c r="AH18" i="9"/>
  <c r="AL18" i="9" s="1"/>
  <c r="AG18" i="9"/>
  <c r="AK18" i="9" s="1"/>
  <c r="AG33" i="9"/>
  <c r="AK33" i="9" s="1"/>
  <c r="AF33" i="9"/>
  <c r="AH33" i="9"/>
  <c r="AL33" i="9" s="1"/>
  <c r="AG17" i="9"/>
  <c r="AK17" i="9" s="1"/>
  <c r="AH17" i="9"/>
  <c r="AL17" i="9" s="1"/>
  <c r="AF17" i="9"/>
  <c r="AG81" i="9"/>
  <c r="AK81" i="9" s="1"/>
  <c r="AF81" i="9"/>
  <c r="AH81" i="9"/>
  <c r="AL81" i="9" s="1"/>
  <c r="AG91" i="9"/>
  <c r="AK91" i="9" s="1"/>
  <c r="AH91" i="9"/>
  <c r="AL91" i="9" s="1"/>
  <c r="AF91" i="9"/>
  <c r="AG93" i="9"/>
  <c r="AK93" i="9" s="1"/>
  <c r="AF93" i="9"/>
  <c r="AH93" i="9"/>
  <c r="AL93" i="9" s="1"/>
  <c r="AG94" i="9"/>
  <c r="AK94" i="9" s="1"/>
  <c r="AH94" i="9"/>
  <c r="AL94" i="9" s="1"/>
  <c r="AF94" i="9"/>
  <c r="AF12" i="9"/>
  <c r="AG12" i="9"/>
  <c r="AK12" i="9" s="1"/>
  <c r="AH12" i="9"/>
  <c r="AL12" i="9" s="1"/>
  <c r="AF61" i="9"/>
  <c r="AH61" i="9"/>
  <c r="AL61" i="9" s="1"/>
  <c r="AG61" i="9"/>
  <c r="AK61" i="9" s="1"/>
  <c r="AF6" i="9"/>
  <c r="AH6" i="9"/>
  <c r="AL6" i="9" s="1"/>
  <c r="AG6" i="9"/>
  <c r="AK6" i="9" s="1"/>
  <c r="AF62" i="9"/>
  <c r="AH62" i="9"/>
  <c r="AL62" i="9" s="1"/>
  <c r="AG62" i="9"/>
  <c r="AK62" i="9" s="1"/>
  <c r="AG106" i="9"/>
  <c r="AK106" i="9" s="1"/>
  <c r="AF106" i="9"/>
  <c r="AH106" i="9"/>
  <c r="AL106" i="9" s="1"/>
  <c r="R56" i="9"/>
  <c r="R115" i="9" s="1"/>
  <c r="R120" i="9" s="1"/>
  <c r="S32" i="9"/>
  <c r="R110" i="9"/>
  <c r="R117" i="9" s="1"/>
  <c r="R122" i="9" s="1"/>
  <c r="S86" i="9"/>
  <c r="AG27" i="9"/>
  <c r="AK27" i="9" s="1"/>
  <c r="AF27" i="9"/>
  <c r="AH27" i="9"/>
  <c r="AL27" i="9" s="1"/>
  <c r="AG108" i="9"/>
  <c r="AK108" i="9" s="1"/>
  <c r="AH108" i="9"/>
  <c r="AL108" i="9" s="1"/>
  <c r="AF108" i="9"/>
  <c r="AH28" i="9"/>
  <c r="AL28" i="9" s="1"/>
  <c r="AF28" i="9"/>
  <c r="AG28" i="9"/>
  <c r="AK28" i="9" s="1"/>
  <c r="AG75" i="9"/>
  <c r="AK75" i="9" s="1"/>
  <c r="AF75" i="9"/>
  <c r="AH75" i="9"/>
  <c r="AL75" i="9" s="1"/>
  <c r="AH21" i="9"/>
  <c r="AL21" i="9" s="1"/>
  <c r="AG21" i="9"/>
  <c r="AK21" i="9" s="1"/>
  <c r="AF21" i="9"/>
  <c r="R83" i="9"/>
  <c r="R116" i="9" s="1"/>
  <c r="R121" i="9" s="1"/>
  <c r="AH55" i="9"/>
  <c r="AL55" i="9" s="1"/>
  <c r="AG55" i="9"/>
  <c r="AK55" i="9" s="1"/>
  <c r="AF55" i="9"/>
  <c r="AH52" i="9"/>
  <c r="AL52" i="9" s="1"/>
  <c r="AF52" i="9"/>
  <c r="AG52" i="9"/>
  <c r="AK52" i="9" s="1"/>
  <c r="AF109" i="9"/>
  <c r="AG109" i="9"/>
  <c r="AK109" i="9" s="1"/>
  <c r="AH109" i="9"/>
  <c r="AL109" i="9" s="1"/>
  <c r="AH25" i="9"/>
  <c r="AL25" i="9" s="1"/>
  <c r="AG25" i="9"/>
  <c r="AK25" i="9" s="1"/>
  <c r="AF25" i="9"/>
  <c r="AH49" i="9"/>
  <c r="AL49" i="9" s="1"/>
  <c r="AF49" i="9"/>
  <c r="AG49" i="9"/>
  <c r="AK49" i="9" s="1"/>
  <c r="AH99" i="9"/>
  <c r="AL99" i="9" s="1"/>
  <c r="AF99" i="9"/>
  <c r="AG99" i="9"/>
  <c r="AK99" i="9" s="1"/>
  <c r="AH98" i="9"/>
  <c r="AL98" i="9" s="1"/>
  <c r="AG98" i="9"/>
  <c r="AK98" i="9" s="1"/>
  <c r="AF98" i="9"/>
  <c r="AF43" i="9"/>
  <c r="AH43" i="9"/>
  <c r="AL43" i="9" s="1"/>
  <c r="AG43" i="9"/>
  <c r="AK43" i="9" s="1"/>
  <c r="AH41" i="9"/>
  <c r="AL41" i="9" s="1"/>
  <c r="AF41" i="9"/>
  <c r="AG41" i="9"/>
  <c r="AK41" i="9" s="1"/>
  <c r="AH96" i="9"/>
  <c r="AL96" i="9" s="1"/>
  <c r="AF96" i="9"/>
  <c r="AG96" i="9"/>
  <c r="AK96" i="9" s="1"/>
  <c r="AF103" i="9"/>
  <c r="AG103" i="9"/>
  <c r="AK103" i="9" s="1"/>
  <c r="AH103" i="9"/>
  <c r="AL103" i="9" s="1"/>
  <c r="AH76" i="9"/>
  <c r="AL76" i="9" s="1"/>
  <c r="AG76" i="9"/>
  <c r="AK76" i="9" s="1"/>
  <c r="AF76" i="9"/>
  <c r="AF39" i="9"/>
  <c r="AG39" i="9"/>
  <c r="AK39" i="9" s="1"/>
  <c r="AH39" i="9"/>
  <c r="AL39" i="9" s="1"/>
  <c r="AF35" i="9"/>
  <c r="AG35" i="9"/>
  <c r="AK35" i="9" s="1"/>
  <c r="AH35" i="9"/>
  <c r="AL35" i="9" s="1"/>
  <c r="AG72" i="9"/>
  <c r="AK72" i="9" s="1"/>
  <c r="AH72" i="9"/>
  <c r="AL72" i="9" s="1"/>
  <c r="AF72" i="9"/>
  <c r="AH100" i="9"/>
  <c r="AL100" i="9" s="1"/>
  <c r="AG100" i="9"/>
  <c r="AK100" i="9" s="1"/>
  <c r="AF100" i="9"/>
  <c r="AH36" i="9"/>
  <c r="AL36" i="9" s="1"/>
  <c r="AF36" i="9"/>
  <c r="AG36" i="9"/>
  <c r="AK36" i="9" s="1"/>
  <c r="AG63" i="9"/>
  <c r="AK63" i="9" s="1"/>
  <c r="AF63" i="9"/>
  <c r="AH63" i="9"/>
  <c r="AL63" i="9" s="1"/>
  <c r="AF60" i="9"/>
  <c r="AG60" i="9"/>
  <c r="AK60" i="9" s="1"/>
  <c r="AH60" i="9"/>
  <c r="AL60" i="9" s="1"/>
  <c r="AG38" i="9"/>
  <c r="AK38" i="9" s="1"/>
  <c r="AF38" i="9"/>
  <c r="AH38" i="9"/>
  <c r="AL38" i="9" s="1"/>
  <c r="AH87" i="9"/>
  <c r="AL87" i="9" s="1"/>
  <c r="AF87" i="9"/>
  <c r="AG87" i="9"/>
  <c r="AK87" i="9" s="1"/>
  <c r="AF34" i="9"/>
  <c r="AH34" i="9"/>
  <c r="AL34" i="9" s="1"/>
  <c r="AG34" i="9"/>
  <c r="AK34" i="9" s="1"/>
  <c r="AH92" i="9"/>
  <c r="AL92" i="9" s="1"/>
  <c r="AG92" i="9"/>
  <c r="AK92" i="9" s="1"/>
  <c r="AF92" i="9"/>
  <c r="AI59" i="9"/>
  <c r="AJ59" i="9"/>
  <c r="AG53" i="9"/>
  <c r="AK53" i="9" s="1"/>
  <c r="AF53" i="9"/>
  <c r="AH53" i="9"/>
  <c r="AL53" i="9" s="1"/>
  <c r="AH82" i="9"/>
  <c r="AL82" i="9" s="1"/>
  <c r="AF82" i="9"/>
  <c r="AG82" i="9"/>
  <c r="AK82" i="9" s="1"/>
  <c r="AH105" i="9"/>
  <c r="AL105" i="9" s="1"/>
  <c r="AF105" i="9"/>
  <c r="AG105" i="9"/>
  <c r="AK105" i="9" s="1"/>
  <c r="AH74" i="9"/>
  <c r="AL74" i="9" s="1"/>
  <c r="AF74" i="9"/>
  <c r="AG74" i="9"/>
  <c r="AK74" i="9" s="1"/>
  <c r="AH46" i="9"/>
  <c r="AL46" i="9" s="1"/>
  <c r="AF46" i="9"/>
  <c r="AG46" i="9"/>
  <c r="AK46" i="9" s="1"/>
  <c r="AH45" i="9"/>
  <c r="AL45" i="9" s="1"/>
  <c r="AF45" i="9"/>
  <c r="AG45" i="9"/>
  <c r="AK45" i="9" s="1"/>
  <c r="AF26" i="9"/>
  <c r="AH26" i="9"/>
  <c r="AL26" i="9" s="1"/>
  <c r="AG26" i="9"/>
  <c r="AK26" i="9" s="1"/>
  <c r="AF11" i="9"/>
  <c r="AH11" i="9"/>
  <c r="AL11" i="9" s="1"/>
  <c r="AG11" i="9"/>
  <c r="AK11" i="9" s="1"/>
  <c r="AF104" i="9"/>
  <c r="AH104" i="9"/>
  <c r="AL104" i="9" s="1"/>
  <c r="AG104" i="9"/>
  <c r="AK104" i="9" s="1"/>
  <c r="AF23" i="9"/>
  <c r="AH23" i="9"/>
  <c r="AL23" i="9" s="1"/>
  <c r="AG23" i="9"/>
  <c r="AK23" i="9" s="1"/>
  <c r="AH19" i="9"/>
  <c r="AL19" i="9" s="1"/>
  <c r="AG19" i="9"/>
  <c r="AK19" i="9" s="1"/>
  <c r="AF19" i="9"/>
  <c r="AG73" i="9"/>
  <c r="AK73" i="9" s="1"/>
  <c r="AF73" i="9"/>
  <c r="AH73" i="9"/>
  <c r="AL73" i="9" s="1"/>
  <c r="AF48" i="9"/>
  <c r="AH48" i="9"/>
  <c r="AL48" i="9" s="1"/>
  <c r="AG48" i="9"/>
  <c r="AK48" i="9" s="1"/>
  <c r="AG90" i="9"/>
  <c r="AK90" i="9" s="1"/>
  <c r="AH90" i="9"/>
  <c r="AL90" i="9" s="1"/>
  <c r="AF90" i="9"/>
  <c r="AG89" i="9"/>
  <c r="AK89" i="9" s="1"/>
  <c r="AF89" i="9"/>
  <c r="AH89" i="9"/>
  <c r="AL89" i="9" s="1"/>
  <c r="AH88" i="9"/>
  <c r="AL88" i="9" s="1"/>
  <c r="AF88" i="9"/>
  <c r="AG88" i="9"/>
  <c r="AK88" i="9" s="1"/>
  <c r="AG97" i="9"/>
  <c r="AK97" i="9" s="1"/>
  <c r="AH97" i="9"/>
  <c r="AL97" i="9" s="1"/>
  <c r="AF97" i="9"/>
  <c r="AG95" i="9"/>
  <c r="AK95" i="9" s="1"/>
  <c r="AH95" i="9"/>
  <c r="AL95" i="9" s="1"/>
  <c r="AF95" i="9"/>
  <c r="AF9" i="9"/>
  <c r="AG9" i="9"/>
  <c r="AK9" i="9" s="1"/>
  <c r="AH9" i="9"/>
  <c r="AL9" i="9" s="1"/>
  <c r="AH69" i="9"/>
  <c r="AL69" i="9" s="1"/>
  <c r="AG69" i="9"/>
  <c r="AK69" i="9" s="1"/>
  <c r="AF69" i="9"/>
  <c r="AG10" i="9"/>
  <c r="AK10" i="9" s="1"/>
  <c r="AH10" i="9"/>
  <c r="AL10" i="9" s="1"/>
  <c r="AF10" i="9"/>
  <c r="AL59" i="9"/>
  <c r="AH83" i="9" l="1"/>
  <c r="AH116" i="9" s="1"/>
  <c r="AH121" i="9" s="1"/>
  <c r="AJ69" i="9"/>
  <c r="AM69" i="9" s="1"/>
  <c r="AI69" i="9"/>
  <c r="AJ89" i="9"/>
  <c r="AM89" i="9" s="1"/>
  <c r="AI89" i="9"/>
  <c r="AI23" i="9"/>
  <c r="AJ23" i="9"/>
  <c r="AM23" i="9" s="1"/>
  <c r="AJ105" i="9"/>
  <c r="AM105" i="9" s="1"/>
  <c r="AI105" i="9"/>
  <c r="AI10" i="9"/>
  <c r="AJ10" i="9"/>
  <c r="AM10" i="9" s="1"/>
  <c r="AJ9" i="9"/>
  <c r="AM9" i="9" s="1"/>
  <c r="AI9" i="9"/>
  <c r="AI97" i="9"/>
  <c r="AJ97" i="9"/>
  <c r="AM97" i="9" s="1"/>
  <c r="AJ88" i="9"/>
  <c r="AM88" i="9" s="1"/>
  <c r="AI88" i="9"/>
  <c r="AJ73" i="9"/>
  <c r="AM73" i="9" s="1"/>
  <c r="AI73" i="9"/>
  <c r="AJ26" i="9"/>
  <c r="AM26" i="9" s="1"/>
  <c r="AI26" i="9"/>
  <c r="AI74" i="9"/>
  <c r="AJ74" i="9"/>
  <c r="AM74" i="9" s="1"/>
  <c r="AI38" i="9"/>
  <c r="AJ38" i="9"/>
  <c r="AM38" i="9" s="1"/>
  <c r="AJ60" i="9"/>
  <c r="AM60" i="9" s="1"/>
  <c r="AI60" i="9"/>
  <c r="AI103" i="9"/>
  <c r="AJ103" i="9"/>
  <c r="AM103" i="9" s="1"/>
  <c r="AJ109" i="9"/>
  <c r="AM109" i="9" s="1"/>
  <c r="AI109" i="9"/>
  <c r="AI55" i="9"/>
  <c r="AJ55" i="9"/>
  <c r="AM55" i="9" s="1"/>
  <c r="AJ21" i="9"/>
  <c r="AM21" i="9" s="1"/>
  <c r="AI21" i="9"/>
  <c r="AJ75" i="9"/>
  <c r="AM75" i="9" s="1"/>
  <c r="AI75" i="9"/>
  <c r="AI106" i="9"/>
  <c r="AJ106" i="9"/>
  <c r="AM106" i="9" s="1"/>
  <c r="AJ62" i="9"/>
  <c r="AM62" i="9" s="1"/>
  <c r="AI62" i="9"/>
  <c r="AI91" i="9"/>
  <c r="AJ91" i="9"/>
  <c r="AM91" i="9" s="1"/>
  <c r="AJ81" i="9"/>
  <c r="AM81" i="9" s="1"/>
  <c r="AI81" i="9"/>
  <c r="AJ79" i="9"/>
  <c r="AM79" i="9" s="1"/>
  <c r="AI79" i="9"/>
  <c r="AI68" i="9"/>
  <c r="AJ68" i="9"/>
  <c r="AM68" i="9" s="1"/>
  <c r="AK83" i="9"/>
  <c r="AK116" i="9" s="1"/>
  <c r="AK121" i="9" s="1"/>
  <c r="AI14" i="9"/>
  <c r="AJ14" i="9"/>
  <c r="AM14" i="9" s="1"/>
  <c r="AI70" i="9"/>
  <c r="AJ70" i="9"/>
  <c r="AM70" i="9" s="1"/>
  <c r="AI44" i="9"/>
  <c r="AJ44" i="9"/>
  <c r="AM44" i="9" s="1"/>
  <c r="AI16" i="9"/>
  <c r="AJ16" i="9"/>
  <c r="AM16" i="9" s="1"/>
  <c r="AJ107" i="9"/>
  <c r="AM107" i="9" s="1"/>
  <c r="AI107" i="9"/>
  <c r="AI90" i="9"/>
  <c r="AJ90" i="9"/>
  <c r="AM90" i="9" s="1"/>
  <c r="AI46" i="9"/>
  <c r="AJ46" i="9"/>
  <c r="AM46" i="9" s="1"/>
  <c r="AF83" i="9"/>
  <c r="AF116" i="9" s="1"/>
  <c r="AF121" i="9" s="1"/>
  <c r="AJ87" i="9"/>
  <c r="AM87" i="9" s="1"/>
  <c r="AI87" i="9"/>
  <c r="AI36" i="9"/>
  <c r="AJ36" i="9"/>
  <c r="AM36" i="9" s="1"/>
  <c r="AI41" i="9"/>
  <c r="AJ41" i="9"/>
  <c r="AM41" i="9" s="1"/>
  <c r="AI43" i="9"/>
  <c r="AJ43" i="9"/>
  <c r="AM43" i="9" s="1"/>
  <c r="AI49" i="9"/>
  <c r="AJ49" i="9"/>
  <c r="AM49" i="9" s="1"/>
  <c r="AJ108" i="9"/>
  <c r="AM108" i="9" s="1"/>
  <c r="AI108" i="9"/>
  <c r="AI27" i="9"/>
  <c r="AJ27" i="9"/>
  <c r="AM27" i="9" s="1"/>
  <c r="AH32" i="9"/>
  <c r="AG32" i="9"/>
  <c r="AF32" i="9"/>
  <c r="S56" i="9"/>
  <c r="S115" i="9" s="1"/>
  <c r="S120" i="9" s="1"/>
  <c r="AI12" i="9"/>
  <c r="AJ12" i="9"/>
  <c r="AM12" i="9" s="1"/>
  <c r="AI13" i="9"/>
  <c r="AJ13" i="9"/>
  <c r="AM13" i="9" s="1"/>
  <c r="AI42" i="9"/>
  <c r="AJ42" i="9"/>
  <c r="AM42" i="9" s="1"/>
  <c r="AG83" i="9"/>
  <c r="AG116" i="9" s="1"/>
  <c r="AG121" i="9" s="1"/>
  <c r="AI15" i="9"/>
  <c r="AJ15" i="9"/>
  <c r="AM15" i="9" s="1"/>
  <c r="AI102" i="9"/>
  <c r="AJ102" i="9"/>
  <c r="AM102" i="9" s="1"/>
  <c r="AI66" i="9"/>
  <c r="AJ66" i="9"/>
  <c r="AM66" i="9" s="1"/>
  <c r="AH5" i="9"/>
  <c r="S29" i="9"/>
  <c r="S114" i="9" s="1"/>
  <c r="S119" i="9" s="1"/>
  <c r="AF5" i="9"/>
  <c r="AG5" i="9"/>
  <c r="AJ95" i="9"/>
  <c r="AM95" i="9" s="1"/>
  <c r="AI95" i="9"/>
  <c r="AI11" i="9"/>
  <c r="AJ11" i="9"/>
  <c r="AM11" i="9" s="1"/>
  <c r="AJ53" i="9"/>
  <c r="AM53" i="9" s="1"/>
  <c r="AI53" i="9"/>
  <c r="AL83" i="9"/>
  <c r="AL116" i="9" s="1"/>
  <c r="AL121" i="9" s="1"/>
  <c r="AI48" i="9"/>
  <c r="AJ48" i="9"/>
  <c r="AM48" i="9" s="1"/>
  <c r="AI19" i="9"/>
  <c r="AJ19" i="9"/>
  <c r="AM19" i="9" s="1"/>
  <c r="AJ104" i="9"/>
  <c r="AM104" i="9" s="1"/>
  <c r="AI104" i="9"/>
  <c r="AJ45" i="9"/>
  <c r="AM45" i="9" s="1"/>
  <c r="AI45" i="9"/>
  <c r="AJ82" i="9"/>
  <c r="AM82" i="9" s="1"/>
  <c r="AI82" i="9"/>
  <c r="AJ92" i="9"/>
  <c r="AM92" i="9" s="1"/>
  <c r="AI92" i="9"/>
  <c r="AI63" i="9"/>
  <c r="AJ63" i="9"/>
  <c r="AM63" i="9" s="1"/>
  <c r="AI72" i="9"/>
  <c r="AJ72" i="9"/>
  <c r="AM72" i="9" s="1"/>
  <c r="AI39" i="9"/>
  <c r="AJ39" i="9"/>
  <c r="AM39" i="9" s="1"/>
  <c r="AJ96" i="9"/>
  <c r="AM96" i="9" s="1"/>
  <c r="AI96" i="9"/>
  <c r="AI98" i="9"/>
  <c r="AJ98" i="9"/>
  <c r="AM98" i="9" s="1"/>
  <c r="AI99" i="9"/>
  <c r="AJ99" i="9"/>
  <c r="AM99" i="9" s="1"/>
  <c r="AI52" i="9"/>
  <c r="AJ52" i="9"/>
  <c r="AM52" i="9" s="1"/>
  <c r="AI61" i="9"/>
  <c r="AJ61" i="9"/>
  <c r="AM61" i="9" s="1"/>
  <c r="AI94" i="9"/>
  <c r="AJ94" i="9"/>
  <c r="AM94" i="9" s="1"/>
  <c r="AI93" i="9"/>
  <c r="AJ93" i="9"/>
  <c r="AM93" i="9" s="1"/>
  <c r="AI17" i="9"/>
  <c r="AJ17" i="9"/>
  <c r="AM17" i="9" s="1"/>
  <c r="AI33" i="9"/>
  <c r="AJ33" i="9"/>
  <c r="AM33" i="9" s="1"/>
  <c r="AJ18" i="9"/>
  <c r="AM18" i="9" s="1"/>
  <c r="AI18" i="9"/>
  <c r="AI71" i="9"/>
  <c r="AJ71" i="9"/>
  <c r="AM71" i="9" s="1"/>
  <c r="AI77" i="9"/>
  <c r="AJ77" i="9"/>
  <c r="AM77" i="9" s="1"/>
  <c r="AI8" i="9"/>
  <c r="AJ8" i="9"/>
  <c r="AM8" i="9" s="1"/>
  <c r="AI64" i="9"/>
  <c r="AJ64" i="9"/>
  <c r="AM64" i="9" s="1"/>
  <c r="AJ65" i="9"/>
  <c r="AM65" i="9" s="1"/>
  <c r="AI65" i="9"/>
  <c r="AJ37" i="9"/>
  <c r="AM37" i="9" s="1"/>
  <c r="AI37" i="9"/>
  <c r="R124" i="9"/>
  <c r="P7" i="29" s="1"/>
  <c r="AM59" i="9"/>
  <c r="AJ34" i="9"/>
  <c r="AM34" i="9" s="1"/>
  <c r="AI34" i="9"/>
  <c r="AJ100" i="9"/>
  <c r="AM100" i="9" s="1"/>
  <c r="AI100" i="9"/>
  <c r="AI35" i="9"/>
  <c r="AJ35" i="9"/>
  <c r="AM35" i="9" s="1"/>
  <c r="AI76" i="9"/>
  <c r="AJ76" i="9"/>
  <c r="AM76" i="9" s="1"/>
  <c r="AI25" i="9"/>
  <c r="AJ25" i="9"/>
  <c r="AM25" i="9" s="1"/>
  <c r="AI28" i="9"/>
  <c r="AJ28" i="9"/>
  <c r="AM28" i="9" s="1"/>
  <c r="S110" i="9"/>
  <c r="S117" i="9" s="1"/>
  <c r="S122" i="9" s="1"/>
  <c r="AG86" i="9"/>
  <c r="AH86" i="9"/>
  <c r="AF86" i="9"/>
  <c r="AI6" i="9"/>
  <c r="AJ6" i="9"/>
  <c r="AM6" i="9" s="1"/>
  <c r="AI24" i="9"/>
  <c r="AJ24" i="9"/>
  <c r="AM24" i="9" s="1"/>
  <c r="AI40" i="9"/>
  <c r="AJ40" i="9"/>
  <c r="AM40" i="9" s="1"/>
  <c r="AI67" i="9"/>
  <c r="AJ67" i="9"/>
  <c r="AM67" i="9" s="1"/>
  <c r="AI20" i="9"/>
  <c r="AJ20" i="9"/>
  <c r="AM20" i="9" s="1"/>
  <c r="AI22" i="9"/>
  <c r="AJ22" i="9"/>
  <c r="AM22" i="9" s="1"/>
  <c r="AI7" i="9"/>
  <c r="AJ7" i="9"/>
  <c r="AM7" i="9" s="1"/>
  <c r="AJ50" i="9"/>
  <c r="AM50" i="9" s="1"/>
  <c r="AI50" i="9"/>
  <c r="AJ47" i="9"/>
  <c r="AM47" i="9" s="1"/>
  <c r="AI47" i="9"/>
  <c r="AI101" i="9"/>
  <c r="AJ101" i="9"/>
  <c r="AM101" i="9" s="1"/>
  <c r="AJ54" i="9"/>
  <c r="AM54" i="9" s="1"/>
  <c r="AI54" i="9"/>
  <c r="AI78" i="9"/>
  <c r="AJ78" i="9"/>
  <c r="AM78" i="9" s="1"/>
  <c r="AI80" i="9"/>
  <c r="AJ80" i="9"/>
  <c r="AM80" i="9" s="1"/>
  <c r="AI51" i="9"/>
  <c r="AJ51" i="9"/>
  <c r="AM51" i="9" s="1"/>
  <c r="AM83" i="9" l="1"/>
  <c r="AM116" i="9" s="1"/>
  <c r="AM121" i="9" s="1"/>
  <c r="AI83" i="9"/>
  <c r="AI116" i="9" s="1"/>
  <c r="AI121" i="9" s="1"/>
  <c r="AF110" i="9"/>
  <c r="AF117" i="9" s="1"/>
  <c r="AF122" i="9" s="1"/>
  <c r="AI86" i="9"/>
  <c r="AI110" i="9" s="1"/>
  <c r="AI117" i="9" s="1"/>
  <c r="AI122" i="9" s="1"/>
  <c r="AJ86" i="9"/>
  <c r="AJ83" i="9"/>
  <c r="AJ116" i="9" s="1"/>
  <c r="AJ121" i="9" s="1"/>
  <c r="AK5" i="9"/>
  <c r="AK29" i="9" s="1"/>
  <c r="AK114" i="9" s="1"/>
  <c r="AK119" i="9" s="1"/>
  <c r="AG29" i="9"/>
  <c r="AG114" i="9" s="1"/>
  <c r="AG119" i="9" s="1"/>
  <c r="AL32" i="9"/>
  <c r="AL56" i="9" s="1"/>
  <c r="AL115" i="9" s="1"/>
  <c r="AL120" i="9" s="1"/>
  <c r="AH56" i="9"/>
  <c r="AH115" i="9" s="1"/>
  <c r="AH120" i="9" s="1"/>
  <c r="AI5" i="9"/>
  <c r="AI29" i="9" s="1"/>
  <c r="AI114" i="9" s="1"/>
  <c r="AI119" i="9" s="1"/>
  <c r="AJ5" i="9"/>
  <c r="AF29" i="9"/>
  <c r="AF114" i="9" s="1"/>
  <c r="AF119" i="9" s="1"/>
  <c r="AH110" i="9"/>
  <c r="AH117" i="9" s="1"/>
  <c r="AH122" i="9" s="1"/>
  <c r="AL86" i="9"/>
  <c r="AL110" i="9" s="1"/>
  <c r="AL117" i="9" s="1"/>
  <c r="AL122" i="9" s="1"/>
  <c r="AG110" i="9"/>
  <c r="AG117" i="9" s="1"/>
  <c r="AG122" i="9" s="1"/>
  <c r="AK86" i="9"/>
  <c r="AK110" i="9" s="1"/>
  <c r="AK117" i="9" s="1"/>
  <c r="AK122" i="9" s="1"/>
  <c r="H25" i="29"/>
  <c r="P8" i="29"/>
  <c r="Q7" i="29"/>
  <c r="I25" i="29" s="1"/>
  <c r="P14" i="29"/>
  <c r="P13" i="29"/>
  <c r="S124" i="9"/>
  <c r="AF56" i="9"/>
  <c r="AF115" i="9" s="1"/>
  <c r="AF120" i="9" s="1"/>
  <c r="AI32" i="9"/>
  <c r="AI56" i="9" s="1"/>
  <c r="AI115" i="9" s="1"/>
  <c r="AI120" i="9" s="1"/>
  <c r="AJ32" i="9"/>
  <c r="AH29" i="9"/>
  <c r="AH114" i="9" s="1"/>
  <c r="AH119" i="9" s="1"/>
  <c r="AL5" i="9"/>
  <c r="AL29" i="9" s="1"/>
  <c r="AL114" i="9" s="1"/>
  <c r="AL119" i="9" s="1"/>
  <c r="AG56" i="9"/>
  <c r="AG115" i="9" s="1"/>
  <c r="AG120" i="9" s="1"/>
  <c r="AK32" i="9"/>
  <c r="AK56" i="9" s="1"/>
  <c r="AK115" i="9" s="1"/>
  <c r="AK120" i="9" s="1"/>
  <c r="AL124" i="9" l="1"/>
  <c r="AJ56" i="9"/>
  <c r="AJ115" i="9" s="1"/>
  <c r="AJ120" i="9" s="1"/>
  <c r="AM32" i="9"/>
  <c r="AM56" i="9" s="1"/>
  <c r="AM115" i="9" s="1"/>
  <c r="AM120" i="9" s="1"/>
  <c r="P16" i="29"/>
  <c r="H31" i="29"/>
  <c r="O24" i="29" s="1"/>
  <c r="Q13" i="29"/>
  <c r="I31" i="29" s="1"/>
  <c r="O26" i="29" s="1"/>
  <c r="H32" i="29"/>
  <c r="O30" i="29" s="1"/>
  <c r="Q30" i="29" s="1"/>
  <c r="R30" i="29" s="1"/>
  <c r="Q14" i="29"/>
  <c r="I32" i="29" s="1"/>
  <c r="O32" i="29" s="1"/>
  <c r="Q32" i="29" s="1"/>
  <c r="R32" i="29" s="1"/>
  <c r="AF124" i="9"/>
  <c r="AJ110" i="9"/>
  <c r="AJ117" i="9" s="1"/>
  <c r="AJ122" i="9" s="1"/>
  <c r="AM86" i="9"/>
  <c r="AM110" i="9" s="1"/>
  <c r="AM117" i="9" s="1"/>
  <c r="AM122" i="9" s="1"/>
  <c r="AM5" i="9"/>
  <c r="AM29" i="9" s="1"/>
  <c r="AM114" i="9" s="1"/>
  <c r="AM119" i="9" s="1"/>
  <c r="AJ29" i="9"/>
  <c r="AJ114" i="9" s="1"/>
  <c r="AJ119" i="9" s="1"/>
  <c r="AG124" i="9"/>
  <c r="AH124" i="9"/>
  <c r="Q8" i="29"/>
  <c r="I26" i="29" s="1"/>
  <c r="H26" i="29"/>
  <c r="AI124" i="9"/>
  <c r="AK124" i="9"/>
  <c r="AJ124" i="9" l="1"/>
  <c r="AM124" i="9"/>
  <c r="O36" i="29"/>
  <c r="Q36" i="29" s="1"/>
  <c r="R36" i="29" s="1"/>
  <c r="Q24" i="29"/>
  <c r="R24" i="29" s="1"/>
  <c r="Q16" i="29"/>
  <c r="I33" i="29" s="1"/>
  <c r="H33" i="29"/>
  <c r="O38" i="29"/>
  <c r="Q38" i="29" s="1"/>
  <c r="R38" i="29" s="1"/>
  <c r="Q26" i="29"/>
  <c r="R26" i="29" s="1"/>
</calcChain>
</file>

<file path=xl/comments1.xml><?xml version="1.0" encoding="utf-8"?>
<comments xmlns="http://schemas.openxmlformats.org/spreadsheetml/2006/main">
  <authors>
    <author>Leah Justin</author>
  </authors>
  <commentList>
    <comment ref="I11" authorId="0" shapeId="0">
      <text>
        <r>
          <rPr>
            <b/>
            <sz val="9"/>
            <color indexed="81"/>
            <rFont val="Tahoma"/>
            <family val="2"/>
          </rPr>
          <t>Leah Justin:</t>
        </r>
        <r>
          <rPr>
            <sz val="9"/>
            <color indexed="81"/>
            <rFont val="Tahoma"/>
            <family val="2"/>
          </rPr>
          <t xml:space="preserve">
average customer size based on annual energy 6,203,851,850 and # of customers 740,636 supplied in Steward COS Rate Case testimony Exhibit JRS-2 would be 8376, we assumed slightly larger customers would be more likely to install DG, and assumed 9545 as annual customer size for the calculation of customers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Leah Justin:</t>
        </r>
        <r>
          <rPr>
            <sz val="9"/>
            <color indexed="81"/>
            <rFont val="Tahoma"/>
            <family val="2"/>
          </rPr>
          <t xml:space="preserve">
2014 GRC  exh. JRS-2
residential Sch.1
transmission:  .016
distribution:   .030
retail:           .005
misc:            .001
gen dem:     .032
total:           .084
gen eng:      .031
total:           .115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</authors>
  <commentList>
    <comment ref="B20" authorId="0" shapeId="0">
      <text>
        <r>
          <rPr>
            <sz val="10"/>
            <color indexed="81"/>
            <rFont val="Arial"/>
            <family val="2"/>
          </rPr>
          <t xml:space="preserve">Load Factors are derived using the Non Coincident Peak data (@ sales) contained in the Distribution Factor tab.
</t>
        </r>
        <r>
          <rPr>
            <sz val="10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<sst xmlns="http://schemas.openxmlformats.org/spreadsheetml/2006/main" count="555" uniqueCount="278">
  <si>
    <t>Gen</t>
  </si>
  <si>
    <t>Load</t>
  </si>
  <si>
    <t>L2</t>
  </si>
  <si>
    <t>L3</t>
  </si>
  <si>
    <t>G1</t>
  </si>
  <si>
    <t>G2</t>
  </si>
  <si>
    <t>Total</t>
  </si>
  <si>
    <t>Fuel Rate (c per kWh)</t>
  </si>
  <si>
    <t>Dispatched Capacity (kW)</t>
  </si>
  <si>
    <t>Fuel Cost (Cents)</t>
  </si>
  <si>
    <t>NM Cust Cost Savings</t>
  </si>
  <si>
    <t>Total Increase in Costs to Non-NM Customers</t>
  </si>
  <si>
    <t>Non-NM Customer Cost Increase</t>
  </si>
  <si>
    <t>Max of Unit (Dispatch Order G1, G2, G3)</t>
  </si>
  <si>
    <t>Utility Fixed Costs (Production, Distribution, Transmission)</t>
  </si>
  <si>
    <t>NM Impacts to L1</t>
  </si>
  <si>
    <t>Load kW</t>
  </si>
  <si>
    <t>Fuel Cost per Load</t>
  </si>
  <si>
    <t>Fixed Cost per Load</t>
  </si>
  <si>
    <t>Total (Fuel + Fixed) cost Per Load</t>
  </si>
  <si>
    <t>Hour</t>
  </si>
  <si>
    <t>G3</t>
  </si>
  <si>
    <t>Avg</t>
  </si>
  <si>
    <t>FIXED</t>
  </si>
  <si>
    <t>L1 Gross Consum</t>
  </si>
  <si>
    <t>L1 NM Gen</t>
  </si>
  <si>
    <t>L1</t>
  </si>
  <si>
    <t>Total with 7% Losses</t>
  </si>
  <si>
    <t>check load + loss = gen</t>
  </si>
  <si>
    <t>Dec, Jan, Feb</t>
  </si>
  <si>
    <t>WINTER</t>
  </si>
  <si>
    <t>Mar, Apr, May</t>
  </si>
  <si>
    <t>SPRING</t>
  </si>
  <si>
    <t>June, July, Aug</t>
  </si>
  <si>
    <t>SUMMER</t>
  </si>
  <si>
    <t>Sep, Oct, Nov</t>
  </si>
  <si>
    <t>FALL</t>
  </si>
  <si>
    <t>winter</t>
  </si>
  <si>
    <t>spring</t>
  </si>
  <si>
    <t>summer</t>
  </si>
  <si>
    <t>fall</t>
  </si>
  <si>
    <t>PV GEN</t>
  </si>
  <si>
    <t>NET</t>
  </si>
  <si>
    <t>AVOID CAPACITY</t>
  </si>
  <si>
    <t>WINTER (ONE DAY)</t>
  </si>
  <si>
    <t>SPRING (ONE DAY)</t>
  </si>
  <si>
    <t>SUMMER (ONE DAY)</t>
  </si>
  <si>
    <t>FALL (ONE DAY)</t>
  </si>
  <si>
    <t>WINTER (SEASON) (DAY *91.25)</t>
  </si>
  <si>
    <t>SPRING (SEASON) (DAY *91.25)</t>
  </si>
  <si>
    <t>SUMMER (SEASON) (DAY *91.25)</t>
  </si>
  <si>
    <t>FALL (SEASON) (DAY *91.25)</t>
  </si>
  <si>
    <t>annual</t>
  </si>
  <si>
    <t>nem</t>
  </si>
  <si>
    <t>MW</t>
  </si>
  <si>
    <t>Dispatched Capacity (MW)</t>
  </si>
  <si>
    <t>Res Load</t>
  </si>
  <si>
    <t>NM load</t>
  </si>
  <si>
    <t>NM Gross Consum</t>
  </si>
  <si>
    <t>PORTION REMAINING</t>
  </si>
  <si>
    <t>NET NM CUSTOMER LOAD AND SOLAR GEN</t>
  </si>
  <si>
    <t>TOTAL LOAD</t>
  </si>
  <si>
    <t>fixed cost $/kWh</t>
  </si>
  <si>
    <t>annual kWh energy</t>
  </si>
  <si>
    <t>fixed cost per year</t>
  </si>
  <si>
    <t>fixed cost per hour</t>
  </si>
  <si>
    <t>SCALE TO SEASONAL DAY (MW)</t>
  </si>
  <si>
    <t>SCALE TO SEASON (KW)</t>
  </si>
  <si>
    <t>PORTION NM  (MW)</t>
  </si>
  <si>
    <t>% of original load now NM</t>
  </si>
  <si>
    <t>peak PV gen (MW)</t>
  </si>
  <si>
    <t>Losses</t>
  </si>
  <si>
    <t>PV MWh</t>
  </si>
  <si>
    <t>$/year</t>
  </si>
  <si>
    <t>customers</t>
  </si>
  <si>
    <t>KW/customer</t>
  </si>
  <si>
    <t>NM energy (before PV)</t>
  </si>
  <si>
    <t>orig load</t>
  </si>
  <si>
    <t>PV</t>
  </si>
  <si>
    <t>net load</t>
  </si>
  <si>
    <t>GRAPH TOTAL LOAD WITH NM GEN IMPACT</t>
  </si>
  <si>
    <t>Utah GRC 14 Rate Case - Joelle R. Steward COS</t>
  </si>
  <si>
    <t>$/Month customer charge for retail and distribution (pg. 13)</t>
  </si>
  <si>
    <t>$/Month customer charge for transmission and generation (pg. 13)</t>
  </si>
  <si>
    <r>
      <t>KW</t>
    </r>
    <r>
      <rPr>
        <vertAlign val="subscript"/>
        <sz val="11"/>
        <color theme="1"/>
        <rFont val="Calibri"/>
        <family val="2"/>
        <scheme val="minor"/>
      </rPr>
      <t>dc</t>
    </r>
    <r>
      <rPr>
        <sz val="11"/>
        <color theme="1"/>
        <rFont val="Calibri"/>
        <family val="2"/>
        <scheme val="minor"/>
      </rPr>
      <t xml:space="preserve"> capacity by these customers (pg 22)</t>
    </r>
  </si>
  <si>
    <t>Customers as of Nov 30, 2013 participating in NEM (pg 22)</t>
  </si>
  <si>
    <t>calculated Number of Customers in 2012</t>
  </si>
  <si>
    <t>Description</t>
  </si>
  <si>
    <t>UNITS</t>
  </si>
  <si>
    <t>NCP kW</t>
  </si>
  <si>
    <t>Annual KWH</t>
  </si>
  <si>
    <t>Average Customers</t>
  </si>
  <si>
    <t>Load Factor</t>
  </si>
  <si>
    <t>CP Load Factor</t>
  </si>
  <si>
    <t>Revenue Requirement</t>
  </si>
  <si>
    <t>Per NCP kW</t>
  </si>
  <si>
    <t>Per KWH</t>
  </si>
  <si>
    <t>Per Customer</t>
  </si>
  <si>
    <t>GENERATION-DEMAND</t>
  </si>
  <si>
    <t>GENERATION-ENERGY</t>
  </si>
  <si>
    <t>TRANSMISSION-TOTAL</t>
  </si>
  <si>
    <t>DISTRIBUTION-TOTAL</t>
  </si>
  <si>
    <t>RETAIL-TOTAL</t>
  </si>
  <si>
    <t>MISC - Total</t>
  </si>
  <si>
    <t>Residential</t>
  </si>
  <si>
    <t>Sch 1</t>
  </si>
  <si>
    <t>Exhibit JRS-2</t>
  </si>
  <si>
    <t>GENERATION-DEMAND Per KWH</t>
  </si>
  <si>
    <t>GENERATION-ENERGY Per KWH</t>
  </si>
  <si>
    <t>TRANSMISSION-TOTAL Per KWH</t>
  </si>
  <si>
    <t>DISTRIBUTION-TOTAL Per KWH</t>
  </si>
  <si>
    <t>RETAIL-TOTAL Per KWH</t>
  </si>
  <si>
    <t>MISC - Total Per KWH</t>
  </si>
  <si>
    <t>GTDRM TOTAL per KWH</t>
  </si>
  <si>
    <t xml:space="preserve"> </t>
  </si>
  <si>
    <t>Cost/</t>
  </si>
  <si>
    <t>Line</t>
  </si>
  <si>
    <t>Classified Rev Req</t>
  </si>
  <si>
    <t>COS</t>
  </si>
  <si>
    <t>Customers</t>
  </si>
  <si>
    <t>Distribution - Substation</t>
  </si>
  <si>
    <t>Distribution - Meter</t>
  </si>
  <si>
    <t>Distribution - Service</t>
  </si>
  <si>
    <t>Retail Total</t>
  </si>
  <si>
    <t>Distribution - P&amp;C</t>
  </si>
  <si>
    <t>Distribution - Transformer</t>
  </si>
  <si>
    <t>Total Distribution/Retail Costs</t>
  </si>
  <si>
    <t>Proposed Customer Charge</t>
  </si>
  <si>
    <t>Total Dist./Retail Fixed Cost not recovered in Customer Charge</t>
  </si>
  <si>
    <t>Total kWh</t>
  </si>
  <si>
    <t>Net Metering kWh</t>
  </si>
  <si>
    <t>Total Bills</t>
  </si>
  <si>
    <t>Forecasted Net Metering Bills</t>
  </si>
  <si>
    <t>Average $/kWh for remaining Dist./Retail costs</t>
  </si>
  <si>
    <t>Net Metering Dist/Retail Costs</t>
  </si>
  <si>
    <t>Net Metering Facilities Charge</t>
  </si>
  <si>
    <t>Exhibit JRS 8</t>
  </si>
  <si>
    <t>installations in 2012 (pg 22)</t>
  </si>
  <si>
    <t>of these customers installed facilities in 2013 (before Nov. 30)  (pg 22)</t>
  </si>
  <si>
    <t>Dan Gimble Direct Testimony 13-035-184</t>
  </si>
  <si>
    <t>Assuming a 20% capacity factor for residential solar PV systems, the annual cost shift estimate. (OCS DR 30.1, Gimble Testimony pg 25, line 649)</t>
  </si>
  <si>
    <t>of residential PV systems are rated at less than 3 kW of installed residential PV systems as of February 2014 (Gimble Testimony, pg 26, line 680)</t>
  </si>
  <si>
    <t>0-1 KW (Table 9 Gimble Direct pg 27)</t>
  </si>
  <si>
    <t>1-2 KW (Table 9 Gimble Direct pg 27)</t>
  </si>
  <si>
    <t>2-3 KW (Table 9 Gimble Direct pg 27)</t>
  </si>
  <si>
    <t>3-4 KW (Table 9 Gimble Direct pg 27)</t>
  </si>
  <si>
    <t>4-5 KW (Table 9 Gimble Direct pg 27)</t>
  </si>
  <si>
    <t>5-6 KW (Table 9 Gimble Direct pg 27)</t>
  </si>
  <si>
    <t>6-7 KW (Table 9 Gimble Direct pg 27)</t>
  </si>
  <si>
    <t>7-8 KW (Table 9 Gimble Direct pg 27)</t>
  </si>
  <si>
    <t>8-9 KW (Table 9 Gimble Direct pg 27)</t>
  </si>
  <si>
    <t>9-10 KW (Table 9 Gimble Direct pg 27)</t>
  </si>
  <si>
    <t>&gt;10 KW (Table 9 Gimble Direct pg 27)</t>
  </si>
  <si>
    <t>MW per</t>
  </si>
  <si>
    <t>customers with &lt;10 KW system</t>
  </si>
  <si>
    <t>Avg MW per customer</t>
  </si>
  <si>
    <t>Avg KW per customer</t>
  </si>
  <si>
    <t>Dan Gimble Rebuttal Testimony 13-035-184</t>
  </si>
  <si>
    <t>For these two recent solar PPAs filed under Schedule 38, the Company’s calculated an avoided cost ranging from 3.2 cents/kWh to 3.3 cents/kWh for the years 2016 and 2017</t>
  </si>
  <si>
    <t>Dan Gimble Surrebuttal Testimony 13-035-184</t>
  </si>
  <si>
    <t>recent QF proceeding (Docket 12-035-100) provides adequate evidence for determining the value (benefit) of solar resources.  This avoided cost evidence demonstrates that a facilities charge is warranted based on the difference between the costs (8.8 cents/kWh to 14.4 cents/kWh) and benefits (approximately 3.0 cents/kWh) of the residential NM program.</t>
  </si>
  <si>
    <t>Gimble Surrebuttal pg 2, line 32-36 footnote to Duvall Rebuttal pg 4, lines 83-90</t>
  </si>
  <si>
    <t>(12-035-100).  In that avoided cost docket, the Commission valued solar resources at approximately 3.0 cents/kWh for 2015 and about 4.3 cents/kWh on a levelized basis.  Therefore, there currently exists a significant discrepancy or gap between the avoided cost rates paid to a QF solar resource and the compensation currently provided to a residential NM customer, which is over 10 cents/kWh</t>
  </si>
  <si>
    <t>Yes.  The $701, 296 represents the total amount of fixed cost shifted to non-NM residential customers.  The fixed cost shift related to only the distribution and retail functions is $340,117</t>
  </si>
  <si>
    <t>Gimble Surrebuttal pg 9, lines 242-244</t>
  </si>
  <si>
    <t>Gimble Surrebuttal pg 9, lineds 230-234</t>
  </si>
  <si>
    <t xml:space="preserve">evidence from the Company’s August 2010 “Utility Scale Rooftop Solar”  study shows that residential solar PV systems are providing very little output at the time of peak demand. Therefore, a NM customer is taking power from RMP during the time of peak demand just like a typical residential customer.     </t>
  </si>
  <si>
    <t>Gimble Surrebuttal pg 11, lines 294-297</t>
  </si>
  <si>
    <t xml:space="preserve"> (Gimble Rebuttal, pg 16, line 447)</t>
  </si>
  <si>
    <t>Load Research Technical Conference (Nov. 5, 2014)</t>
  </si>
  <si>
    <t>Slide 8 of presentation</t>
  </si>
  <si>
    <t>system peak at hour 17</t>
  </si>
  <si>
    <t>Appears that residential peak at hour 18, approx 1500 MW</t>
  </si>
  <si>
    <t>RMP - Impact of Net Metering on Distribution System</t>
  </si>
  <si>
    <t>TASC - Incorperating DG into Distributed System Planning</t>
  </si>
  <si>
    <t>UCE - Solar Characteristics, Impacts of Solar on DG, Diff between Utility Scale and DG</t>
  </si>
  <si>
    <t>Workgroup Session 2 (May 12)</t>
  </si>
  <si>
    <t>Workgroup Session 1 (April 27)</t>
  </si>
  <si>
    <t>RMP - Overview of How Solar is Valued for Avoided Costs</t>
  </si>
  <si>
    <t>RMP - Overview of DG is Reflected in IRP</t>
  </si>
  <si>
    <t>UCARE - Net Metering: Range of Cost-Benefit Factors and Pacificopr 2015 IRP and Valuation of NM in UT</t>
  </si>
  <si>
    <t>IREC - Avoided Costs and Costs of Service</t>
  </si>
  <si>
    <t>Sierra Club - Avoided Costs Associated with DG and Intersection of DG valuation and IRP</t>
  </si>
  <si>
    <t>See IRP Appendix O for Distributed Generation Study</t>
  </si>
  <si>
    <t>slide 10</t>
  </si>
  <si>
    <t xml:space="preserve">Navigant Study </t>
  </si>
  <si>
    <t>http://www.pacificorp.com/content/dam/pacificorp/doc/Energy_Sources/Integrated_Resource_Plan/2015IRP/PacifiCorp_2015IRP-Vol1-3_AllBooks_Redacted.pdf</t>
  </si>
  <si>
    <t>pg 698 of IRP</t>
  </si>
  <si>
    <t>pg 2-2 of study</t>
  </si>
  <si>
    <t>slide 8</t>
  </si>
  <si>
    <t>Workgroup Session 3 (June 25)</t>
  </si>
  <si>
    <t>UCE - Cost Effectiveness Tests</t>
  </si>
  <si>
    <t>Workgroup Session 4 (July 8)</t>
  </si>
  <si>
    <t>RMP - COS and Price Design</t>
  </si>
  <si>
    <t>Sierra Club - Rate Design: Options for Addressing NEM impacts</t>
  </si>
  <si>
    <t>OCS - Rate Design Challenges created by NEM</t>
  </si>
  <si>
    <t xml:space="preserve">Source: California Net Energy Metering Ratepayer Impacts Evaluation, Energy and Environmental Economics, Inc., October 28, 2013, Page 34 Figure 6: Load and DG Generation for an Example Residential Customer, http://www.cpuc.ca.gov/NR/rdonlyres/75573B69-D5C8-45D3-BE22-3074EAB16D87/0/NEMReport.pdf </t>
  </si>
  <si>
    <t>OCS slide 12</t>
  </si>
  <si>
    <t>OCS 2.1 in NEM Docket 14-035-114</t>
  </si>
  <si>
    <t>Residential Load Shapes for Sample</t>
  </si>
  <si>
    <t>Analysis shows load shapes by season by stratum are similar</t>
  </si>
  <si>
    <t>chose Stratum 2 to model the residential load shapes by season</t>
  </si>
  <si>
    <t>Capacity Contribution Workpapers for Solar Shape provided in 14-035-140</t>
  </si>
  <si>
    <t>Used the Solar Profile for Fixed Tilt Utah to determine seasonal solar shape for utah</t>
  </si>
  <si>
    <t>Summer = June July Aug</t>
  </si>
  <si>
    <t>Fall = Sept, Oct, Nov</t>
  </si>
  <si>
    <t>Winter = Dec, Jan, Feb</t>
  </si>
  <si>
    <t>Spring = Mar, Apr, May</t>
  </si>
  <si>
    <t>Also used 34.1 cap contribution to determine the capacity value</t>
  </si>
  <si>
    <t>http://www.iso-ne.com/static-assets/documents/2015/02/fca9_initialresults_final_02042015.pdf</t>
  </si>
  <si>
    <t>$9.55/kW-month</t>
  </si>
  <si>
    <t>kW-year</t>
  </si>
  <si>
    <t>MW-year</t>
  </si>
  <si>
    <t>$/MW-hr</t>
  </si>
  <si>
    <t>months</t>
  </si>
  <si>
    <t>$</t>
  </si>
  <si>
    <t>MWh</t>
  </si>
  <si>
    <t>$/KW-month</t>
  </si>
  <si>
    <t>Capacity Value Scratch Calculations from Phil /Leah discussion</t>
  </si>
  <si>
    <t>261486WorkpaperstoRMPCompFiling-CopyofProxySolarProfiles10-10-2014-SeasonalAnalysis.xlsx</t>
  </si>
  <si>
    <t>Attach OCS 2.1-6-24-2015-ANALYSIS-PRESENTATION-harshexclusion.xlsx</t>
  </si>
  <si>
    <t>MW-day (Entergy)</t>
  </si>
  <si>
    <t>Fuel Cost $/MWh</t>
  </si>
  <si>
    <t>Total Costs for Recovery</t>
  </si>
  <si>
    <t>Fixed Costs ($)</t>
  </si>
  <si>
    <t>Capacity Credit ($)</t>
  </si>
  <si>
    <t>fixed</t>
  </si>
  <si>
    <t>Avoided Generation Cost</t>
  </si>
  <si>
    <t>Avoided Capacity Cost</t>
  </si>
  <si>
    <t>NET METERING IMPACTS (TO DISPATCH)</t>
  </si>
  <si>
    <t>Rate Case Data Requests 13-035-114 / OCS Set 15</t>
  </si>
  <si>
    <t>Fixed Cost Shifted to Other Customers</t>
  </si>
  <si>
    <t>Fixed Cost Shift from NM Customer</t>
  </si>
  <si>
    <t xml:space="preserve">          </t>
  </si>
  <si>
    <t>Fuel Costs ($)</t>
  </si>
  <si>
    <t>Fuel</t>
  </si>
  <si>
    <t>Costs</t>
  </si>
  <si>
    <t>($)</t>
  </si>
  <si>
    <t>Fixed</t>
  </si>
  <si>
    <t>Capacity</t>
  </si>
  <si>
    <t>Credit</t>
  </si>
  <si>
    <t>Avg. Retail</t>
  </si>
  <si>
    <t>Fuel Cost</t>
  </si>
  <si>
    <t>($/MWh)</t>
  </si>
  <si>
    <t>Demand</t>
  </si>
  <si>
    <t>Total Impact to Utility</t>
  </si>
  <si>
    <t xml:space="preserve">Fixed Cost </t>
  </si>
  <si>
    <t>NET METERING IMPACTS (BY LOAD)</t>
  </si>
  <si>
    <t>incl. losses (line 15)</t>
  </si>
  <si>
    <t>ILLUSTRATIVE ANNUAL Without NM (DISPATCH)</t>
  </si>
  <si>
    <t>ILLUSTRATIVE ANNUAL Without NM (BY LOAD)</t>
  </si>
  <si>
    <t>ILLUSTRATIVE ANNUAL With NM (DISPATCH)</t>
  </si>
  <si>
    <t>ILLUSTRATIVE ANNUAL With NM (BY LOAD)</t>
  </si>
  <si>
    <t>NET METERING IMPACTS (ILLUSTRATIVE ANNUAL)</t>
  </si>
  <si>
    <t>remaining customers</t>
  </si>
  <si>
    <t>Total Utility Savings</t>
  </si>
  <si>
    <t>Approx. # of Customers</t>
  </si>
  <si>
    <t>$/Month GTDRM fixed</t>
  </si>
  <si>
    <t>Annual Total ($/Year)</t>
  </si>
  <si>
    <t>Annual $/ Customer</t>
  </si>
  <si>
    <t>Monthly $/ Customer</t>
  </si>
  <si>
    <t>taken from</t>
  </si>
  <si>
    <t>fed back</t>
  </si>
  <si>
    <t>net</t>
  </si>
  <si>
    <t>no inverter losses</t>
  </si>
  <si>
    <t>Dispatched Capacity (MWh)</t>
  </si>
  <si>
    <t>(MWh)</t>
  </si>
  <si>
    <t>Total Reduction in Costs to NM Customers</t>
  </si>
  <si>
    <t>cf</t>
  </si>
  <si>
    <t xml:space="preserve">$/MWh </t>
  </si>
  <si>
    <t>Non- energy</t>
  </si>
  <si>
    <r>
      <t xml:space="preserve">UT FIXED TILT SEASONAL SHAPE (CF) BASED ON 14-035-140  http://www.psc.utah.gov/utilities/electric/elecindx/2014/documents/261486WorkpaperstoRMPCompFiling-CopyofProxySolarProfiles10-10-2014.xlsx at </t>
    </r>
    <r>
      <rPr>
        <sz val="11"/>
        <color rgb="FFFF0000"/>
        <rFont val="Calibri"/>
        <family val="2"/>
        <scheme val="minor"/>
      </rPr>
      <t>75</t>
    </r>
    <r>
      <rPr>
        <b/>
        <sz val="11"/>
        <color rgb="FFFF0000"/>
        <rFont val="Calibri"/>
        <family val="2"/>
        <scheme val="minor"/>
      </rPr>
      <t>% to scale from utility scale to DG</t>
    </r>
  </si>
  <si>
    <t>SCALE TO NM - assume avg of 4.24 kW installed per customer</t>
  </si>
  <si>
    <t>Net Metering</t>
  </si>
  <si>
    <t>Non-Net Metering</t>
  </si>
  <si>
    <t>Total Costs ($)</t>
  </si>
  <si>
    <t>RESIDENTIAL LOAD SAMPLE (2014 customers between 400-900 KWh average month) FROM OCS 2.1, WP: "Residential Load Shape Analysis - HAYET WP.xlsx" ANALYSIS TAB: STRATUM, SEASON, HOUR (&gt;0) OUT</t>
  </si>
  <si>
    <t>Utah Fixed Tilt Solar Shape Analysis - HAYET WP.xlsx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</si>
</sst>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0.000"/>
    <numFmt numFmtId="166" formatCode="_(* #,##0.000_);_(* \(#,##0.000\);_(* &quot;-&quot;??_);_(@_)"/>
    <numFmt numFmtId="167" formatCode="_(* #,##0_);_(* \(#,##0\);_(* &quot;-&quot;??_);_(@_)"/>
    <numFmt numFmtId="168" formatCode="_(* #,##0.0_);_(* \(#,##0.0\);_(* &quot;-&quot;??_);_(@_)"/>
    <numFmt numFmtId="169" formatCode="_(* #,##0.0000_);_(* \(#,##0.0000\);_(* &quot;-&quot;??_);_(@_)"/>
    <numFmt numFmtId="170" formatCode="#,##0.0"/>
    <numFmt numFmtId="171" formatCode="#,##0.000000_);\(#,##0.000000\)"/>
    <numFmt numFmtId="172" formatCode="#,##0.000"/>
    <numFmt numFmtId="173" formatCode="_(* #,##0.000000000_);_(* \(#,##0.000000000\);_(* &quot;-&quot;??_);_(@_)"/>
    <numFmt numFmtId="174" formatCode="_(* #,##0.0000000000_);_(* \(#,##0.000000000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10"/>
      <color indexed="81"/>
      <name val="Arial"/>
      <family val="2"/>
    </font>
    <font>
      <sz val="10"/>
      <color indexed="81"/>
      <name val="Tahoma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2"/>
      <color rgb="FF000000"/>
      <name val="Times New Roman"/>
      <family val="1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206">
    <xf numFmtId="0" fontId="0" fillId="0" borderId="0" xfId="0"/>
    <xf numFmtId="0" fontId="0" fillId="0" borderId="0" xfId="0" applyAlignment="1">
      <alignment horizontal="right"/>
    </xf>
    <xf numFmtId="164" fontId="0" fillId="0" borderId="0" xfId="0" applyNumberFormat="1"/>
    <xf numFmtId="0" fontId="0" fillId="0" borderId="0" xfId="0" applyFill="1"/>
    <xf numFmtId="0" fontId="0" fillId="3" borderId="0" xfId="0" applyFill="1"/>
    <xf numFmtId="167" fontId="0" fillId="0" borderId="0" xfId="1" applyNumberFormat="1" applyFont="1"/>
    <xf numFmtId="164" fontId="0" fillId="0" borderId="0" xfId="0" applyNumberFormat="1" applyFill="1"/>
    <xf numFmtId="167" fontId="0" fillId="0" borderId="0" xfId="1" applyNumberFormat="1" applyFont="1" applyFill="1" applyBorder="1"/>
    <xf numFmtId="43" fontId="0" fillId="0" borderId="0" xfId="1" applyNumberFormat="1" applyFont="1" applyFill="1" applyBorder="1"/>
    <xf numFmtId="0" fontId="0" fillId="4" borderId="0" xfId="0" applyFill="1"/>
    <xf numFmtId="164" fontId="0" fillId="0" borderId="20" xfId="0" applyNumberFormat="1" applyFill="1" applyBorder="1"/>
    <xf numFmtId="0" fontId="0" fillId="5" borderId="0" xfId="0" applyFill="1"/>
    <xf numFmtId="0" fontId="16" fillId="5" borderId="0" xfId="0" applyFont="1" applyFill="1" applyAlignment="1">
      <alignment horizontal="left"/>
    </xf>
    <xf numFmtId="0" fontId="16" fillId="5" borderId="0" xfId="0" applyFont="1" applyFill="1" applyAlignment="1">
      <alignment horizontal="center"/>
    </xf>
    <xf numFmtId="0" fontId="16" fillId="5" borderId="0" xfId="0" applyFont="1" applyFill="1" applyBorder="1"/>
    <xf numFmtId="1" fontId="16" fillId="5" borderId="0" xfId="0" applyNumberFormat="1" applyFont="1" applyFill="1" applyBorder="1"/>
    <xf numFmtId="1" fontId="16" fillId="5" borderId="0" xfId="0" applyNumberFormat="1" applyFont="1" applyFill="1" applyBorder="1" applyAlignment="1">
      <alignment horizontal="center"/>
    </xf>
    <xf numFmtId="37" fontId="16" fillId="5" borderId="0" xfId="0" applyNumberFormat="1" applyFont="1" applyFill="1" applyBorder="1" applyAlignment="1" applyProtection="1">
      <alignment horizontal="center"/>
    </xf>
    <xf numFmtId="1" fontId="16" fillId="5" borderId="1" xfId="0" applyNumberFormat="1" applyFont="1" applyFill="1" applyBorder="1" applyAlignment="1">
      <alignment horizontal="center"/>
    </xf>
    <xf numFmtId="37" fontId="16" fillId="5" borderId="1" xfId="0" applyNumberFormat="1" applyFont="1" applyFill="1" applyBorder="1" applyAlignment="1" applyProtection="1">
      <alignment horizontal="center"/>
    </xf>
    <xf numFmtId="1" fontId="17" fillId="5" borderId="0" xfId="0" applyNumberFormat="1" applyFont="1" applyFill="1" applyBorder="1" applyAlignment="1">
      <alignment horizontal="center"/>
    </xf>
    <xf numFmtId="1" fontId="17" fillId="5" borderId="0" xfId="0" applyNumberFormat="1" applyFont="1" applyFill="1" applyBorder="1"/>
    <xf numFmtId="5" fontId="17" fillId="5" borderId="0" xfId="1" applyNumberFormat="1" applyFont="1" applyFill="1" applyBorder="1"/>
    <xf numFmtId="7" fontId="17" fillId="5" borderId="0" xfId="1" applyNumberFormat="1" applyFont="1" applyFill="1" applyBorder="1"/>
    <xf numFmtId="1" fontId="17" fillId="5" borderId="1" xfId="0" applyNumberFormat="1" applyFont="1" applyFill="1" applyBorder="1"/>
    <xf numFmtId="5" fontId="17" fillId="5" borderId="1" xfId="1" applyNumberFormat="1" applyFont="1" applyFill="1" applyBorder="1"/>
    <xf numFmtId="7" fontId="17" fillId="5" borderId="1" xfId="1" applyNumberFormat="1" applyFont="1" applyFill="1" applyBorder="1"/>
    <xf numFmtId="37" fontId="17" fillId="5" borderId="0" xfId="2" applyNumberFormat="1" applyFont="1" applyFill="1" applyBorder="1"/>
    <xf numFmtId="41" fontId="17" fillId="5" borderId="0" xfId="2" applyNumberFormat="1" applyFont="1" applyFill="1" applyBorder="1"/>
    <xf numFmtId="167" fontId="17" fillId="5" borderId="0" xfId="1" applyNumberFormat="1" applyFont="1" applyFill="1" applyBorder="1"/>
    <xf numFmtId="171" fontId="17" fillId="5" borderId="0" xfId="1" applyNumberFormat="1" applyFont="1" applyFill="1" applyBorder="1"/>
    <xf numFmtId="1" fontId="17" fillId="5" borderId="21" xfId="0" applyNumberFormat="1" applyFont="1" applyFill="1" applyBorder="1" applyAlignment="1">
      <alignment horizontal="center"/>
    </xf>
    <xf numFmtId="1" fontId="16" fillId="5" borderId="21" xfId="0" applyNumberFormat="1" applyFont="1" applyFill="1" applyBorder="1"/>
    <xf numFmtId="5" fontId="16" fillId="5" borderId="21" xfId="1" applyNumberFormat="1" applyFont="1" applyFill="1" applyBorder="1"/>
    <xf numFmtId="7" fontId="16" fillId="5" borderId="21" xfId="1" applyNumberFormat="1" applyFont="1" applyFill="1" applyBorder="1"/>
    <xf numFmtId="37" fontId="10" fillId="5" borderId="0" xfId="0" applyNumberFormat="1" applyFont="1" applyFill="1" applyAlignment="1" applyProtection="1">
      <alignment horizontal="center"/>
    </xf>
    <xf numFmtId="1" fontId="10" fillId="5" borderId="0" xfId="0" applyNumberFormat="1" applyFont="1" applyFill="1" applyAlignment="1">
      <alignment horizontal="center"/>
    </xf>
    <xf numFmtId="37" fontId="10" fillId="5" borderId="8" xfId="0" applyNumberFormat="1" applyFont="1" applyFill="1" applyBorder="1" applyAlignment="1" applyProtection="1">
      <alignment horizontal="center"/>
    </xf>
    <xf numFmtId="0" fontId="10" fillId="5" borderId="8" xfId="0" applyFont="1" applyFill="1" applyBorder="1" applyAlignment="1">
      <alignment horizontal="center"/>
    </xf>
    <xf numFmtId="167" fontId="10" fillId="5" borderId="0" xfId="1" applyNumberFormat="1" applyFont="1" applyFill="1" applyBorder="1"/>
    <xf numFmtId="0" fontId="11" fillId="5" borderId="0" xfId="0" applyFont="1" applyFill="1"/>
    <xf numFmtId="1" fontId="11" fillId="5" borderId="0" xfId="0" applyNumberFormat="1" applyFont="1" applyFill="1" applyAlignment="1">
      <alignment horizontal="left"/>
    </xf>
    <xf numFmtId="1" fontId="12" fillId="5" borderId="0" xfId="0" applyNumberFormat="1" applyFont="1" applyFill="1" applyBorder="1"/>
    <xf numFmtId="167" fontId="11" fillId="5" borderId="0" xfId="1" applyNumberFormat="1" applyFont="1" applyFill="1"/>
    <xf numFmtId="1" fontId="11" fillId="5" borderId="0" xfId="0" applyNumberFormat="1" applyFont="1" applyFill="1"/>
    <xf numFmtId="9" fontId="11" fillId="5" borderId="0" xfId="2" applyFont="1" applyFill="1"/>
    <xf numFmtId="1" fontId="11" fillId="5" borderId="0" xfId="0" quotePrefix="1" applyNumberFormat="1" applyFont="1" applyFill="1" applyAlignment="1">
      <alignment horizontal="left"/>
    </xf>
    <xf numFmtId="167" fontId="11" fillId="5" borderId="0" xfId="1" applyNumberFormat="1" applyFont="1" applyFill="1" applyBorder="1" applyAlignment="1">
      <alignment horizontal="center"/>
    </xf>
    <xf numFmtId="1" fontId="11" fillId="5" borderId="0" xfId="0" applyNumberFormat="1" applyFont="1" applyFill="1" applyBorder="1"/>
    <xf numFmtId="10" fontId="13" fillId="5" borderId="0" xfId="2" applyNumberFormat="1" applyFont="1" applyFill="1"/>
    <xf numFmtId="1" fontId="12" fillId="5" borderId="0" xfId="0" applyNumberFormat="1" applyFont="1" applyFill="1"/>
    <xf numFmtId="43" fontId="11" fillId="5" borderId="0" xfId="1" applyNumberFormat="1" applyFont="1" applyFill="1"/>
    <xf numFmtId="166" fontId="11" fillId="5" borderId="0" xfId="1" applyNumberFormat="1" applyFont="1" applyFill="1"/>
    <xf numFmtId="166" fontId="0" fillId="5" borderId="0" xfId="0" applyNumberFormat="1" applyFill="1"/>
    <xf numFmtId="0" fontId="18" fillId="0" borderId="0" xfId="0" applyFont="1"/>
    <xf numFmtId="6" fontId="19" fillId="0" borderId="0" xfId="3" applyNumberFormat="1"/>
    <xf numFmtId="9" fontId="0" fillId="0" borderId="0" xfId="0" applyNumberFormat="1"/>
    <xf numFmtId="0" fontId="0" fillId="0" borderId="0" xfId="0" quotePrefix="1"/>
    <xf numFmtId="0" fontId="7" fillId="0" borderId="0" xfId="0" applyFont="1"/>
    <xf numFmtId="0" fontId="0" fillId="6" borderId="0" xfId="0" applyFill="1"/>
    <xf numFmtId="0" fontId="7" fillId="3" borderId="0" xfId="0" applyFont="1" applyFill="1"/>
    <xf numFmtId="0" fontId="0" fillId="7" borderId="0" xfId="0" applyFill="1"/>
    <xf numFmtId="0" fontId="3" fillId="0" borderId="0" xfId="0" applyFont="1"/>
    <xf numFmtId="0" fontId="19" fillId="0" borderId="0" xfId="3" applyFill="1"/>
    <xf numFmtId="6" fontId="0" fillId="0" borderId="0" xfId="0" applyNumberFormat="1" applyFill="1"/>
    <xf numFmtId="8" fontId="0" fillId="4" borderId="0" xfId="0" applyNumberFormat="1" applyFill="1"/>
    <xf numFmtId="0" fontId="0" fillId="0" borderId="0" xfId="0" applyFill="1" applyBorder="1"/>
    <xf numFmtId="167" fontId="0" fillId="2" borderId="1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right"/>
    </xf>
    <xf numFmtId="0" fontId="0" fillId="2" borderId="1" xfId="0" applyFill="1" applyBorder="1" applyAlignment="1">
      <alignment horizontal="right" wrapText="1"/>
    </xf>
    <xf numFmtId="167" fontId="0" fillId="2" borderId="19" xfId="1" applyNumberFormat="1" applyFont="1" applyFill="1" applyBorder="1" applyAlignment="1">
      <alignment horizontal="right"/>
    </xf>
    <xf numFmtId="167" fontId="0" fillId="5" borderId="18" xfId="1" applyNumberFormat="1" applyFont="1" applyFill="1" applyBorder="1" applyAlignment="1">
      <alignment horizontal="right" wrapText="1"/>
    </xf>
    <xf numFmtId="167" fontId="0" fillId="2" borderId="5" xfId="1" applyNumberFormat="1" applyFont="1" applyFill="1" applyBorder="1" applyAlignment="1">
      <alignment horizontal="right"/>
    </xf>
    <xf numFmtId="0" fontId="0" fillId="5" borderId="6" xfId="0" applyFill="1" applyBorder="1"/>
    <xf numFmtId="0" fontId="0" fillId="2" borderId="5" xfId="0" applyFill="1" applyBorder="1" applyAlignment="1">
      <alignment horizontal="right"/>
    </xf>
    <xf numFmtId="0" fontId="0" fillId="2" borderId="19" xfId="0" applyFill="1" applyBorder="1" applyAlignment="1">
      <alignment horizontal="right" wrapText="1"/>
    </xf>
    <xf numFmtId="0" fontId="0" fillId="2" borderId="19" xfId="0" applyFill="1" applyBorder="1" applyAlignment="1">
      <alignment horizontal="right"/>
    </xf>
    <xf numFmtId="4" fontId="0" fillId="2" borderId="0" xfId="1" applyNumberFormat="1" applyFont="1" applyFill="1" applyBorder="1" applyAlignment="1">
      <alignment horizontal="right"/>
    </xf>
    <xf numFmtId="4" fontId="0" fillId="2" borderId="0" xfId="0" applyNumberFormat="1" applyFill="1" applyBorder="1" applyAlignment="1">
      <alignment horizontal="right"/>
    </xf>
    <xf numFmtId="4" fontId="0" fillId="2" borderId="1" xfId="1" applyNumberFormat="1" applyFont="1" applyFill="1" applyBorder="1" applyAlignment="1">
      <alignment horizontal="right"/>
    </xf>
    <xf numFmtId="4" fontId="0" fillId="2" borderId="1" xfId="0" applyNumberFormat="1" applyFill="1" applyBorder="1" applyAlignment="1">
      <alignment horizontal="right" wrapText="1"/>
    </xf>
    <xf numFmtId="4" fontId="0" fillId="2" borderId="1" xfId="0" applyNumberFormat="1" applyFill="1" applyBorder="1" applyAlignment="1">
      <alignment horizontal="right"/>
    </xf>
    <xf numFmtId="170" fontId="0" fillId="2" borderId="0" xfId="1" applyNumberFormat="1" applyFont="1" applyFill="1" applyBorder="1" applyAlignment="1">
      <alignment horizontal="right"/>
    </xf>
    <xf numFmtId="170" fontId="0" fillId="2" borderId="1" xfId="1" applyNumberFormat="1" applyFont="1" applyFill="1" applyBorder="1" applyAlignment="1">
      <alignment horizontal="right"/>
    </xf>
    <xf numFmtId="3" fontId="0" fillId="2" borderId="0" xfId="1" applyNumberFormat="1" applyFon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3" fontId="0" fillId="5" borderId="6" xfId="0" applyNumberFormat="1" applyFill="1" applyBorder="1"/>
    <xf numFmtId="3" fontId="0" fillId="2" borderId="1" xfId="1" applyNumberFormat="1" applyFont="1" applyFill="1" applyBorder="1" applyAlignment="1">
      <alignment horizontal="right"/>
    </xf>
    <xf numFmtId="3" fontId="0" fillId="5" borderId="18" xfId="0" applyNumberFormat="1" applyFill="1" applyBorder="1"/>
    <xf numFmtId="3" fontId="0" fillId="2" borderId="1" xfId="1" applyNumberFormat="1" applyFont="1" applyFill="1" applyBorder="1" applyAlignment="1">
      <alignment horizontal="right" wrapText="1"/>
    </xf>
    <xf numFmtId="3" fontId="0" fillId="5" borderId="18" xfId="0" applyNumberFormat="1" applyFill="1" applyBorder="1" applyAlignment="1">
      <alignment horizontal="right" wrapText="1"/>
    </xf>
    <xf numFmtId="3" fontId="0" fillId="2" borderId="1" xfId="0" applyNumberFormat="1" applyFill="1" applyBorder="1" applyAlignment="1">
      <alignment horizontal="right"/>
    </xf>
    <xf numFmtId="3" fontId="0" fillId="2" borderId="8" xfId="0" applyNumberFormat="1" applyFill="1" applyBorder="1" applyAlignment="1">
      <alignment horizontal="right"/>
    </xf>
    <xf numFmtId="3" fontId="0" fillId="5" borderId="9" xfId="0" applyNumberFormat="1" applyFill="1" applyBorder="1"/>
    <xf numFmtId="0" fontId="2" fillId="5" borderId="0" xfId="0" applyFont="1" applyFill="1" applyBorder="1" applyAlignment="1">
      <alignment horizontal="center" vertical="center"/>
    </xf>
    <xf numFmtId="2" fontId="2" fillId="5" borderId="0" xfId="0" applyNumberFormat="1" applyFont="1" applyFill="1" applyBorder="1" applyAlignment="1">
      <alignment horizontal="center" vertical="center"/>
    </xf>
    <xf numFmtId="0" fontId="0" fillId="5" borderId="5" xfId="0" applyFill="1" applyBorder="1"/>
    <xf numFmtId="0" fontId="0" fillId="5" borderId="0" xfId="0" applyFill="1" applyBorder="1"/>
    <xf numFmtId="0" fontId="0" fillId="5" borderId="0" xfId="0" applyFill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0" fillId="5" borderId="8" xfId="0" applyFill="1" applyBorder="1"/>
    <xf numFmtId="0" fontId="0" fillId="5" borderId="7" xfId="0" applyFill="1" applyBorder="1"/>
    <xf numFmtId="0" fontId="0" fillId="5" borderId="9" xfId="0" applyFill="1" applyBorder="1"/>
    <xf numFmtId="0" fontId="0" fillId="5" borderId="0" xfId="0" applyFill="1" applyBorder="1" applyAlignment="1">
      <alignment horizontal="left"/>
    </xf>
    <xf numFmtId="4" fontId="0" fillId="5" borderId="0" xfId="0" applyNumberFormat="1" applyFill="1" applyBorder="1"/>
    <xf numFmtId="0" fontId="0" fillId="2" borderId="7" xfId="0" applyFill="1" applyBorder="1" applyAlignment="1">
      <alignment horizontal="right"/>
    </xf>
    <xf numFmtId="0" fontId="3" fillId="5" borderId="0" xfId="0" applyFont="1" applyFill="1" applyBorder="1" applyAlignment="1">
      <alignment horizontal="left"/>
    </xf>
    <xf numFmtId="3" fontId="0" fillId="5" borderId="0" xfId="0" applyNumberFormat="1" applyFill="1" applyBorder="1"/>
    <xf numFmtId="172" fontId="0" fillId="2" borderId="0" xfId="0" applyNumberFormat="1" applyFill="1" applyBorder="1" applyAlignment="1">
      <alignment horizontal="right"/>
    </xf>
    <xf numFmtId="172" fontId="0" fillId="2" borderId="8" xfId="0" applyNumberFormat="1" applyFill="1" applyBorder="1" applyAlignment="1">
      <alignment horizontal="right"/>
    </xf>
    <xf numFmtId="0" fontId="5" fillId="2" borderId="5" xfId="0" applyFont="1" applyFill="1" applyBorder="1" applyAlignment="1">
      <alignment horizontal="right"/>
    </xf>
    <xf numFmtId="3" fontId="5" fillId="2" borderId="0" xfId="1" applyNumberFormat="1" applyFont="1" applyFill="1" applyBorder="1" applyAlignment="1">
      <alignment horizontal="right"/>
    </xf>
    <xf numFmtId="4" fontId="5" fillId="2" borderId="0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5" borderId="6" xfId="0" applyNumberFormat="1" applyFont="1" applyFill="1" applyBorder="1"/>
    <xf numFmtId="3" fontId="0" fillId="2" borderId="0" xfId="1" applyNumberFormat="1" applyFont="1" applyFill="1" applyBorder="1" applyAlignment="1">
      <alignment horizontal="right" wrapText="1"/>
    </xf>
    <xf numFmtId="4" fontId="0" fillId="2" borderId="0" xfId="0" applyNumberFormat="1" applyFill="1" applyBorder="1" applyAlignment="1">
      <alignment horizontal="right" wrapText="1"/>
    </xf>
    <xf numFmtId="167" fontId="0" fillId="2" borderId="0" xfId="1" applyNumberFormat="1" applyFont="1" applyFill="1" applyBorder="1" applyAlignment="1">
      <alignment horizontal="right" wrapText="1"/>
    </xf>
    <xf numFmtId="3" fontId="0" fillId="2" borderId="0" xfId="0" applyNumberFormat="1" applyFill="1" applyBorder="1" applyAlignment="1">
      <alignment horizontal="right" wrapText="1"/>
    </xf>
    <xf numFmtId="0" fontId="0" fillId="2" borderId="5" xfId="0" applyFill="1" applyBorder="1" applyAlignment="1">
      <alignment horizontal="right" wrapText="1"/>
    </xf>
    <xf numFmtId="3" fontId="0" fillId="5" borderId="6" xfId="0" applyNumberFormat="1" applyFill="1" applyBorder="1" applyAlignment="1">
      <alignment horizontal="right" wrapText="1"/>
    </xf>
    <xf numFmtId="0" fontId="0" fillId="2" borderId="2" xfId="0" applyFill="1" applyBorder="1" applyAlignment="1">
      <alignment horizontal="right" wrapText="1"/>
    </xf>
    <xf numFmtId="0" fontId="5" fillId="5" borderId="0" xfId="0" applyFont="1" applyFill="1" applyBorder="1" applyAlignment="1">
      <alignment horizontal="left"/>
    </xf>
    <xf numFmtId="0" fontId="5" fillId="5" borderId="0" xfId="0" applyFont="1" applyFill="1" applyBorder="1"/>
    <xf numFmtId="4" fontId="5" fillId="5" borderId="0" xfId="0" applyNumberFormat="1" applyFont="1" applyFill="1" applyBorder="1"/>
    <xf numFmtId="0" fontId="5" fillId="5" borderId="0" xfId="0" applyFont="1" applyFill="1" applyBorder="1" applyAlignment="1">
      <alignment horizontal="center"/>
    </xf>
    <xf numFmtId="3" fontId="0" fillId="0" borderId="0" xfId="0" applyNumberFormat="1"/>
    <xf numFmtId="3" fontId="5" fillId="5" borderId="0" xfId="0" applyNumberFormat="1" applyFont="1" applyFill="1" applyBorder="1"/>
    <xf numFmtId="3" fontId="0" fillId="5" borderId="0" xfId="1" applyNumberFormat="1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 wrapText="1"/>
    </xf>
    <xf numFmtId="164" fontId="0" fillId="5" borderId="6" xfId="0" applyNumberFormat="1" applyFill="1" applyBorder="1"/>
    <xf numFmtId="164" fontId="5" fillId="5" borderId="6" xfId="0" applyNumberFormat="1" applyFont="1" applyFill="1" applyBorder="1"/>
    <xf numFmtId="2" fontId="0" fillId="5" borderId="3" xfId="0" applyNumberFormat="1" applyFill="1" applyBorder="1" applyAlignment="1">
      <alignment horizontal="right" vertical="center" wrapText="1"/>
    </xf>
    <xf numFmtId="2" fontId="0" fillId="5" borderId="0" xfId="0" applyNumberFormat="1" applyFill="1" applyBorder="1" applyAlignment="1">
      <alignment horizontal="right" vertical="center" wrapText="1"/>
    </xf>
    <xf numFmtId="0" fontId="0" fillId="5" borderId="6" xfId="0" applyFill="1" applyBorder="1" applyAlignment="1">
      <alignment horizontal="center" vertical="center" wrapText="1"/>
    </xf>
    <xf numFmtId="172" fontId="5" fillId="2" borderId="0" xfId="0" applyNumberFormat="1" applyFont="1" applyFill="1" applyBorder="1" applyAlignment="1">
      <alignment horizontal="right"/>
    </xf>
    <xf numFmtId="9" fontId="0" fillId="0" borderId="0" xfId="2" applyFont="1"/>
    <xf numFmtId="3" fontId="0" fillId="2" borderId="8" xfId="1" applyNumberFormat="1" applyFont="1" applyFill="1" applyBorder="1" applyAlignment="1">
      <alignment horizontal="right"/>
    </xf>
    <xf numFmtId="167" fontId="0" fillId="2" borderId="1" xfId="1" quotePrefix="1" applyNumberFormat="1" applyFont="1" applyFill="1" applyBorder="1" applyAlignment="1">
      <alignment horizontal="right" wrapText="1"/>
    </xf>
    <xf numFmtId="172" fontId="0" fillId="2" borderId="1" xfId="0" applyNumberFormat="1" applyFill="1" applyBorder="1" applyAlignment="1">
      <alignment horizontal="right"/>
    </xf>
    <xf numFmtId="43" fontId="0" fillId="0" borderId="0" xfId="0" applyNumberFormat="1" applyFill="1" applyBorder="1"/>
    <xf numFmtId="2" fontId="0" fillId="0" borderId="0" xfId="0" applyNumberFormat="1" applyFill="1" applyBorder="1"/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0" fillId="0" borderId="0" xfId="0" applyFill="1" applyBorder="1" applyAlignment="1">
      <alignment wrapText="1"/>
    </xf>
    <xf numFmtId="43" fontId="0" fillId="0" borderId="0" xfId="1" applyFont="1" applyFill="1" applyBorder="1"/>
    <xf numFmtId="167" fontId="7" fillId="0" borderId="0" xfId="1" applyNumberFormat="1" applyFont="1" applyFill="1" applyBorder="1"/>
    <xf numFmtId="166" fontId="0" fillId="0" borderId="0" xfId="1" applyNumberFormat="1" applyFont="1" applyFill="1" applyBorder="1"/>
    <xf numFmtId="43" fontId="0" fillId="0" borderId="0" xfId="1" applyFont="1" applyFill="1"/>
    <xf numFmtId="169" fontId="0" fillId="0" borderId="0" xfId="1" applyNumberFormat="1" applyFont="1" applyFill="1"/>
    <xf numFmtId="169" fontId="0" fillId="0" borderId="0" xfId="1" applyNumberFormat="1" applyFon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0" fontId="0" fillId="0" borderId="13" xfId="0" applyFill="1" applyBorder="1" applyAlignment="1">
      <alignment horizontal="right"/>
    </xf>
    <xf numFmtId="0" fontId="0" fillId="0" borderId="14" xfId="0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168" fontId="0" fillId="0" borderId="0" xfId="1" applyNumberFormat="1" applyFont="1" applyFill="1" applyBorder="1"/>
    <xf numFmtId="168" fontId="0" fillId="0" borderId="14" xfId="1" applyNumberFormat="1" applyFont="1" applyFill="1" applyBorder="1"/>
    <xf numFmtId="168" fontId="0" fillId="0" borderId="13" xfId="1" applyNumberFormat="1" applyFont="1" applyFill="1" applyBorder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/>
    </xf>
    <xf numFmtId="167" fontId="0" fillId="0" borderId="0" xfId="1" applyNumberFormat="1" applyFont="1" applyFill="1" applyBorder="1" applyAlignment="1">
      <alignment wrapText="1"/>
    </xf>
    <xf numFmtId="167" fontId="0" fillId="0" borderId="16" xfId="1" applyNumberFormat="1" applyFont="1" applyFill="1" applyBorder="1" applyAlignment="1">
      <alignment wrapText="1"/>
    </xf>
    <xf numFmtId="167" fontId="0" fillId="0" borderId="14" xfId="1" applyNumberFormat="1" applyFont="1" applyFill="1" applyBorder="1" applyAlignment="1">
      <alignment wrapText="1"/>
    </xf>
    <xf numFmtId="167" fontId="0" fillId="0" borderId="17" xfId="1" applyNumberFormat="1" applyFont="1" applyFill="1" applyBorder="1" applyAlignment="1">
      <alignment wrapText="1"/>
    </xf>
    <xf numFmtId="167" fontId="0" fillId="0" borderId="15" xfId="1" applyNumberFormat="1" applyFont="1" applyFill="1" applyBorder="1" applyAlignment="1">
      <alignment wrapText="1"/>
    </xf>
    <xf numFmtId="167" fontId="0" fillId="0" borderId="0" xfId="1" applyNumberFormat="1" applyFont="1" applyFill="1"/>
    <xf numFmtId="43" fontId="7" fillId="0" borderId="0" xfId="1" applyFont="1" applyFill="1" applyBorder="1"/>
    <xf numFmtId="168" fontId="0" fillId="0" borderId="0" xfId="1" applyNumberFormat="1" applyFont="1" applyFill="1"/>
    <xf numFmtId="167" fontId="0" fillId="0" borderId="0" xfId="0" applyNumberFormat="1" applyFill="1"/>
    <xf numFmtId="10" fontId="0" fillId="0" borderId="0" xfId="2" applyNumberFormat="1" applyFont="1" applyFill="1"/>
    <xf numFmtId="9" fontId="0" fillId="0" borderId="0" xfId="2" applyFont="1" applyFill="1"/>
    <xf numFmtId="167" fontId="0" fillId="0" borderId="20" xfId="1" applyNumberFormat="1" applyFont="1" applyFill="1" applyBorder="1"/>
    <xf numFmtId="43" fontId="0" fillId="0" borderId="0" xfId="0" applyNumberFormat="1" applyFill="1"/>
    <xf numFmtId="1" fontId="0" fillId="0" borderId="0" xfId="0" applyNumberFormat="1" applyFill="1"/>
    <xf numFmtId="173" fontId="0" fillId="0" borderId="20" xfId="1" applyNumberFormat="1" applyFont="1" applyFill="1" applyBorder="1"/>
    <xf numFmtId="174" fontId="0" fillId="0" borderId="0" xfId="0" applyNumberFormat="1" applyFill="1"/>
    <xf numFmtId="10" fontId="0" fillId="0" borderId="20" xfId="0" applyNumberFormat="1" applyFill="1" applyBorder="1"/>
    <xf numFmtId="43" fontId="0" fillId="0" borderId="0" xfId="1" applyNumberFormat="1" applyFont="1" applyFill="1"/>
    <xf numFmtId="43" fontId="0" fillId="0" borderId="20" xfId="1" applyNumberFormat="1" applyFont="1" applyFill="1" applyBorder="1"/>
    <xf numFmtId="43" fontId="0" fillId="0" borderId="20" xfId="0" applyNumberFormat="1" applyFill="1" applyBorder="1"/>
    <xf numFmtId="1" fontId="0" fillId="0" borderId="0" xfId="0" applyNumberFormat="1" applyFill="1" applyBorder="1"/>
    <xf numFmtId="166" fontId="0" fillId="0" borderId="0" xfId="1" applyNumberFormat="1" applyFont="1" applyFill="1"/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0" fontId="3" fillId="6" borderId="22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/>
    </xf>
    <xf numFmtId="0" fontId="3" fillId="6" borderId="23" xfId="0" applyFont="1" applyFill="1" applyBorder="1" applyAlignment="1">
      <alignment horizontal="center"/>
    </xf>
    <xf numFmtId="0" fontId="3" fillId="6" borderId="24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right"/>
    </xf>
    <xf numFmtId="0" fontId="0" fillId="0" borderId="10" xfId="0" applyFill="1" applyBorder="1" applyAlignment="1">
      <alignment horizontal="right"/>
    </xf>
    <xf numFmtId="0" fontId="0" fillId="0" borderId="12" xfId="0" applyFill="1" applyBorder="1" applyAlignment="1">
      <alignment horizontal="right"/>
    </xf>
    <xf numFmtId="0" fontId="18" fillId="0" borderId="0" xfId="0" applyFont="1" applyAlignment="1">
      <alignment horizontal="left" vertical="top" wrapText="1"/>
    </xf>
    <xf numFmtId="0" fontId="21" fillId="0" borderId="0" xfId="0" applyFont="1" applyAlignment="1">
      <alignment horizontal="left" vertical="center" wrapText="1" readingOrder="1"/>
    </xf>
    <xf numFmtId="0" fontId="20" fillId="0" borderId="0" xfId="0" applyFont="1" applyAlignment="1">
      <alignment horizontal="left" wrapText="1"/>
    </xf>
    <xf numFmtId="0" fontId="20" fillId="0" borderId="0" xfId="0" applyFont="1" applyAlignment="1">
      <alignment horizontal="left" vertical="top" wrapText="1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Shape by Season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SEASONAL'!$F$41:$AC$41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4.7213635953602603E-3</c:v>
                </c:pt>
                <c:pt idx="8">
                  <c:v>0.21043459113424101</c:v>
                </c:pt>
                <c:pt idx="9">
                  <c:v>0.44256062296713744</c:v>
                </c:pt>
                <c:pt idx="10">
                  <c:v>0.56742868980115346</c:v>
                </c:pt>
                <c:pt idx="11">
                  <c:v>0.66846283338497992</c:v>
                </c:pt>
                <c:pt idx="12">
                  <c:v>0.65502736788556681</c:v>
                </c:pt>
                <c:pt idx="13">
                  <c:v>0.6618761357686076</c:v>
                </c:pt>
                <c:pt idx="14">
                  <c:v>0.61498638520840854</c:v>
                </c:pt>
                <c:pt idx="15">
                  <c:v>0.48423354494371318</c:v>
                </c:pt>
                <c:pt idx="16">
                  <c:v>0.28104621101561084</c:v>
                </c:pt>
                <c:pt idx="17">
                  <c:v>5.0944169832224731E-2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SEASONAL'!$F$42:$AC$42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7.9398283083083275E-5</c:v>
                </c:pt>
                <c:pt idx="6">
                  <c:v>2.0616039120976482E-2</c:v>
                </c:pt>
                <c:pt idx="7">
                  <c:v>0.22923152566127183</c:v>
                </c:pt>
                <c:pt idx="8">
                  <c:v>0.5063490695307834</c:v>
                </c:pt>
                <c:pt idx="9">
                  <c:v>0.76067251059118657</c:v>
                </c:pt>
                <c:pt idx="10">
                  <c:v>0.87907048822247158</c:v>
                </c:pt>
                <c:pt idx="11">
                  <c:v>0.87392792209018366</c:v>
                </c:pt>
                <c:pt idx="12">
                  <c:v>0.85988950637589823</c:v>
                </c:pt>
                <c:pt idx="13">
                  <c:v>0.84927863613866206</c:v>
                </c:pt>
                <c:pt idx="14">
                  <c:v>0.8337607654131689</c:v>
                </c:pt>
                <c:pt idx="15">
                  <c:v>0.73856536544586471</c:v>
                </c:pt>
                <c:pt idx="16">
                  <c:v>0.48806924491913461</c:v>
                </c:pt>
                <c:pt idx="17">
                  <c:v>0.23807259613631707</c:v>
                </c:pt>
                <c:pt idx="18">
                  <c:v>2.4324182996888731E-2</c:v>
                </c:pt>
                <c:pt idx="19">
                  <c:v>2.2324321821927345E-5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SEASONAL'!$F$43:$AC$43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7.2179484964749396E-4</c:v>
                </c:pt>
                <c:pt idx="6">
                  <c:v>3.1653164063580812E-2</c:v>
                </c:pt>
                <c:pt idx="7">
                  <c:v>0.2646653129978162</c:v>
                </c:pt>
                <c:pt idx="8">
                  <c:v>0.53961388767539187</c:v>
                </c:pt>
                <c:pt idx="9">
                  <c:v>0.77449031752258157</c:v>
                </c:pt>
                <c:pt idx="10">
                  <c:v>0.91498710905485037</c:v>
                </c:pt>
                <c:pt idx="11">
                  <c:v>0.94368864209396441</c:v>
                </c:pt>
                <c:pt idx="12">
                  <c:v>0.91020870076701932</c:v>
                </c:pt>
                <c:pt idx="13">
                  <c:v>0.85943715534623022</c:v>
                </c:pt>
                <c:pt idx="14">
                  <c:v>0.82365651472370005</c:v>
                </c:pt>
                <c:pt idx="15">
                  <c:v>0.67321090730611532</c:v>
                </c:pt>
                <c:pt idx="16">
                  <c:v>0.49538908219013977</c:v>
                </c:pt>
                <c:pt idx="17">
                  <c:v>0.27097905644866149</c:v>
                </c:pt>
                <c:pt idx="18">
                  <c:v>6.6175796041712781E-2</c:v>
                </c:pt>
                <c:pt idx="19">
                  <c:v>5.1485033470344299E-4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SEASONAL'!$F$44:$AC$44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4.5606357078024754E-4</c:v>
                </c:pt>
                <c:pt idx="7">
                  <c:v>0.1562455968757723</c:v>
                </c:pt>
                <c:pt idx="8">
                  <c:v>0.4646505245285637</c:v>
                </c:pt>
                <c:pt idx="9">
                  <c:v>0.69988448716967111</c:v>
                </c:pt>
                <c:pt idx="10">
                  <c:v>0.8445873100506206</c:v>
                </c:pt>
                <c:pt idx="11">
                  <c:v>0.8530884668261014</c:v>
                </c:pt>
                <c:pt idx="12">
                  <c:v>0.83973603954300302</c:v>
                </c:pt>
                <c:pt idx="13">
                  <c:v>0.85344566756714313</c:v>
                </c:pt>
                <c:pt idx="14">
                  <c:v>0.79911671886670044</c:v>
                </c:pt>
                <c:pt idx="15">
                  <c:v>0.56555182683515515</c:v>
                </c:pt>
                <c:pt idx="16">
                  <c:v>0.3187152551788423</c:v>
                </c:pt>
                <c:pt idx="17">
                  <c:v>7.2837658259741478E-2</c:v>
                </c:pt>
                <c:pt idx="18">
                  <c:v>1.0994431690130364E-4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26440"/>
        <c:axId val="204626832"/>
      </c:lineChart>
      <c:catAx>
        <c:axId val="204626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6832"/>
        <c:crosses val="autoZero"/>
        <c:auto val="1"/>
        <c:lblAlgn val="ctr"/>
        <c:lblOffset val="100"/>
        <c:noMultiLvlLbl val="0"/>
      </c:catAx>
      <c:valAx>
        <c:axId val="20462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6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'LOAD DATA and INPUT SEASONAL'!$A$69:$E$69</c:f>
              <c:strCache>
                <c:ptCount val="5"/>
                <c:pt idx="0">
                  <c:v>TOTAL LOAD</c:v>
                </c:pt>
                <c:pt idx="1">
                  <c:v>Dec, Jan, Feb</c:v>
                </c:pt>
                <c:pt idx="2">
                  <c:v>2014</c:v>
                </c:pt>
                <c:pt idx="3">
                  <c:v>2</c:v>
                </c:pt>
                <c:pt idx="4">
                  <c:v>WINTER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SEASONAL'!$F$69:$AC$69</c:f>
              <c:numCache>
                <c:formatCode>0.0</c:formatCode>
                <c:ptCount val="24"/>
                <c:pt idx="0">
                  <c:v>589.78759365843371</c:v>
                </c:pt>
                <c:pt idx="1">
                  <c:v>537.68631752786052</c:v>
                </c:pt>
                <c:pt idx="2">
                  <c:v>509.14001320348586</c:v>
                </c:pt>
                <c:pt idx="3">
                  <c:v>500.57113116707774</c:v>
                </c:pt>
                <c:pt idx="4">
                  <c:v>515.05007559171747</c:v>
                </c:pt>
                <c:pt idx="5">
                  <c:v>560.14451991954741</c:v>
                </c:pt>
                <c:pt idx="6">
                  <c:v>656.05974846953302</c:v>
                </c:pt>
                <c:pt idx="7">
                  <c:v>728.49776233560931</c:v>
                </c:pt>
                <c:pt idx="8">
                  <c:v>701.76700570468756</c:v>
                </c:pt>
                <c:pt idx="9">
                  <c:v>704.95286107884601</c:v>
                </c:pt>
                <c:pt idx="10">
                  <c:v>719.7309565673138</c:v>
                </c:pt>
                <c:pt idx="11">
                  <c:v>721.47956697120492</c:v>
                </c:pt>
                <c:pt idx="12">
                  <c:v>717.67672022068075</c:v>
                </c:pt>
                <c:pt idx="13">
                  <c:v>702.59388987142256</c:v>
                </c:pt>
                <c:pt idx="14">
                  <c:v>701.31818559373835</c:v>
                </c:pt>
                <c:pt idx="15">
                  <c:v>729.22240869714926</c:v>
                </c:pt>
                <c:pt idx="16">
                  <c:v>798.09935080378318</c:v>
                </c:pt>
                <c:pt idx="17">
                  <c:v>952.10207228787942</c:v>
                </c:pt>
                <c:pt idx="18">
                  <c:v>1058.6489321300567</c:v>
                </c:pt>
                <c:pt idx="19">
                  <c:v>1061.0928526845939</c:v>
                </c:pt>
                <c:pt idx="20">
                  <c:v>1051.6140648828566</c:v>
                </c:pt>
                <c:pt idx="21">
                  <c:v>1008.8443957380443</c:v>
                </c:pt>
                <c:pt idx="22">
                  <c:v>855.18229597434618</c:v>
                </c:pt>
                <c:pt idx="23">
                  <c:v>683.50219913370768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'LOAD DATA and INPUT SEASONAL'!$A$73:$E$73</c:f>
              <c:strCache>
                <c:ptCount val="5"/>
                <c:pt idx="0">
                  <c:v>PV GEN</c:v>
                </c:pt>
                <c:pt idx="1">
                  <c:v>Dec, Jan, Feb</c:v>
                </c:pt>
                <c:pt idx="4">
                  <c:v>winter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SEASONAL'!$F$73:$AC$73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4.9571720877644637E-2</c:v>
                </c:pt>
                <c:pt idx="8">
                  <c:v>2.2094474623727622</c:v>
                </c:pt>
                <c:pt idx="9">
                  <c:v>4.6466431212208859</c:v>
                </c:pt>
                <c:pt idx="10">
                  <c:v>5.9576891422707856</c:v>
                </c:pt>
                <c:pt idx="11">
                  <c:v>7.0184920784757345</c:v>
                </c:pt>
                <c:pt idx="12">
                  <c:v>6.8774270805898192</c:v>
                </c:pt>
                <c:pt idx="13">
                  <c:v>6.9493353763600307</c:v>
                </c:pt>
                <c:pt idx="14">
                  <c:v>6.4570187860688719</c:v>
                </c:pt>
                <c:pt idx="15">
                  <c:v>5.0841858807763582</c:v>
                </c:pt>
                <c:pt idx="16">
                  <c:v>2.9508306328867704</c:v>
                </c:pt>
                <c:pt idx="17">
                  <c:v>0.53488576261063636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'LOAD DATA and INPUT SEASONAL'!$A$77:$E$77</c:f>
              <c:strCache>
                <c:ptCount val="5"/>
                <c:pt idx="0">
                  <c:v>NET</c:v>
                </c:pt>
                <c:pt idx="1">
                  <c:v>Dec, Jan, Feb</c:v>
                </c:pt>
                <c:pt idx="4">
                  <c:v>winter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'LOAD DATA and INPUT SEASONAL'!$F$77:$AC$77</c:f>
              <c:numCache>
                <c:formatCode>_(* #,##0.0_);_(* \(#,##0.0\);_(* "-"??_);_(@_)</c:formatCode>
                <c:ptCount val="24"/>
                <c:pt idx="0">
                  <c:v>589.78759365843371</c:v>
                </c:pt>
                <c:pt idx="1">
                  <c:v>537.68631752786052</c:v>
                </c:pt>
                <c:pt idx="2">
                  <c:v>509.14001320348586</c:v>
                </c:pt>
                <c:pt idx="3">
                  <c:v>500.57113116707774</c:v>
                </c:pt>
                <c:pt idx="4">
                  <c:v>515.05007559171747</c:v>
                </c:pt>
                <c:pt idx="5">
                  <c:v>560.14451991954741</c:v>
                </c:pt>
                <c:pt idx="6">
                  <c:v>656.05974846953302</c:v>
                </c:pt>
                <c:pt idx="7">
                  <c:v>728.44819061473163</c:v>
                </c:pt>
                <c:pt idx="8">
                  <c:v>699.55755824231483</c:v>
                </c:pt>
                <c:pt idx="9">
                  <c:v>700.30621795762511</c:v>
                </c:pt>
                <c:pt idx="10">
                  <c:v>713.77326742504306</c:v>
                </c:pt>
                <c:pt idx="11">
                  <c:v>714.46107489272913</c:v>
                </c:pt>
                <c:pt idx="12">
                  <c:v>710.79929314009098</c:v>
                </c:pt>
                <c:pt idx="13">
                  <c:v>695.64455449506249</c:v>
                </c:pt>
                <c:pt idx="14">
                  <c:v>694.86116680766952</c:v>
                </c:pt>
                <c:pt idx="15">
                  <c:v>724.13822281637295</c:v>
                </c:pt>
                <c:pt idx="16">
                  <c:v>795.1485201708964</c:v>
                </c:pt>
                <c:pt idx="17">
                  <c:v>951.56718652526877</c:v>
                </c:pt>
                <c:pt idx="18">
                  <c:v>1058.6489321300567</c:v>
                </c:pt>
                <c:pt idx="19">
                  <c:v>1061.0928526845939</c:v>
                </c:pt>
                <c:pt idx="20">
                  <c:v>1051.6140648828566</c:v>
                </c:pt>
                <c:pt idx="21">
                  <c:v>1008.8443957380443</c:v>
                </c:pt>
                <c:pt idx="22">
                  <c:v>855.18229597434618</c:v>
                </c:pt>
                <c:pt idx="23">
                  <c:v>683.50219913370768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30752"/>
        <c:axId val="20713856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'LOAD DATA and INPUT SEASONAL'!$A$70:$E$70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Mar, Apr, May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'LOAD DATA and INPUT SEASONAL'!$F$70:$AC$70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464.83357076381731</c:v>
                      </c:pt>
                      <c:pt idx="1">
                        <c:v>418.56904972267256</c:v>
                      </c:pt>
                      <c:pt idx="2">
                        <c:v>394.58237419962535</c:v>
                      </c:pt>
                      <c:pt idx="3">
                        <c:v>393.36738417683529</c:v>
                      </c:pt>
                      <c:pt idx="4">
                        <c:v>415.89481767665995</c:v>
                      </c:pt>
                      <c:pt idx="5">
                        <c:v>457.89624946666743</c:v>
                      </c:pt>
                      <c:pt idx="6">
                        <c:v>536.87578309663468</c:v>
                      </c:pt>
                      <c:pt idx="7">
                        <c:v>573.98072770195301</c:v>
                      </c:pt>
                      <c:pt idx="8">
                        <c:v>565.36703184575424</c:v>
                      </c:pt>
                      <c:pt idx="9">
                        <c:v>584.07466953629205</c:v>
                      </c:pt>
                      <c:pt idx="10">
                        <c:v>596.17827819870558</c:v>
                      </c:pt>
                      <c:pt idx="11">
                        <c:v>592.08038552500784</c:v>
                      </c:pt>
                      <c:pt idx="12">
                        <c:v>587.0660077763464</c:v>
                      </c:pt>
                      <c:pt idx="13">
                        <c:v>587.32835623100607</c:v>
                      </c:pt>
                      <c:pt idx="14">
                        <c:v>594.81084285011093</c:v>
                      </c:pt>
                      <c:pt idx="15">
                        <c:v>620.45716230326605</c:v>
                      </c:pt>
                      <c:pt idx="16">
                        <c:v>677.10697007031979</c:v>
                      </c:pt>
                      <c:pt idx="17">
                        <c:v>738.88529113325899</c:v>
                      </c:pt>
                      <c:pt idx="18">
                        <c:v>791.7978861234443</c:v>
                      </c:pt>
                      <c:pt idx="19">
                        <c:v>832.91691567445366</c:v>
                      </c:pt>
                      <c:pt idx="20">
                        <c:v>838.81589270307666</c:v>
                      </c:pt>
                      <c:pt idx="21">
                        <c:v>816.09234406781752</c:v>
                      </c:pt>
                      <c:pt idx="22">
                        <c:v>684.69628760755199</c:v>
                      </c:pt>
                      <c:pt idx="23">
                        <c:v>552.74398606631235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SEASONAL'!$A$71:$E$71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June, July, Aug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SEASONAL'!$F$71:$AC$71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660.98347594421909</c:v>
                      </c:pt>
                      <c:pt idx="1">
                        <c:v>547.34796648871418</c:v>
                      </c:pt>
                      <c:pt idx="2">
                        <c:v>489.77389462436429</c:v>
                      </c:pt>
                      <c:pt idx="3">
                        <c:v>464.46107169131494</c:v>
                      </c:pt>
                      <c:pt idx="4">
                        <c:v>454.13926189188766</c:v>
                      </c:pt>
                      <c:pt idx="5">
                        <c:v>436.98591501901836</c:v>
                      </c:pt>
                      <c:pt idx="6">
                        <c:v>462.38415824037321</c:v>
                      </c:pt>
                      <c:pt idx="7">
                        <c:v>531.53016245336164</c:v>
                      </c:pt>
                      <c:pt idx="8">
                        <c:v>608.19926660830504</c:v>
                      </c:pt>
                      <c:pt idx="9">
                        <c:v>675.2625136825435</c:v>
                      </c:pt>
                      <c:pt idx="10">
                        <c:v>775.20702842417859</c:v>
                      </c:pt>
                      <c:pt idx="11">
                        <c:v>868.52171500565373</c:v>
                      </c:pt>
                      <c:pt idx="12">
                        <c:v>968.59078275493459</c:v>
                      </c:pt>
                      <c:pt idx="13">
                        <c:v>1061.4543781659299</c:v>
                      </c:pt>
                      <c:pt idx="14">
                        <c:v>1162.0033247725012</c:v>
                      </c:pt>
                      <c:pt idx="15">
                        <c:v>1254.6307374657256</c:v>
                      </c:pt>
                      <c:pt idx="16">
                        <c:v>1372.2117944188599</c:v>
                      </c:pt>
                      <c:pt idx="17">
                        <c:v>1451.8243718092522</c:v>
                      </c:pt>
                      <c:pt idx="18">
                        <c:v>1468.9189601211992</c:v>
                      </c:pt>
                      <c:pt idx="19">
                        <c:v>1409.2906238011328</c:v>
                      </c:pt>
                      <c:pt idx="20">
                        <c:v>1304.290924100454</c:v>
                      </c:pt>
                      <c:pt idx="21">
                        <c:v>1254.4358866408315</c:v>
                      </c:pt>
                      <c:pt idx="22">
                        <c:v>1092.0362657027383</c:v>
                      </c:pt>
                      <c:pt idx="23">
                        <c:v>835.38891862325045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SEASONAL'!$A$72:$E$72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Sep, Oct, Nov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SEASONAL'!$F$72:$AC$72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471.45161526604426</c:v>
                      </c:pt>
                      <c:pt idx="1">
                        <c:v>417.75714468254699</c:v>
                      </c:pt>
                      <c:pt idx="2">
                        <c:v>393.55209634901047</c:v>
                      </c:pt>
                      <c:pt idx="3">
                        <c:v>383.7976716439033</c:v>
                      </c:pt>
                      <c:pt idx="4">
                        <c:v>397.75577385102321</c:v>
                      </c:pt>
                      <c:pt idx="5">
                        <c:v>426.59781139180069</c:v>
                      </c:pt>
                      <c:pt idx="6">
                        <c:v>508.19582920052693</c:v>
                      </c:pt>
                      <c:pt idx="7">
                        <c:v>556.56401813209857</c:v>
                      </c:pt>
                      <c:pt idx="8">
                        <c:v>558.21551015787395</c:v>
                      </c:pt>
                      <c:pt idx="9">
                        <c:v>589.01451324227003</c:v>
                      </c:pt>
                      <c:pt idx="10">
                        <c:v>597.47748602109493</c:v>
                      </c:pt>
                      <c:pt idx="11">
                        <c:v>627.45348485069462</c:v>
                      </c:pt>
                      <c:pt idx="12">
                        <c:v>639.667659525511</c:v>
                      </c:pt>
                      <c:pt idx="13">
                        <c:v>657.74633555012042</c:v>
                      </c:pt>
                      <c:pt idx="14">
                        <c:v>698.66498812569444</c:v>
                      </c:pt>
                      <c:pt idx="15">
                        <c:v>739.37194547661363</c:v>
                      </c:pt>
                      <c:pt idx="16">
                        <c:v>812.25311583056452</c:v>
                      </c:pt>
                      <c:pt idx="17">
                        <c:v>902.85815321385223</c:v>
                      </c:pt>
                      <c:pt idx="18">
                        <c:v>948.35444720618568</c:v>
                      </c:pt>
                      <c:pt idx="19">
                        <c:v>931.0188756808119</c:v>
                      </c:pt>
                      <c:pt idx="20">
                        <c:v>927.46093836967157</c:v>
                      </c:pt>
                      <c:pt idx="21">
                        <c:v>876.73928550532503</c:v>
                      </c:pt>
                      <c:pt idx="22">
                        <c:v>723.52714528260617</c:v>
                      </c:pt>
                      <c:pt idx="23">
                        <c:v>564.54346267320614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SEASONAL'!$A$74:$E$74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Mar, Apr, May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SEASONAL'!$F$74:$AC$74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8.3363830123710085E-4</c:v>
                      </c:pt>
                      <c:pt idx="6">
                        <c:v>0.21645707140876694</c:v>
                      </c:pt>
                      <c:pt idx="7">
                        <c:v>2.4068049361002721</c:v>
                      </c:pt>
                      <c:pt idx="8">
                        <c:v>5.3163867248228289</c:v>
                      </c:pt>
                      <c:pt idx="9">
                        <c:v>7.9866429714033096</c:v>
                      </c:pt>
                      <c:pt idx="10">
                        <c:v>9.2297566145430583</c:v>
                      </c:pt>
                      <c:pt idx="11">
                        <c:v>9.1757624987001005</c:v>
                      </c:pt>
                      <c:pt idx="12">
                        <c:v>9.0283668551964364</c:v>
                      </c:pt>
                      <c:pt idx="13">
                        <c:v>8.9169585539620044</c:v>
                      </c:pt>
                      <c:pt idx="14">
                        <c:v>8.7540294465796649</c:v>
                      </c:pt>
                      <c:pt idx="15">
                        <c:v>7.7545301068862846</c:v>
                      </c:pt>
                      <c:pt idx="16">
                        <c:v>5.1244586207828338</c:v>
                      </c:pt>
                      <c:pt idx="17">
                        <c:v>2.4996313132679226</c:v>
                      </c:pt>
                      <c:pt idx="18">
                        <c:v>0.25539054252959115</c:v>
                      </c:pt>
                      <c:pt idx="19">
                        <c:v>2.3439310016852262E-4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SEASONAL'!$A$75:$E$75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June, July, Aug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SEASONAL'!$F$75:$AC$75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7.5784489152263294E-3</c:v>
                      </c:pt>
                      <c:pt idx="6">
                        <c:v>0.33234081259831266</c:v>
                      </c:pt>
                      <c:pt idx="7">
                        <c:v>2.7788402136228809</c:v>
                      </c:pt>
                      <c:pt idx="8">
                        <c:v>5.665649018819976</c:v>
                      </c:pt>
                      <c:pt idx="9">
                        <c:v>8.1317223440272333</c:v>
                      </c:pt>
                      <c:pt idx="10">
                        <c:v>9.6068613782008612</c:v>
                      </c:pt>
                      <c:pt idx="11">
                        <c:v>9.9082116885166425</c:v>
                      </c:pt>
                      <c:pt idx="12">
                        <c:v>9.5566907194283459</c:v>
                      </c:pt>
                      <c:pt idx="13">
                        <c:v>9.0236174181898363</c:v>
                      </c:pt>
                      <c:pt idx="14">
                        <c:v>8.6479403719427701</c:v>
                      </c:pt>
                      <c:pt idx="15">
                        <c:v>7.0683442430826391</c:v>
                      </c:pt>
                      <c:pt idx="16">
                        <c:v>5.2013128860261695</c:v>
                      </c:pt>
                      <c:pt idx="17">
                        <c:v>2.8451310471324907</c:v>
                      </c:pt>
                      <c:pt idx="18">
                        <c:v>0.69480946001690314</c:v>
                      </c:pt>
                      <c:pt idx="19">
                        <c:v>5.4056453332172469E-3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SEASONAL'!$A$76:$E$76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Sep, Oct, Nov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SEASONAL'!$F$76:$AC$76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4.7884166462835798E-3</c:v>
                      </c:pt>
                      <c:pt idx="7">
                        <c:v>1.640492828024986</c:v>
                      </c:pt>
                      <c:pt idx="8">
                        <c:v>4.8785749375914307</c:v>
                      </c:pt>
                      <c:pt idx="9">
                        <c:v>7.348402160482423</c:v>
                      </c:pt>
                      <c:pt idx="10">
                        <c:v>8.8677022103897922</c:v>
                      </c:pt>
                      <c:pt idx="11">
                        <c:v>8.9569596806734531</c:v>
                      </c:pt>
                      <c:pt idx="12">
                        <c:v>8.8167665383856484</c:v>
                      </c:pt>
                      <c:pt idx="13">
                        <c:v>8.9607100919846285</c:v>
                      </c:pt>
                      <c:pt idx="14">
                        <c:v>8.3902860129747339</c:v>
                      </c:pt>
                      <c:pt idx="15">
                        <c:v>5.9379831134515921</c:v>
                      </c:pt>
                      <c:pt idx="16">
                        <c:v>3.3463348776397943</c:v>
                      </c:pt>
                      <c:pt idx="17">
                        <c:v>0.76475534910749876</c:v>
                      </c:pt>
                      <c:pt idx="18">
                        <c:v>1.1543548552097613E-3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SEASONAL'!$A$78:$E$78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Mar, Apr, May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SEASONAL'!$F$78:$AC$78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464.83357076381731</c:v>
                      </c:pt>
                      <c:pt idx="1">
                        <c:v>418.56904972267256</c:v>
                      </c:pt>
                      <c:pt idx="2">
                        <c:v>394.58237419962535</c:v>
                      </c:pt>
                      <c:pt idx="3">
                        <c:v>393.36738417683529</c:v>
                      </c:pt>
                      <c:pt idx="4">
                        <c:v>415.89481767665995</c:v>
                      </c:pt>
                      <c:pt idx="5">
                        <c:v>457.8954158283662</c:v>
                      </c:pt>
                      <c:pt idx="6">
                        <c:v>536.65932602522594</c:v>
                      </c:pt>
                      <c:pt idx="7">
                        <c:v>571.57392276585279</c:v>
                      </c:pt>
                      <c:pt idx="8">
                        <c:v>560.05064512093145</c:v>
                      </c:pt>
                      <c:pt idx="9">
                        <c:v>576.08802656488876</c:v>
                      </c:pt>
                      <c:pt idx="10">
                        <c:v>586.94852158416256</c:v>
                      </c:pt>
                      <c:pt idx="11">
                        <c:v>582.90462302630772</c:v>
                      </c:pt>
                      <c:pt idx="12">
                        <c:v>578.03764092115</c:v>
                      </c:pt>
                      <c:pt idx="13">
                        <c:v>578.41139767704408</c:v>
                      </c:pt>
                      <c:pt idx="14">
                        <c:v>586.05681340353124</c:v>
                      </c:pt>
                      <c:pt idx="15">
                        <c:v>612.7026321963798</c:v>
                      </c:pt>
                      <c:pt idx="16">
                        <c:v>671.9825114495369</c:v>
                      </c:pt>
                      <c:pt idx="17">
                        <c:v>736.38565981999102</c:v>
                      </c:pt>
                      <c:pt idx="18">
                        <c:v>791.54249558091476</c:v>
                      </c:pt>
                      <c:pt idx="19">
                        <c:v>832.91668128135348</c:v>
                      </c:pt>
                      <c:pt idx="20">
                        <c:v>838.81589270307666</c:v>
                      </c:pt>
                      <c:pt idx="21">
                        <c:v>816.09234406781752</c:v>
                      </c:pt>
                      <c:pt idx="22">
                        <c:v>684.69628760755199</c:v>
                      </c:pt>
                      <c:pt idx="23">
                        <c:v>552.74398606631235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SEASONAL'!$A$79:$E$79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June, July, Aug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SEASONAL'!$F$79:$AC$79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660.98347594421909</c:v>
                      </c:pt>
                      <c:pt idx="1">
                        <c:v>547.34796648871418</c:v>
                      </c:pt>
                      <c:pt idx="2">
                        <c:v>489.77389462436429</c:v>
                      </c:pt>
                      <c:pt idx="3">
                        <c:v>464.46107169131494</c:v>
                      </c:pt>
                      <c:pt idx="4">
                        <c:v>454.13926189188766</c:v>
                      </c:pt>
                      <c:pt idx="5">
                        <c:v>436.97833657010312</c:v>
                      </c:pt>
                      <c:pt idx="6">
                        <c:v>462.05181742777489</c:v>
                      </c:pt>
                      <c:pt idx="7">
                        <c:v>528.75132223973878</c:v>
                      </c:pt>
                      <c:pt idx="8">
                        <c:v>602.53361758948506</c:v>
                      </c:pt>
                      <c:pt idx="9">
                        <c:v>667.13079133851625</c:v>
                      </c:pt>
                      <c:pt idx="10">
                        <c:v>765.60016704597774</c:v>
                      </c:pt>
                      <c:pt idx="11">
                        <c:v>858.61350331713709</c:v>
                      </c:pt>
                      <c:pt idx="12">
                        <c:v>959.03409203550621</c:v>
                      </c:pt>
                      <c:pt idx="13">
                        <c:v>1052.4307607477401</c:v>
                      </c:pt>
                      <c:pt idx="14">
                        <c:v>1153.3553844005585</c:v>
                      </c:pt>
                      <c:pt idx="15">
                        <c:v>1247.5623932226429</c:v>
                      </c:pt>
                      <c:pt idx="16">
                        <c:v>1367.0104815328336</c:v>
                      </c:pt>
                      <c:pt idx="17">
                        <c:v>1448.9792407621196</c:v>
                      </c:pt>
                      <c:pt idx="18">
                        <c:v>1468.2241506611824</c:v>
                      </c:pt>
                      <c:pt idx="19">
                        <c:v>1409.2852181557996</c:v>
                      </c:pt>
                      <c:pt idx="20">
                        <c:v>1304.290924100454</c:v>
                      </c:pt>
                      <c:pt idx="21">
                        <c:v>1254.4358866408315</c:v>
                      </c:pt>
                      <c:pt idx="22">
                        <c:v>1092.0362657027383</c:v>
                      </c:pt>
                      <c:pt idx="23">
                        <c:v>835.38891862325045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SEASONAL'!$A$80:$E$80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Sep, Oct, Nov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SEASONAL'!$F$80:$AC$80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471.45161526604426</c:v>
                      </c:pt>
                      <c:pt idx="1">
                        <c:v>417.75714468254699</c:v>
                      </c:pt>
                      <c:pt idx="2">
                        <c:v>393.55209634901047</c:v>
                      </c:pt>
                      <c:pt idx="3">
                        <c:v>383.7976716439033</c:v>
                      </c:pt>
                      <c:pt idx="4">
                        <c:v>397.75577385102321</c:v>
                      </c:pt>
                      <c:pt idx="5">
                        <c:v>426.59781139180069</c:v>
                      </c:pt>
                      <c:pt idx="6">
                        <c:v>508.19104078388062</c:v>
                      </c:pt>
                      <c:pt idx="7">
                        <c:v>554.92352530407356</c:v>
                      </c:pt>
                      <c:pt idx="8">
                        <c:v>553.3369352202825</c:v>
                      </c:pt>
                      <c:pt idx="9">
                        <c:v>581.66611108178756</c:v>
                      </c:pt>
                      <c:pt idx="10">
                        <c:v>588.60978381070515</c:v>
                      </c:pt>
                      <c:pt idx="11">
                        <c:v>618.49652517002119</c:v>
                      </c:pt>
                      <c:pt idx="12">
                        <c:v>630.85089298712535</c:v>
                      </c:pt>
                      <c:pt idx="13">
                        <c:v>648.78562545813577</c:v>
                      </c:pt>
                      <c:pt idx="14">
                        <c:v>690.27470211271975</c:v>
                      </c:pt>
                      <c:pt idx="15">
                        <c:v>733.4339623631621</c:v>
                      </c:pt>
                      <c:pt idx="16">
                        <c:v>808.90678095292469</c:v>
                      </c:pt>
                      <c:pt idx="17">
                        <c:v>902.0933978647447</c:v>
                      </c:pt>
                      <c:pt idx="18">
                        <c:v>948.35329285133048</c:v>
                      </c:pt>
                      <c:pt idx="19">
                        <c:v>931.0188756808119</c:v>
                      </c:pt>
                      <c:pt idx="20">
                        <c:v>927.46093836967157</c:v>
                      </c:pt>
                      <c:pt idx="21">
                        <c:v>876.73928550532503</c:v>
                      </c:pt>
                      <c:pt idx="22">
                        <c:v>723.52714528260617</c:v>
                      </c:pt>
                      <c:pt idx="23">
                        <c:v>564.54346267320614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4630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38560"/>
        <c:crosses val="autoZero"/>
        <c:auto val="1"/>
        <c:lblAlgn val="ctr"/>
        <c:lblOffset val="100"/>
        <c:noMultiLvlLbl val="0"/>
      </c:catAx>
      <c:valAx>
        <c:axId val="20713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3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Spring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'LOAD DATA and INPUT SEASONAL'!$A$70:$E$70</c:f>
              <c:strCache>
                <c:ptCount val="5"/>
                <c:pt idx="0">
                  <c:v>TOTAL LOAD</c:v>
                </c:pt>
                <c:pt idx="1">
                  <c:v>Mar, Apr, May</c:v>
                </c:pt>
                <c:pt idx="2">
                  <c:v>2014</c:v>
                </c:pt>
                <c:pt idx="3">
                  <c:v>2</c:v>
                </c:pt>
                <c:pt idx="4">
                  <c:v>SPRING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SEASONAL'!$F$70:$AC$70</c:f>
              <c:numCache>
                <c:formatCode>0.0</c:formatCode>
                <c:ptCount val="24"/>
                <c:pt idx="0">
                  <c:v>464.83357076381731</c:v>
                </c:pt>
                <c:pt idx="1">
                  <c:v>418.56904972267256</c:v>
                </c:pt>
                <c:pt idx="2">
                  <c:v>394.58237419962535</c:v>
                </c:pt>
                <c:pt idx="3">
                  <c:v>393.36738417683529</c:v>
                </c:pt>
                <c:pt idx="4">
                  <c:v>415.89481767665995</c:v>
                </c:pt>
                <c:pt idx="5">
                  <c:v>457.89624946666743</c:v>
                </c:pt>
                <c:pt idx="6">
                  <c:v>536.87578309663468</c:v>
                </c:pt>
                <c:pt idx="7">
                  <c:v>573.98072770195301</c:v>
                </c:pt>
                <c:pt idx="8">
                  <c:v>565.36703184575424</c:v>
                </c:pt>
                <c:pt idx="9">
                  <c:v>584.07466953629205</c:v>
                </c:pt>
                <c:pt idx="10">
                  <c:v>596.17827819870558</c:v>
                </c:pt>
                <c:pt idx="11">
                  <c:v>592.08038552500784</c:v>
                </c:pt>
                <c:pt idx="12">
                  <c:v>587.0660077763464</c:v>
                </c:pt>
                <c:pt idx="13">
                  <c:v>587.32835623100607</c:v>
                </c:pt>
                <c:pt idx="14">
                  <c:v>594.81084285011093</c:v>
                </c:pt>
                <c:pt idx="15">
                  <c:v>620.45716230326605</c:v>
                </c:pt>
                <c:pt idx="16">
                  <c:v>677.10697007031979</c:v>
                </c:pt>
                <c:pt idx="17">
                  <c:v>738.88529113325899</c:v>
                </c:pt>
                <c:pt idx="18">
                  <c:v>791.7978861234443</c:v>
                </c:pt>
                <c:pt idx="19">
                  <c:v>832.91691567445366</c:v>
                </c:pt>
                <c:pt idx="20">
                  <c:v>838.81589270307666</c:v>
                </c:pt>
                <c:pt idx="21">
                  <c:v>816.09234406781752</c:v>
                </c:pt>
                <c:pt idx="22">
                  <c:v>684.69628760755199</c:v>
                </c:pt>
                <c:pt idx="23">
                  <c:v>552.74398606631235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'LOAD DATA and INPUT SEASONAL'!$A$74:$E$74</c:f>
              <c:strCache>
                <c:ptCount val="5"/>
                <c:pt idx="0">
                  <c:v>PV GEN</c:v>
                </c:pt>
                <c:pt idx="1">
                  <c:v>Mar, Apr, May</c:v>
                </c:pt>
                <c:pt idx="4">
                  <c:v>spring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SEASONAL'!$F$74:$AC$74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8.3363830123710085E-4</c:v>
                </c:pt>
                <c:pt idx="6">
                  <c:v>0.21645707140876694</c:v>
                </c:pt>
                <c:pt idx="7">
                  <c:v>2.4068049361002721</c:v>
                </c:pt>
                <c:pt idx="8">
                  <c:v>5.3163867248228289</c:v>
                </c:pt>
                <c:pt idx="9">
                  <c:v>7.9866429714033096</c:v>
                </c:pt>
                <c:pt idx="10">
                  <c:v>9.2297566145430583</c:v>
                </c:pt>
                <c:pt idx="11">
                  <c:v>9.1757624987001005</c:v>
                </c:pt>
                <c:pt idx="12">
                  <c:v>9.0283668551964364</c:v>
                </c:pt>
                <c:pt idx="13">
                  <c:v>8.9169585539620044</c:v>
                </c:pt>
                <c:pt idx="14">
                  <c:v>8.7540294465796649</c:v>
                </c:pt>
                <c:pt idx="15">
                  <c:v>7.7545301068862846</c:v>
                </c:pt>
                <c:pt idx="16">
                  <c:v>5.1244586207828338</c:v>
                </c:pt>
                <c:pt idx="17">
                  <c:v>2.4996313132679226</c:v>
                </c:pt>
                <c:pt idx="18">
                  <c:v>0.25539054252959115</c:v>
                </c:pt>
                <c:pt idx="19">
                  <c:v>2.3439310016852262E-4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'LOAD DATA and INPUT SEASONAL'!$A$78:$E$78</c:f>
              <c:strCache>
                <c:ptCount val="5"/>
                <c:pt idx="0">
                  <c:v>NET</c:v>
                </c:pt>
                <c:pt idx="1">
                  <c:v>Mar, Apr, May</c:v>
                </c:pt>
                <c:pt idx="4">
                  <c:v>spring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'LOAD DATA and INPUT SEASONAL'!$F$78:$AC$78</c:f>
              <c:numCache>
                <c:formatCode>_(* #,##0.0_);_(* \(#,##0.0\);_(* "-"??_);_(@_)</c:formatCode>
                <c:ptCount val="24"/>
                <c:pt idx="0">
                  <c:v>464.83357076381731</c:v>
                </c:pt>
                <c:pt idx="1">
                  <c:v>418.56904972267256</c:v>
                </c:pt>
                <c:pt idx="2">
                  <c:v>394.58237419962535</c:v>
                </c:pt>
                <c:pt idx="3">
                  <c:v>393.36738417683529</c:v>
                </c:pt>
                <c:pt idx="4">
                  <c:v>415.89481767665995</c:v>
                </c:pt>
                <c:pt idx="5">
                  <c:v>457.8954158283662</c:v>
                </c:pt>
                <c:pt idx="6">
                  <c:v>536.65932602522594</c:v>
                </c:pt>
                <c:pt idx="7">
                  <c:v>571.57392276585279</c:v>
                </c:pt>
                <c:pt idx="8">
                  <c:v>560.05064512093145</c:v>
                </c:pt>
                <c:pt idx="9">
                  <c:v>576.08802656488876</c:v>
                </c:pt>
                <c:pt idx="10">
                  <c:v>586.94852158416256</c:v>
                </c:pt>
                <c:pt idx="11">
                  <c:v>582.90462302630772</c:v>
                </c:pt>
                <c:pt idx="12">
                  <c:v>578.03764092115</c:v>
                </c:pt>
                <c:pt idx="13">
                  <c:v>578.41139767704408</c:v>
                </c:pt>
                <c:pt idx="14">
                  <c:v>586.05681340353124</c:v>
                </c:pt>
                <c:pt idx="15">
                  <c:v>612.7026321963798</c:v>
                </c:pt>
                <c:pt idx="16">
                  <c:v>671.9825114495369</c:v>
                </c:pt>
                <c:pt idx="17">
                  <c:v>736.38565981999102</c:v>
                </c:pt>
                <c:pt idx="18">
                  <c:v>791.54249558091476</c:v>
                </c:pt>
                <c:pt idx="19">
                  <c:v>832.91668128135348</c:v>
                </c:pt>
                <c:pt idx="20">
                  <c:v>838.81589270307666</c:v>
                </c:pt>
                <c:pt idx="21">
                  <c:v>816.09234406781752</c:v>
                </c:pt>
                <c:pt idx="22">
                  <c:v>684.69628760755199</c:v>
                </c:pt>
                <c:pt idx="23">
                  <c:v>552.74398606631235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39344"/>
        <c:axId val="2071397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'LOAD DATA and INPUT SEASONAL'!$A$69:$E$69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Dec, Jan, Feb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'LOAD DATA and INPUT SEASONAL'!$F$69:$AC$69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589.78759365843371</c:v>
                      </c:pt>
                      <c:pt idx="1">
                        <c:v>537.68631752786052</c:v>
                      </c:pt>
                      <c:pt idx="2">
                        <c:v>509.14001320348586</c:v>
                      </c:pt>
                      <c:pt idx="3">
                        <c:v>500.57113116707774</c:v>
                      </c:pt>
                      <c:pt idx="4">
                        <c:v>515.05007559171747</c:v>
                      </c:pt>
                      <c:pt idx="5">
                        <c:v>560.14451991954741</c:v>
                      </c:pt>
                      <c:pt idx="6">
                        <c:v>656.05974846953302</c:v>
                      </c:pt>
                      <c:pt idx="7">
                        <c:v>728.49776233560931</c:v>
                      </c:pt>
                      <c:pt idx="8">
                        <c:v>701.76700570468756</c:v>
                      </c:pt>
                      <c:pt idx="9">
                        <c:v>704.95286107884601</c:v>
                      </c:pt>
                      <c:pt idx="10">
                        <c:v>719.7309565673138</c:v>
                      </c:pt>
                      <c:pt idx="11">
                        <c:v>721.47956697120492</c:v>
                      </c:pt>
                      <c:pt idx="12">
                        <c:v>717.67672022068075</c:v>
                      </c:pt>
                      <c:pt idx="13">
                        <c:v>702.59388987142256</c:v>
                      </c:pt>
                      <c:pt idx="14">
                        <c:v>701.31818559373835</c:v>
                      </c:pt>
                      <c:pt idx="15">
                        <c:v>729.22240869714926</c:v>
                      </c:pt>
                      <c:pt idx="16">
                        <c:v>798.09935080378318</c:v>
                      </c:pt>
                      <c:pt idx="17">
                        <c:v>952.10207228787942</c:v>
                      </c:pt>
                      <c:pt idx="18">
                        <c:v>1058.6489321300567</c:v>
                      </c:pt>
                      <c:pt idx="19">
                        <c:v>1061.0928526845939</c:v>
                      </c:pt>
                      <c:pt idx="20">
                        <c:v>1051.6140648828566</c:v>
                      </c:pt>
                      <c:pt idx="21">
                        <c:v>1008.8443957380443</c:v>
                      </c:pt>
                      <c:pt idx="22">
                        <c:v>855.18229597434618</c:v>
                      </c:pt>
                      <c:pt idx="23">
                        <c:v>683.50219913370768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SEASONAL'!$A$71:$E$71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June, July, Aug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SEASONAL'!$F$71:$AC$71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660.98347594421909</c:v>
                      </c:pt>
                      <c:pt idx="1">
                        <c:v>547.34796648871418</c:v>
                      </c:pt>
                      <c:pt idx="2">
                        <c:v>489.77389462436429</c:v>
                      </c:pt>
                      <c:pt idx="3">
                        <c:v>464.46107169131494</c:v>
                      </c:pt>
                      <c:pt idx="4">
                        <c:v>454.13926189188766</c:v>
                      </c:pt>
                      <c:pt idx="5">
                        <c:v>436.98591501901836</c:v>
                      </c:pt>
                      <c:pt idx="6">
                        <c:v>462.38415824037321</c:v>
                      </c:pt>
                      <c:pt idx="7">
                        <c:v>531.53016245336164</c:v>
                      </c:pt>
                      <c:pt idx="8">
                        <c:v>608.19926660830504</c:v>
                      </c:pt>
                      <c:pt idx="9">
                        <c:v>675.2625136825435</c:v>
                      </c:pt>
                      <c:pt idx="10">
                        <c:v>775.20702842417859</c:v>
                      </c:pt>
                      <c:pt idx="11">
                        <c:v>868.52171500565373</c:v>
                      </c:pt>
                      <c:pt idx="12">
                        <c:v>968.59078275493459</c:v>
                      </c:pt>
                      <c:pt idx="13">
                        <c:v>1061.4543781659299</c:v>
                      </c:pt>
                      <c:pt idx="14">
                        <c:v>1162.0033247725012</c:v>
                      </c:pt>
                      <c:pt idx="15">
                        <c:v>1254.6307374657256</c:v>
                      </c:pt>
                      <c:pt idx="16">
                        <c:v>1372.2117944188599</c:v>
                      </c:pt>
                      <c:pt idx="17">
                        <c:v>1451.8243718092522</c:v>
                      </c:pt>
                      <c:pt idx="18">
                        <c:v>1468.9189601211992</c:v>
                      </c:pt>
                      <c:pt idx="19">
                        <c:v>1409.2906238011328</c:v>
                      </c:pt>
                      <c:pt idx="20">
                        <c:v>1304.290924100454</c:v>
                      </c:pt>
                      <c:pt idx="21">
                        <c:v>1254.4358866408315</c:v>
                      </c:pt>
                      <c:pt idx="22">
                        <c:v>1092.0362657027383</c:v>
                      </c:pt>
                      <c:pt idx="23">
                        <c:v>835.38891862325045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SEASONAL'!$A$72:$E$72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Sep, Oct, Nov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SEASONAL'!$F$72:$AC$72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471.45161526604426</c:v>
                      </c:pt>
                      <c:pt idx="1">
                        <c:v>417.75714468254699</c:v>
                      </c:pt>
                      <c:pt idx="2">
                        <c:v>393.55209634901047</c:v>
                      </c:pt>
                      <c:pt idx="3">
                        <c:v>383.7976716439033</c:v>
                      </c:pt>
                      <c:pt idx="4">
                        <c:v>397.75577385102321</c:v>
                      </c:pt>
                      <c:pt idx="5">
                        <c:v>426.59781139180069</c:v>
                      </c:pt>
                      <c:pt idx="6">
                        <c:v>508.19582920052693</c:v>
                      </c:pt>
                      <c:pt idx="7">
                        <c:v>556.56401813209857</c:v>
                      </c:pt>
                      <c:pt idx="8">
                        <c:v>558.21551015787395</c:v>
                      </c:pt>
                      <c:pt idx="9">
                        <c:v>589.01451324227003</c:v>
                      </c:pt>
                      <c:pt idx="10">
                        <c:v>597.47748602109493</c:v>
                      </c:pt>
                      <c:pt idx="11">
                        <c:v>627.45348485069462</c:v>
                      </c:pt>
                      <c:pt idx="12">
                        <c:v>639.667659525511</c:v>
                      </c:pt>
                      <c:pt idx="13">
                        <c:v>657.74633555012042</c:v>
                      </c:pt>
                      <c:pt idx="14">
                        <c:v>698.66498812569444</c:v>
                      </c:pt>
                      <c:pt idx="15">
                        <c:v>739.37194547661363</c:v>
                      </c:pt>
                      <c:pt idx="16">
                        <c:v>812.25311583056452</c:v>
                      </c:pt>
                      <c:pt idx="17">
                        <c:v>902.85815321385223</c:v>
                      </c:pt>
                      <c:pt idx="18">
                        <c:v>948.35444720618568</c:v>
                      </c:pt>
                      <c:pt idx="19">
                        <c:v>931.0188756808119</c:v>
                      </c:pt>
                      <c:pt idx="20">
                        <c:v>927.46093836967157</c:v>
                      </c:pt>
                      <c:pt idx="21">
                        <c:v>876.73928550532503</c:v>
                      </c:pt>
                      <c:pt idx="22">
                        <c:v>723.52714528260617</c:v>
                      </c:pt>
                      <c:pt idx="23">
                        <c:v>564.54346267320614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SEASONAL'!$A$73:$E$73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Dec, Jan, Feb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SEASONAL'!$F$73:$AC$73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4.9571720877644637E-2</c:v>
                      </c:pt>
                      <c:pt idx="8">
                        <c:v>2.2094474623727622</c:v>
                      </c:pt>
                      <c:pt idx="9">
                        <c:v>4.6466431212208859</c:v>
                      </c:pt>
                      <c:pt idx="10">
                        <c:v>5.9576891422707856</c:v>
                      </c:pt>
                      <c:pt idx="11">
                        <c:v>7.0184920784757345</c:v>
                      </c:pt>
                      <c:pt idx="12">
                        <c:v>6.8774270805898192</c:v>
                      </c:pt>
                      <c:pt idx="13">
                        <c:v>6.9493353763600307</c:v>
                      </c:pt>
                      <c:pt idx="14">
                        <c:v>6.4570187860688719</c:v>
                      </c:pt>
                      <c:pt idx="15">
                        <c:v>5.0841858807763582</c:v>
                      </c:pt>
                      <c:pt idx="16">
                        <c:v>2.9508306328867704</c:v>
                      </c:pt>
                      <c:pt idx="17">
                        <c:v>0.53488576261063636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SEASONAL'!$A$75:$E$75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June, July, Aug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SEASONAL'!$F$75:$AC$75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7.5784489152263294E-3</c:v>
                      </c:pt>
                      <c:pt idx="6">
                        <c:v>0.33234081259831266</c:v>
                      </c:pt>
                      <c:pt idx="7">
                        <c:v>2.7788402136228809</c:v>
                      </c:pt>
                      <c:pt idx="8">
                        <c:v>5.665649018819976</c:v>
                      </c:pt>
                      <c:pt idx="9">
                        <c:v>8.1317223440272333</c:v>
                      </c:pt>
                      <c:pt idx="10">
                        <c:v>9.6068613782008612</c:v>
                      </c:pt>
                      <c:pt idx="11">
                        <c:v>9.9082116885166425</c:v>
                      </c:pt>
                      <c:pt idx="12">
                        <c:v>9.5566907194283459</c:v>
                      </c:pt>
                      <c:pt idx="13">
                        <c:v>9.0236174181898363</c:v>
                      </c:pt>
                      <c:pt idx="14">
                        <c:v>8.6479403719427701</c:v>
                      </c:pt>
                      <c:pt idx="15">
                        <c:v>7.0683442430826391</c:v>
                      </c:pt>
                      <c:pt idx="16">
                        <c:v>5.2013128860261695</c:v>
                      </c:pt>
                      <c:pt idx="17">
                        <c:v>2.8451310471324907</c:v>
                      </c:pt>
                      <c:pt idx="18">
                        <c:v>0.69480946001690314</c:v>
                      </c:pt>
                      <c:pt idx="19">
                        <c:v>5.4056453332172469E-3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SEASONAL'!$A$76:$E$76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Sep, Oct, Nov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SEASONAL'!$F$76:$AC$76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4.7884166462835798E-3</c:v>
                      </c:pt>
                      <c:pt idx="7">
                        <c:v>1.640492828024986</c:v>
                      </c:pt>
                      <c:pt idx="8">
                        <c:v>4.8785749375914307</c:v>
                      </c:pt>
                      <c:pt idx="9">
                        <c:v>7.348402160482423</c:v>
                      </c:pt>
                      <c:pt idx="10">
                        <c:v>8.8677022103897922</c:v>
                      </c:pt>
                      <c:pt idx="11">
                        <c:v>8.9569596806734531</c:v>
                      </c:pt>
                      <c:pt idx="12">
                        <c:v>8.8167665383856484</c:v>
                      </c:pt>
                      <c:pt idx="13">
                        <c:v>8.9607100919846285</c:v>
                      </c:pt>
                      <c:pt idx="14">
                        <c:v>8.3902860129747339</c:v>
                      </c:pt>
                      <c:pt idx="15">
                        <c:v>5.9379831134515921</c:v>
                      </c:pt>
                      <c:pt idx="16">
                        <c:v>3.3463348776397943</c:v>
                      </c:pt>
                      <c:pt idx="17">
                        <c:v>0.76475534910749876</c:v>
                      </c:pt>
                      <c:pt idx="18">
                        <c:v>1.1543548552097613E-3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SEASONAL'!$A$77:$E$77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Dec, Jan, Feb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SEASONAL'!$F$77:$AC$77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589.78759365843371</c:v>
                      </c:pt>
                      <c:pt idx="1">
                        <c:v>537.68631752786052</c:v>
                      </c:pt>
                      <c:pt idx="2">
                        <c:v>509.14001320348586</c:v>
                      </c:pt>
                      <c:pt idx="3">
                        <c:v>500.57113116707774</c:v>
                      </c:pt>
                      <c:pt idx="4">
                        <c:v>515.05007559171747</c:v>
                      </c:pt>
                      <c:pt idx="5">
                        <c:v>560.14451991954741</c:v>
                      </c:pt>
                      <c:pt idx="6">
                        <c:v>656.05974846953302</c:v>
                      </c:pt>
                      <c:pt idx="7">
                        <c:v>728.44819061473163</c:v>
                      </c:pt>
                      <c:pt idx="8">
                        <c:v>699.55755824231483</c:v>
                      </c:pt>
                      <c:pt idx="9">
                        <c:v>700.30621795762511</c:v>
                      </c:pt>
                      <c:pt idx="10">
                        <c:v>713.77326742504306</c:v>
                      </c:pt>
                      <c:pt idx="11">
                        <c:v>714.46107489272913</c:v>
                      </c:pt>
                      <c:pt idx="12">
                        <c:v>710.79929314009098</c:v>
                      </c:pt>
                      <c:pt idx="13">
                        <c:v>695.64455449506249</c:v>
                      </c:pt>
                      <c:pt idx="14">
                        <c:v>694.86116680766952</c:v>
                      </c:pt>
                      <c:pt idx="15">
                        <c:v>724.13822281637295</c:v>
                      </c:pt>
                      <c:pt idx="16">
                        <c:v>795.1485201708964</c:v>
                      </c:pt>
                      <c:pt idx="17">
                        <c:v>951.56718652526877</c:v>
                      </c:pt>
                      <c:pt idx="18">
                        <c:v>1058.6489321300567</c:v>
                      </c:pt>
                      <c:pt idx="19">
                        <c:v>1061.0928526845939</c:v>
                      </c:pt>
                      <c:pt idx="20">
                        <c:v>1051.6140648828566</c:v>
                      </c:pt>
                      <c:pt idx="21">
                        <c:v>1008.8443957380443</c:v>
                      </c:pt>
                      <c:pt idx="22">
                        <c:v>855.18229597434618</c:v>
                      </c:pt>
                      <c:pt idx="23">
                        <c:v>683.50219913370768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SEASONAL'!$A$79:$E$79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June, July, Aug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SEASONAL'!$F$79:$AC$79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660.98347594421909</c:v>
                      </c:pt>
                      <c:pt idx="1">
                        <c:v>547.34796648871418</c:v>
                      </c:pt>
                      <c:pt idx="2">
                        <c:v>489.77389462436429</c:v>
                      </c:pt>
                      <c:pt idx="3">
                        <c:v>464.46107169131494</c:v>
                      </c:pt>
                      <c:pt idx="4">
                        <c:v>454.13926189188766</c:v>
                      </c:pt>
                      <c:pt idx="5">
                        <c:v>436.97833657010312</c:v>
                      </c:pt>
                      <c:pt idx="6">
                        <c:v>462.05181742777489</c:v>
                      </c:pt>
                      <c:pt idx="7">
                        <c:v>528.75132223973878</c:v>
                      </c:pt>
                      <c:pt idx="8">
                        <c:v>602.53361758948506</c:v>
                      </c:pt>
                      <c:pt idx="9">
                        <c:v>667.13079133851625</c:v>
                      </c:pt>
                      <c:pt idx="10">
                        <c:v>765.60016704597774</c:v>
                      </c:pt>
                      <c:pt idx="11">
                        <c:v>858.61350331713709</c:v>
                      </c:pt>
                      <c:pt idx="12">
                        <c:v>959.03409203550621</c:v>
                      </c:pt>
                      <c:pt idx="13">
                        <c:v>1052.4307607477401</c:v>
                      </c:pt>
                      <c:pt idx="14">
                        <c:v>1153.3553844005585</c:v>
                      </c:pt>
                      <c:pt idx="15">
                        <c:v>1247.5623932226429</c:v>
                      </c:pt>
                      <c:pt idx="16">
                        <c:v>1367.0104815328336</c:v>
                      </c:pt>
                      <c:pt idx="17">
                        <c:v>1448.9792407621196</c:v>
                      </c:pt>
                      <c:pt idx="18">
                        <c:v>1468.2241506611824</c:v>
                      </c:pt>
                      <c:pt idx="19">
                        <c:v>1409.2852181557996</c:v>
                      </c:pt>
                      <c:pt idx="20">
                        <c:v>1304.290924100454</c:v>
                      </c:pt>
                      <c:pt idx="21">
                        <c:v>1254.4358866408315</c:v>
                      </c:pt>
                      <c:pt idx="22">
                        <c:v>1092.0362657027383</c:v>
                      </c:pt>
                      <c:pt idx="23">
                        <c:v>835.38891862325045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SEASONAL'!$A$80:$E$80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Sep, Oct, Nov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SEASONAL'!$F$80:$AC$80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471.45161526604426</c:v>
                      </c:pt>
                      <c:pt idx="1">
                        <c:v>417.75714468254699</c:v>
                      </c:pt>
                      <c:pt idx="2">
                        <c:v>393.55209634901047</c:v>
                      </c:pt>
                      <c:pt idx="3">
                        <c:v>383.7976716439033</c:v>
                      </c:pt>
                      <c:pt idx="4">
                        <c:v>397.75577385102321</c:v>
                      </c:pt>
                      <c:pt idx="5">
                        <c:v>426.59781139180069</c:v>
                      </c:pt>
                      <c:pt idx="6">
                        <c:v>508.19104078388062</c:v>
                      </c:pt>
                      <c:pt idx="7">
                        <c:v>554.92352530407356</c:v>
                      </c:pt>
                      <c:pt idx="8">
                        <c:v>553.3369352202825</c:v>
                      </c:pt>
                      <c:pt idx="9">
                        <c:v>581.66611108178756</c:v>
                      </c:pt>
                      <c:pt idx="10">
                        <c:v>588.60978381070515</c:v>
                      </c:pt>
                      <c:pt idx="11">
                        <c:v>618.49652517002119</c:v>
                      </c:pt>
                      <c:pt idx="12">
                        <c:v>630.85089298712535</c:v>
                      </c:pt>
                      <c:pt idx="13">
                        <c:v>648.78562545813577</c:v>
                      </c:pt>
                      <c:pt idx="14">
                        <c:v>690.27470211271975</c:v>
                      </c:pt>
                      <c:pt idx="15">
                        <c:v>733.4339623631621</c:v>
                      </c:pt>
                      <c:pt idx="16">
                        <c:v>808.90678095292469</c:v>
                      </c:pt>
                      <c:pt idx="17">
                        <c:v>902.0933978647447</c:v>
                      </c:pt>
                      <c:pt idx="18">
                        <c:v>948.35329285133048</c:v>
                      </c:pt>
                      <c:pt idx="19">
                        <c:v>931.0188756808119</c:v>
                      </c:pt>
                      <c:pt idx="20">
                        <c:v>927.46093836967157</c:v>
                      </c:pt>
                      <c:pt idx="21">
                        <c:v>876.73928550532503</c:v>
                      </c:pt>
                      <c:pt idx="22">
                        <c:v>723.52714528260617</c:v>
                      </c:pt>
                      <c:pt idx="23">
                        <c:v>564.54346267320614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7139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39736"/>
        <c:crosses val="autoZero"/>
        <c:auto val="1"/>
        <c:lblAlgn val="ctr"/>
        <c:lblOffset val="100"/>
        <c:noMultiLvlLbl val="0"/>
      </c:catAx>
      <c:valAx>
        <c:axId val="207139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3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Summer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'LOAD DATA and INPUT SEASONAL'!$A$71:$E$71</c:f>
              <c:strCache>
                <c:ptCount val="5"/>
                <c:pt idx="0">
                  <c:v>TOTAL LOAD</c:v>
                </c:pt>
                <c:pt idx="1">
                  <c:v>June, July, Aug</c:v>
                </c:pt>
                <c:pt idx="2">
                  <c:v>2014</c:v>
                </c:pt>
                <c:pt idx="3">
                  <c:v>2</c:v>
                </c:pt>
                <c:pt idx="4">
                  <c:v>SUMMER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SEASONAL'!$F$71:$AC$71</c:f>
              <c:numCache>
                <c:formatCode>0.0</c:formatCode>
                <c:ptCount val="24"/>
                <c:pt idx="0">
                  <c:v>660.98347594421909</c:v>
                </c:pt>
                <c:pt idx="1">
                  <c:v>547.34796648871418</c:v>
                </c:pt>
                <c:pt idx="2">
                  <c:v>489.77389462436429</c:v>
                </c:pt>
                <c:pt idx="3">
                  <c:v>464.46107169131494</c:v>
                </c:pt>
                <c:pt idx="4">
                  <c:v>454.13926189188766</c:v>
                </c:pt>
                <c:pt idx="5">
                  <c:v>436.98591501901836</c:v>
                </c:pt>
                <c:pt idx="6">
                  <c:v>462.38415824037321</c:v>
                </c:pt>
                <c:pt idx="7">
                  <c:v>531.53016245336164</c:v>
                </c:pt>
                <c:pt idx="8">
                  <c:v>608.19926660830504</c:v>
                </c:pt>
                <c:pt idx="9">
                  <c:v>675.2625136825435</c:v>
                </c:pt>
                <c:pt idx="10">
                  <c:v>775.20702842417859</c:v>
                </c:pt>
                <c:pt idx="11">
                  <c:v>868.52171500565373</c:v>
                </c:pt>
                <c:pt idx="12">
                  <c:v>968.59078275493459</c:v>
                </c:pt>
                <c:pt idx="13">
                  <c:v>1061.4543781659299</c:v>
                </c:pt>
                <c:pt idx="14">
                  <c:v>1162.0033247725012</c:v>
                </c:pt>
                <c:pt idx="15">
                  <c:v>1254.6307374657256</c:v>
                </c:pt>
                <c:pt idx="16">
                  <c:v>1372.2117944188599</c:v>
                </c:pt>
                <c:pt idx="17">
                  <c:v>1451.8243718092522</c:v>
                </c:pt>
                <c:pt idx="18">
                  <c:v>1468.9189601211992</c:v>
                </c:pt>
                <c:pt idx="19">
                  <c:v>1409.2906238011328</c:v>
                </c:pt>
                <c:pt idx="20">
                  <c:v>1304.290924100454</c:v>
                </c:pt>
                <c:pt idx="21">
                  <c:v>1254.4358866408315</c:v>
                </c:pt>
                <c:pt idx="22">
                  <c:v>1092.0362657027383</c:v>
                </c:pt>
                <c:pt idx="23">
                  <c:v>835.38891862325045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'LOAD DATA and INPUT SEASONAL'!$A$75:$E$75</c:f>
              <c:strCache>
                <c:ptCount val="5"/>
                <c:pt idx="0">
                  <c:v>PV GEN</c:v>
                </c:pt>
                <c:pt idx="1">
                  <c:v>June, July, Aug</c:v>
                </c:pt>
                <c:pt idx="4">
                  <c:v>summer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SEASONAL'!$F$75:$AC$75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7.5784489152263294E-3</c:v>
                </c:pt>
                <c:pt idx="6">
                  <c:v>0.33234081259831266</c:v>
                </c:pt>
                <c:pt idx="7">
                  <c:v>2.7788402136228809</c:v>
                </c:pt>
                <c:pt idx="8">
                  <c:v>5.665649018819976</c:v>
                </c:pt>
                <c:pt idx="9">
                  <c:v>8.1317223440272333</c:v>
                </c:pt>
                <c:pt idx="10">
                  <c:v>9.6068613782008612</c:v>
                </c:pt>
                <c:pt idx="11">
                  <c:v>9.9082116885166425</c:v>
                </c:pt>
                <c:pt idx="12">
                  <c:v>9.5566907194283459</c:v>
                </c:pt>
                <c:pt idx="13">
                  <c:v>9.0236174181898363</c:v>
                </c:pt>
                <c:pt idx="14">
                  <c:v>8.6479403719427701</c:v>
                </c:pt>
                <c:pt idx="15">
                  <c:v>7.0683442430826391</c:v>
                </c:pt>
                <c:pt idx="16">
                  <c:v>5.2013128860261695</c:v>
                </c:pt>
                <c:pt idx="17">
                  <c:v>2.8451310471324907</c:v>
                </c:pt>
                <c:pt idx="18">
                  <c:v>0.69480946001690314</c:v>
                </c:pt>
                <c:pt idx="19">
                  <c:v>5.4056453332172469E-3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'LOAD DATA and INPUT SEASONAL'!$A$79:$E$79</c:f>
              <c:strCache>
                <c:ptCount val="5"/>
                <c:pt idx="0">
                  <c:v>NET</c:v>
                </c:pt>
                <c:pt idx="1">
                  <c:v>June, July, Aug</c:v>
                </c:pt>
                <c:pt idx="4">
                  <c:v>summer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'LOAD DATA and INPUT SEASONAL'!$F$79:$AC$79</c:f>
              <c:numCache>
                <c:formatCode>_(* #,##0.0_);_(* \(#,##0.0\);_(* "-"??_);_(@_)</c:formatCode>
                <c:ptCount val="24"/>
                <c:pt idx="0">
                  <c:v>660.98347594421909</c:v>
                </c:pt>
                <c:pt idx="1">
                  <c:v>547.34796648871418</c:v>
                </c:pt>
                <c:pt idx="2">
                  <c:v>489.77389462436429</c:v>
                </c:pt>
                <c:pt idx="3">
                  <c:v>464.46107169131494</c:v>
                </c:pt>
                <c:pt idx="4">
                  <c:v>454.13926189188766</c:v>
                </c:pt>
                <c:pt idx="5">
                  <c:v>436.97833657010312</c:v>
                </c:pt>
                <c:pt idx="6">
                  <c:v>462.05181742777489</c:v>
                </c:pt>
                <c:pt idx="7">
                  <c:v>528.75132223973878</c:v>
                </c:pt>
                <c:pt idx="8">
                  <c:v>602.53361758948506</c:v>
                </c:pt>
                <c:pt idx="9">
                  <c:v>667.13079133851625</c:v>
                </c:pt>
                <c:pt idx="10">
                  <c:v>765.60016704597774</c:v>
                </c:pt>
                <c:pt idx="11">
                  <c:v>858.61350331713709</c:v>
                </c:pt>
                <c:pt idx="12">
                  <c:v>959.03409203550621</c:v>
                </c:pt>
                <c:pt idx="13">
                  <c:v>1052.4307607477401</c:v>
                </c:pt>
                <c:pt idx="14">
                  <c:v>1153.3553844005585</c:v>
                </c:pt>
                <c:pt idx="15">
                  <c:v>1247.5623932226429</c:v>
                </c:pt>
                <c:pt idx="16">
                  <c:v>1367.0104815328336</c:v>
                </c:pt>
                <c:pt idx="17">
                  <c:v>1448.9792407621196</c:v>
                </c:pt>
                <c:pt idx="18">
                  <c:v>1468.2241506611824</c:v>
                </c:pt>
                <c:pt idx="19">
                  <c:v>1409.2852181557996</c:v>
                </c:pt>
                <c:pt idx="20">
                  <c:v>1304.290924100454</c:v>
                </c:pt>
                <c:pt idx="21">
                  <c:v>1254.4358866408315</c:v>
                </c:pt>
                <c:pt idx="22">
                  <c:v>1092.0362657027383</c:v>
                </c:pt>
                <c:pt idx="23">
                  <c:v>835.38891862325045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44832"/>
        <c:axId val="20714522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'LOAD DATA and INPUT SEASONAL'!$A$69:$E$69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Dec, Jan, Feb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'LOAD DATA and INPUT SEASONAL'!$F$69:$AC$69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589.78759365843371</c:v>
                      </c:pt>
                      <c:pt idx="1">
                        <c:v>537.68631752786052</c:v>
                      </c:pt>
                      <c:pt idx="2">
                        <c:v>509.14001320348586</c:v>
                      </c:pt>
                      <c:pt idx="3">
                        <c:v>500.57113116707774</c:v>
                      </c:pt>
                      <c:pt idx="4">
                        <c:v>515.05007559171747</c:v>
                      </c:pt>
                      <c:pt idx="5">
                        <c:v>560.14451991954741</c:v>
                      </c:pt>
                      <c:pt idx="6">
                        <c:v>656.05974846953302</c:v>
                      </c:pt>
                      <c:pt idx="7">
                        <c:v>728.49776233560931</c:v>
                      </c:pt>
                      <c:pt idx="8">
                        <c:v>701.76700570468756</c:v>
                      </c:pt>
                      <c:pt idx="9">
                        <c:v>704.95286107884601</c:v>
                      </c:pt>
                      <c:pt idx="10">
                        <c:v>719.7309565673138</c:v>
                      </c:pt>
                      <c:pt idx="11">
                        <c:v>721.47956697120492</c:v>
                      </c:pt>
                      <c:pt idx="12">
                        <c:v>717.67672022068075</c:v>
                      </c:pt>
                      <c:pt idx="13">
                        <c:v>702.59388987142256</c:v>
                      </c:pt>
                      <c:pt idx="14">
                        <c:v>701.31818559373835</c:v>
                      </c:pt>
                      <c:pt idx="15">
                        <c:v>729.22240869714926</c:v>
                      </c:pt>
                      <c:pt idx="16">
                        <c:v>798.09935080378318</c:v>
                      </c:pt>
                      <c:pt idx="17">
                        <c:v>952.10207228787942</c:v>
                      </c:pt>
                      <c:pt idx="18">
                        <c:v>1058.6489321300567</c:v>
                      </c:pt>
                      <c:pt idx="19">
                        <c:v>1061.0928526845939</c:v>
                      </c:pt>
                      <c:pt idx="20">
                        <c:v>1051.6140648828566</c:v>
                      </c:pt>
                      <c:pt idx="21">
                        <c:v>1008.8443957380443</c:v>
                      </c:pt>
                      <c:pt idx="22">
                        <c:v>855.18229597434618</c:v>
                      </c:pt>
                      <c:pt idx="23">
                        <c:v>683.50219913370768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SEASONAL'!$A$70:$E$70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Mar, Apr, May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SEASONAL'!$F$70:$AC$70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464.83357076381731</c:v>
                      </c:pt>
                      <c:pt idx="1">
                        <c:v>418.56904972267256</c:v>
                      </c:pt>
                      <c:pt idx="2">
                        <c:v>394.58237419962535</c:v>
                      </c:pt>
                      <c:pt idx="3">
                        <c:v>393.36738417683529</c:v>
                      </c:pt>
                      <c:pt idx="4">
                        <c:v>415.89481767665995</c:v>
                      </c:pt>
                      <c:pt idx="5">
                        <c:v>457.89624946666743</c:v>
                      </c:pt>
                      <c:pt idx="6">
                        <c:v>536.87578309663468</c:v>
                      </c:pt>
                      <c:pt idx="7">
                        <c:v>573.98072770195301</c:v>
                      </c:pt>
                      <c:pt idx="8">
                        <c:v>565.36703184575424</c:v>
                      </c:pt>
                      <c:pt idx="9">
                        <c:v>584.07466953629205</c:v>
                      </c:pt>
                      <c:pt idx="10">
                        <c:v>596.17827819870558</c:v>
                      </c:pt>
                      <c:pt idx="11">
                        <c:v>592.08038552500784</c:v>
                      </c:pt>
                      <c:pt idx="12">
                        <c:v>587.0660077763464</c:v>
                      </c:pt>
                      <c:pt idx="13">
                        <c:v>587.32835623100607</c:v>
                      </c:pt>
                      <c:pt idx="14">
                        <c:v>594.81084285011093</c:v>
                      </c:pt>
                      <c:pt idx="15">
                        <c:v>620.45716230326605</c:v>
                      </c:pt>
                      <c:pt idx="16">
                        <c:v>677.10697007031979</c:v>
                      </c:pt>
                      <c:pt idx="17">
                        <c:v>738.88529113325899</c:v>
                      </c:pt>
                      <c:pt idx="18">
                        <c:v>791.7978861234443</c:v>
                      </c:pt>
                      <c:pt idx="19">
                        <c:v>832.91691567445366</c:v>
                      </c:pt>
                      <c:pt idx="20">
                        <c:v>838.81589270307666</c:v>
                      </c:pt>
                      <c:pt idx="21">
                        <c:v>816.09234406781752</c:v>
                      </c:pt>
                      <c:pt idx="22">
                        <c:v>684.69628760755199</c:v>
                      </c:pt>
                      <c:pt idx="23">
                        <c:v>552.74398606631235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SEASONAL'!$A$72:$E$72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Sep, Oct, Nov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SEASONAL'!$F$72:$AC$72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471.45161526604426</c:v>
                      </c:pt>
                      <c:pt idx="1">
                        <c:v>417.75714468254699</c:v>
                      </c:pt>
                      <c:pt idx="2">
                        <c:v>393.55209634901047</c:v>
                      </c:pt>
                      <c:pt idx="3">
                        <c:v>383.7976716439033</c:v>
                      </c:pt>
                      <c:pt idx="4">
                        <c:v>397.75577385102321</c:v>
                      </c:pt>
                      <c:pt idx="5">
                        <c:v>426.59781139180069</c:v>
                      </c:pt>
                      <c:pt idx="6">
                        <c:v>508.19582920052693</c:v>
                      </c:pt>
                      <c:pt idx="7">
                        <c:v>556.56401813209857</c:v>
                      </c:pt>
                      <c:pt idx="8">
                        <c:v>558.21551015787395</c:v>
                      </c:pt>
                      <c:pt idx="9">
                        <c:v>589.01451324227003</c:v>
                      </c:pt>
                      <c:pt idx="10">
                        <c:v>597.47748602109493</c:v>
                      </c:pt>
                      <c:pt idx="11">
                        <c:v>627.45348485069462</c:v>
                      </c:pt>
                      <c:pt idx="12">
                        <c:v>639.667659525511</c:v>
                      </c:pt>
                      <c:pt idx="13">
                        <c:v>657.74633555012042</c:v>
                      </c:pt>
                      <c:pt idx="14">
                        <c:v>698.66498812569444</c:v>
                      </c:pt>
                      <c:pt idx="15">
                        <c:v>739.37194547661363</c:v>
                      </c:pt>
                      <c:pt idx="16">
                        <c:v>812.25311583056452</c:v>
                      </c:pt>
                      <c:pt idx="17">
                        <c:v>902.85815321385223</c:v>
                      </c:pt>
                      <c:pt idx="18">
                        <c:v>948.35444720618568</c:v>
                      </c:pt>
                      <c:pt idx="19">
                        <c:v>931.0188756808119</c:v>
                      </c:pt>
                      <c:pt idx="20">
                        <c:v>927.46093836967157</c:v>
                      </c:pt>
                      <c:pt idx="21">
                        <c:v>876.73928550532503</c:v>
                      </c:pt>
                      <c:pt idx="22">
                        <c:v>723.52714528260617</c:v>
                      </c:pt>
                      <c:pt idx="23">
                        <c:v>564.54346267320614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SEASONAL'!$A$73:$E$73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Dec, Jan, Feb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SEASONAL'!$F$73:$AC$73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4.9571720877644637E-2</c:v>
                      </c:pt>
                      <c:pt idx="8">
                        <c:v>2.2094474623727622</c:v>
                      </c:pt>
                      <c:pt idx="9">
                        <c:v>4.6466431212208859</c:v>
                      </c:pt>
                      <c:pt idx="10">
                        <c:v>5.9576891422707856</c:v>
                      </c:pt>
                      <c:pt idx="11">
                        <c:v>7.0184920784757345</c:v>
                      </c:pt>
                      <c:pt idx="12">
                        <c:v>6.8774270805898192</c:v>
                      </c:pt>
                      <c:pt idx="13">
                        <c:v>6.9493353763600307</c:v>
                      </c:pt>
                      <c:pt idx="14">
                        <c:v>6.4570187860688719</c:v>
                      </c:pt>
                      <c:pt idx="15">
                        <c:v>5.0841858807763582</c:v>
                      </c:pt>
                      <c:pt idx="16">
                        <c:v>2.9508306328867704</c:v>
                      </c:pt>
                      <c:pt idx="17">
                        <c:v>0.53488576261063636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SEASONAL'!$A$74:$E$74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Mar, Apr, May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SEASONAL'!$F$74:$AC$74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8.3363830123710085E-4</c:v>
                      </c:pt>
                      <c:pt idx="6">
                        <c:v>0.21645707140876694</c:v>
                      </c:pt>
                      <c:pt idx="7">
                        <c:v>2.4068049361002721</c:v>
                      </c:pt>
                      <c:pt idx="8">
                        <c:v>5.3163867248228289</c:v>
                      </c:pt>
                      <c:pt idx="9">
                        <c:v>7.9866429714033096</c:v>
                      </c:pt>
                      <c:pt idx="10">
                        <c:v>9.2297566145430583</c:v>
                      </c:pt>
                      <c:pt idx="11">
                        <c:v>9.1757624987001005</c:v>
                      </c:pt>
                      <c:pt idx="12">
                        <c:v>9.0283668551964364</c:v>
                      </c:pt>
                      <c:pt idx="13">
                        <c:v>8.9169585539620044</c:v>
                      </c:pt>
                      <c:pt idx="14">
                        <c:v>8.7540294465796649</c:v>
                      </c:pt>
                      <c:pt idx="15">
                        <c:v>7.7545301068862846</c:v>
                      </c:pt>
                      <c:pt idx="16">
                        <c:v>5.1244586207828338</c:v>
                      </c:pt>
                      <c:pt idx="17">
                        <c:v>2.4996313132679226</c:v>
                      </c:pt>
                      <c:pt idx="18">
                        <c:v>0.25539054252959115</c:v>
                      </c:pt>
                      <c:pt idx="19">
                        <c:v>2.3439310016852262E-4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SEASONAL'!$A$76:$E$76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Sep, Oct, Nov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SEASONAL'!$F$76:$AC$76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4.7884166462835798E-3</c:v>
                      </c:pt>
                      <c:pt idx="7">
                        <c:v>1.640492828024986</c:v>
                      </c:pt>
                      <c:pt idx="8">
                        <c:v>4.8785749375914307</c:v>
                      </c:pt>
                      <c:pt idx="9">
                        <c:v>7.348402160482423</c:v>
                      </c:pt>
                      <c:pt idx="10">
                        <c:v>8.8677022103897922</c:v>
                      </c:pt>
                      <c:pt idx="11">
                        <c:v>8.9569596806734531</c:v>
                      </c:pt>
                      <c:pt idx="12">
                        <c:v>8.8167665383856484</c:v>
                      </c:pt>
                      <c:pt idx="13">
                        <c:v>8.9607100919846285</c:v>
                      </c:pt>
                      <c:pt idx="14">
                        <c:v>8.3902860129747339</c:v>
                      </c:pt>
                      <c:pt idx="15">
                        <c:v>5.9379831134515921</c:v>
                      </c:pt>
                      <c:pt idx="16">
                        <c:v>3.3463348776397943</c:v>
                      </c:pt>
                      <c:pt idx="17">
                        <c:v>0.76475534910749876</c:v>
                      </c:pt>
                      <c:pt idx="18">
                        <c:v>1.1543548552097613E-3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SEASONAL'!$A$77:$E$77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Dec, Jan, Feb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SEASONAL'!$F$77:$AC$77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589.78759365843371</c:v>
                      </c:pt>
                      <c:pt idx="1">
                        <c:v>537.68631752786052</c:v>
                      </c:pt>
                      <c:pt idx="2">
                        <c:v>509.14001320348586</c:v>
                      </c:pt>
                      <c:pt idx="3">
                        <c:v>500.57113116707774</c:v>
                      </c:pt>
                      <c:pt idx="4">
                        <c:v>515.05007559171747</c:v>
                      </c:pt>
                      <c:pt idx="5">
                        <c:v>560.14451991954741</c:v>
                      </c:pt>
                      <c:pt idx="6">
                        <c:v>656.05974846953302</c:v>
                      </c:pt>
                      <c:pt idx="7">
                        <c:v>728.44819061473163</c:v>
                      </c:pt>
                      <c:pt idx="8">
                        <c:v>699.55755824231483</c:v>
                      </c:pt>
                      <c:pt idx="9">
                        <c:v>700.30621795762511</c:v>
                      </c:pt>
                      <c:pt idx="10">
                        <c:v>713.77326742504306</c:v>
                      </c:pt>
                      <c:pt idx="11">
                        <c:v>714.46107489272913</c:v>
                      </c:pt>
                      <c:pt idx="12">
                        <c:v>710.79929314009098</c:v>
                      </c:pt>
                      <c:pt idx="13">
                        <c:v>695.64455449506249</c:v>
                      </c:pt>
                      <c:pt idx="14">
                        <c:v>694.86116680766952</c:v>
                      </c:pt>
                      <c:pt idx="15">
                        <c:v>724.13822281637295</c:v>
                      </c:pt>
                      <c:pt idx="16">
                        <c:v>795.1485201708964</c:v>
                      </c:pt>
                      <c:pt idx="17">
                        <c:v>951.56718652526877</c:v>
                      </c:pt>
                      <c:pt idx="18">
                        <c:v>1058.6489321300567</c:v>
                      </c:pt>
                      <c:pt idx="19">
                        <c:v>1061.0928526845939</c:v>
                      </c:pt>
                      <c:pt idx="20">
                        <c:v>1051.6140648828566</c:v>
                      </c:pt>
                      <c:pt idx="21">
                        <c:v>1008.8443957380443</c:v>
                      </c:pt>
                      <c:pt idx="22">
                        <c:v>855.18229597434618</c:v>
                      </c:pt>
                      <c:pt idx="23">
                        <c:v>683.50219913370768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SEASONAL'!$A$78:$E$78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Mar, Apr, May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SEASONAL'!$F$78:$AC$78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464.83357076381731</c:v>
                      </c:pt>
                      <c:pt idx="1">
                        <c:v>418.56904972267256</c:v>
                      </c:pt>
                      <c:pt idx="2">
                        <c:v>394.58237419962535</c:v>
                      </c:pt>
                      <c:pt idx="3">
                        <c:v>393.36738417683529</c:v>
                      </c:pt>
                      <c:pt idx="4">
                        <c:v>415.89481767665995</c:v>
                      </c:pt>
                      <c:pt idx="5">
                        <c:v>457.8954158283662</c:v>
                      </c:pt>
                      <c:pt idx="6">
                        <c:v>536.65932602522594</c:v>
                      </c:pt>
                      <c:pt idx="7">
                        <c:v>571.57392276585279</c:v>
                      </c:pt>
                      <c:pt idx="8">
                        <c:v>560.05064512093145</c:v>
                      </c:pt>
                      <c:pt idx="9">
                        <c:v>576.08802656488876</c:v>
                      </c:pt>
                      <c:pt idx="10">
                        <c:v>586.94852158416256</c:v>
                      </c:pt>
                      <c:pt idx="11">
                        <c:v>582.90462302630772</c:v>
                      </c:pt>
                      <c:pt idx="12">
                        <c:v>578.03764092115</c:v>
                      </c:pt>
                      <c:pt idx="13">
                        <c:v>578.41139767704408</c:v>
                      </c:pt>
                      <c:pt idx="14">
                        <c:v>586.05681340353124</c:v>
                      </c:pt>
                      <c:pt idx="15">
                        <c:v>612.7026321963798</c:v>
                      </c:pt>
                      <c:pt idx="16">
                        <c:v>671.9825114495369</c:v>
                      </c:pt>
                      <c:pt idx="17">
                        <c:v>736.38565981999102</c:v>
                      </c:pt>
                      <c:pt idx="18">
                        <c:v>791.54249558091476</c:v>
                      </c:pt>
                      <c:pt idx="19">
                        <c:v>832.91668128135348</c:v>
                      </c:pt>
                      <c:pt idx="20">
                        <c:v>838.81589270307666</c:v>
                      </c:pt>
                      <c:pt idx="21">
                        <c:v>816.09234406781752</c:v>
                      </c:pt>
                      <c:pt idx="22">
                        <c:v>684.69628760755199</c:v>
                      </c:pt>
                      <c:pt idx="23">
                        <c:v>552.74398606631235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SEASONAL'!$A$80:$E$80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Sep, Oct, Nov</c:v>
                      </c:pt>
                      <c:pt idx="4">
                        <c:v>fall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SEASONAL'!$F$80:$AC$80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471.45161526604426</c:v>
                      </c:pt>
                      <c:pt idx="1">
                        <c:v>417.75714468254699</c:v>
                      </c:pt>
                      <c:pt idx="2">
                        <c:v>393.55209634901047</c:v>
                      </c:pt>
                      <c:pt idx="3">
                        <c:v>383.7976716439033</c:v>
                      </c:pt>
                      <c:pt idx="4">
                        <c:v>397.75577385102321</c:v>
                      </c:pt>
                      <c:pt idx="5">
                        <c:v>426.59781139180069</c:v>
                      </c:pt>
                      <c:pt idx="6">
                        <c:v>508.19104078388062</c:v>
                      </c:pt>
                      <c:pt idx="7">
                        <c:v>554.92352530407356</c:v>
                      </c:pt>
                      <c:pt idx="8">
                        <c:v>553.3369352202825</c:v>
                      </c:pt>
                      <c:pt idx="9">
                        <c:v>581.66611108178756</c:v>
                      </c:pt>
                      <c:pt idx="10">
                        <c:v>588.60978381070515</c:v>
                      </c:pt>
                      <c:pt idx="11">
                        <c:v>618.49652517002119</c:v>
                      </c:pt>
                      <c:pt idx="12">
                        <c:v>630.85089298712535</c:v>
                      </c:pt>
                      <c:pt idx="13">
                        <c:v>648.78562545813577</c:v>
                      </c:pt>
                      <c:pt idx="14">
                        <c:v>690.27470211271975</c:v>
                      </c:pt>
                      <c:pt idx="15">
                        <c:v>733.4339623631621</c:v>
                      </c:pt>
                      <c:pt idx="16">
                        <c:v>808.90678095292469</c:v>
                      </c:pt>
                      <c:pt idx="17">
                        <c:v>902.0933978647447</c:v>
                      </c:pt>
                      <c:pt idx="18">
                        <c:v>948.35329285133048</c:v>
                      </c:pt>
                      <c:pt idx="19">
                        <c:v>931.0188756808119</c:v>
                      </c:pt>
                      <c:pt idx="20">
                        <c:v>927.46093836967157</c:v>
                      </c:pt>
                      <c:pt idx="21">
                        <c:v>876.73928550532503</c:v>
                      </c:pt>
                      <c:pt idx="22">
                        <c:v>723.52714528260617</c:v>
                      </c:pt>
                      <c:pt idx="23">
                        <c:v>564.54346267320614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7144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5224"/>
        <c:crosses val="autoZero"/>
        <c:auto val="1"/>
        <c:lblAlgn val="ctr"/>
        <c:lblOffset val="100"/>
        <c:noMultiLvlLbl val="0"/>
      </c:catAx>
      <c:valAx>
        <c:axId val="207145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Fall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'LOAD DATA and INPUT SEASONAL'!$A$72:$E$72</c:f>
              <c:strCache>
                <c:ptCount val="5"/>
                <c:pt idx="0">
                  <c:v>TOTAL LOAD</c:v>
                </c:pt>
                <c:pt idx="1">
                  <c:v>Sep, Oct, Nov</c:v>
                </c:pt>
                <c:pt idx="2">
                  <c:v>2014</c:v>
                </c:pt>
                <c:pt idx="3">
                  <c:v>2</c:v>
                </c:pt>
                <c:pt idx="4">
                  <c:v>FALL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SEASONAL'!$F$72:$AC$72</c:f>
              <c:numCache>
                <c:formatCode>0.0</c:formatCode>
                <c:ptCount val="24"/>
                <c:pt idx="0">
                  <c:v>471.45161526604426</c:v>
                </c:pt>
                <c:pt idx="1">
                  <c:v>417.75714468254699</c:v>
                </c:pt>
                <c:pt idx="2">
                  <c:v>393.55209634901047</c:v>
                </c:pt>
                <c:pt idx="3">
                  <c:v>383.7976716439033</c:v>
                </c:pt>
                <c:pt idx="4">
                  <c:v>397.75577385102321</c:v>
                </c:pt>
                <c:pt idx="5">
                  <c:v>426.59781139180069</c:v>
                </c:pt>
                <c:pt idx="6">
                  <c:v>508.19582920052693</c:v>
                </c:pt>
                <c:pt idx="7">
                  <c:v>556.56401813209857</c:v>
                </c:pt>
                <c:pt idx="8">
                  <c:v>558.21551015787395</c:v>
                </c:pt>
                <c:pt idx="9">
                  <c:v>589.01451324227003</c:v>
                </c:pt>
                <c:pt idx="10">
                  <c:v>597.47748602109493</c:v>
                </c:pt>
                <c:pt idx="11">
                  <c:v>627.45348485069462</c:v>
                </c:pt>
                <c:pt idx="12">
                  <c:v>639.667659525511</c:v>
                </c:pt>
                <c:pt idx="13">
                  <c:v>657.74633555012042</c:v>
                </c:pt>
                <c:pt idx="14">
                  <c:v>698.66498812569444</c:v>
                </c:pt>
                <c:pt idx="15">
                  <c:v>739.37194547661363</c:v>
                </c:pt>
                <c:pt idx="16">
                  <c:v>812.25311583056452</c:v>
                </c:pt>
                <c:pt idx="17">
                  <c:v>902.85815321385223</c:v>
                </c:pt>
                <c:pt idx="18">
                  <c:v>948.35444720618568</c:v>
                </c:pt>
                <c:pt idx="19">
                  <c:v>931.0188756808119</c:v>
                </c:pt>
                <c:pt idx="20">
                  <c:v>927.46093836967157</c:v>
                </c:pt>
                <c:pt idx="21">
                  <c:v>876.73928550532503</c:v>
                </c:pt>
                <c:pt idx="22">
                  <c:v>723.52714528260617</c:v>
                </c:pt>
                <c:pt idx="23">
                  <c:v>564.54346267320614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'LOAD DATA and INPUT SEASONAL'!$A$76:$E$76</c:f>
              <c:strCache>
                <c:ptCount val="5"/>
                <c:pt idx="0">
                  <c:v>PV GEN</c:v>
                </c:pt>
                <c:pt idx="1">
                  <c:v>Sep, Oct, Nov</c:v>
                </c:pt>
                <c:pt idx="4">
                  <c:v>fall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SEASONAL'!$F$76:$AC$76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4.7884166462835798E-3</c:v>
                </c:pt>
                <c:pt idx="7">
                  <c:v>1.640492828024986</c:v>
                </c:pt>
                <c:pt idx="8">
                  <c:v>4.8785749375914307</c:v>
                </c:pt>
                <c:pt idx="9">
                  <c:v>7.348402160482423</c:v>
                </c:pt>
                <c:pt idx="10">
                  <c:v>8.8677022103897922</c:v>
                </c:pt>
                <c:pt idx="11">
                  <c:v>8.9569596806734531</c:v>
                </c:pt>
                <c:pt idx="12">
                  <c:v>8.8167665383856484</c:v>
                </c:pt>
                <c:pt idx="13">
                  <c:v>8.9607100919846285</c:v>
                </c:pt>
                <c:pt idx="14">
                  <c:v>8.3902860129747339</c:v>
                </c:pt>
                <c:pt idx="15">
                  <c:v>5.9379831134515921</c:v>
                </c:pt>
                <c:pt idx="16">
                  <c:v>3.3463348776397943</c:v>
                </c:pt>
                <c:pt idx="17">
                  <c:v>0.76475534910749876</c:v>
                </c:pt>
                <c:pt idx="18">
                  <c:v>1.1543548552097613E-3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'LOAD DATA and INPUT SEASONAL'!$A$80:$E$80</c:f>
              <c:strCache>
                <c:ptCount val="5"/>
                <c:pt idx="0">
                  <c:v>NET</c:v>
                </c:pt>
                <c:pt idx="1">
                  <c:v>Sep, Oct, Nov</c:v>
                </c:pt>
                <c:pt idx="4">
                  <c:v>fall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'LOAD DATA and INPUT SEASONAL'!$F$80:$AC$80</c:f>
              <c:numCache>
                <c:formatCode>_(* #,##0.0_);_(* \(#,##0.0\);_(* "-"??_);_(@_)</c:formatCode>
                <c:ptCount val="24"/>
                <c:pt idx="0">
                  <c:v>471.45161526604426</c:v>
                </c:pt>
                <c:pt idx="1">
                  <c:v>417.75714468254699</c:v>
                </c:pt>
                <c:pt idx="2">
                  <c:v>393.55209634901047</c:v>
                </c:pt>
                <c:pt idx="3">
                  <c:v>383.7976716439033</c:v>
                </c:pt>
                <c:pt idx="4">
                  <c:v>397.75577385102321</c:v>
                </c:pt>
                <c:pt idx="5">
                  <c:v>426.59781139180069</c:v>
                </c:pt>
                <c:pt idx="6">
                  <c:v>508.19104078388062</c:v>
                </c:pt>
                <c:pt idx="7">
                  <c:v>554.92352530407356</c:v>
                </c:pt>
                <c:pt idx="8">
                  <c:v>553.3369352202825</c:v>
                </c:pt>
                <c:pt idx="9">
                  <c:v>581.66611108178756</c:v>
                </c:pt>
                <c:pt idx="10">
                  <c:v>588.60978381070515</c:v>
                </c:pt>
                <c:pt idx="11">
                  <c:v>618.49652517002119</c:v>
                </c:pt>
                <c:pt idx="12">
                  <c:v>630.85089298712535</c:v>
                </c:pt>
                <c:pt idx="13">
                  <c:v>648.78562545813577</c:v>
                </c:pt>
                <c:pt idx="14">
                  <c:v>690.27470211271975</c:v>
                </c:pt>
                <c:pt idx="15">
                  <c:v>733.4339623631621</c:v>
                </c:pt>
                <c:pt idx="16">
                  <c:v>808.90678095292469</c:v>
                </c:pt>
                <c:pt idx="17">
                  <c:v>902.0933978647447</c:v>
                </c:pt>
                <c:pt idx="18">
                  <c:v>948.35329285133048</c:v>
                </c:pt>
                <c:pt idx="19">
                  <c:v>931.0188756808119</c:v>
                </c:pt>
                <c:pt idx="20">
                  <c:v>927.46093836967157</c:v>
                </c:pt>
                <c:pt idx="21">
                  <c:v>876.73928550532503</c:v>
                </c:pt>
                <c:pt idx="22">
                  <c:v>723.52714528260617</c:v>
                </c:pt>
                <c:pt idx="23">
                  <c:v>564.54346267320614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27224"/>
        <c:axId val="2046276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'LOAD DATA and INPUT SEASONAL'!$A$69:$E$69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Dec, Jan, Feb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'LOAD DATA and INPUT SEASONAL'!$F$69:$AC$69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589.78759365843371</c:v>
                      </c:pt>
                      <c:pt idx="1">
                        <c:v>537.68631752786052</c:v>
                      </c:pt>
                      <c:pt idx="2">
                        <c:v>509.14001320348586</c:v>
                      </c:pt>
                      <c:pt idx="3">
                        <c:v>500.57113116707774</c:v>
                      </c:pt>
                      <c:pt idx="4">
                        <c:v>515.05007559171747</c:v>
                      </c:pt>
                      <c:pt idx="5">
                        <c:v>560.14451991954741</c:v>
                      </c:pt>
                      <c:pt idx="6">
                        <c:v>656.05974846953302</c:v>
                      </c:pt>
                      <c:pt idx="7">
                        <c:v>728.49776233560931</c:v>
                      </c:pt>
                      <c:pt idx="8">
                        <c:v>701.76700570468756</c:v>
                      </c:pt>
                      <c:pt idx="9">
                        <c:v>704.95286107884601</c:v>
                      </c:pt>
                      <c:pt idx="10">
                        <c:v>719.7309565673138</c:v>
                      </c:pt>
                      <c:pt idx="11">
                        <c:v>721.47956697120492</c:v>
                      </c:pt>
                      <c:pt idx="12">
                        <c:v>717.67672022068075</c:v>
                      </c:pt>
                      <c:pt idx="13">
                        <c:v>702.59388987142256</c:v>
                      </c:pt>
                      <c:pt idx="14">
                        <c:v>701.31818559373835</c:v>
                      </c:pt>
                      <c:pt idx="15">
                        <c:v>729.22240869714926</c:v>
                      </c:pt>
                      <c:pt idx="16">
                        <c:v>798.09935080378318</c:v>
                      </c:pt>
                      <c:pt idx="17">
                        <c:v>952.10207228787942</c:v>
                      </c:pt>
                      <c:pt idx="18">
                        <c:v>1058.6489321300567</c:v>
                      </c:pt>
                      <c:pt idx="19">
                        <c:v>1061.0928526845939</c:v>
                      </c:pt>
                      <c:pt idx="20">
                        <c:v>1051.6140648828566</c:v>
                      </c:pt>
                      <c:pt idx="21">
                        <c:v>1008.8443957380443</c:v>
                      </c:pt>
                      <c:pt idx="22">
                        <c:v>855.18229597434618</c:v>
                      </c:pt>
                      <c:pt idx="23">
                        <c:v>683.50219913370768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SEASONAL'!$A$70:$E$70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Mar, Apr, May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SEASONAL'!$F$70:$AC$70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464.83357076381731</c:v>
                      </c:pt>
                      <c:pt idx="1">
                        <c:v>418.56904972267256</c:v>
                      </c:pt>
                      <c:pt idx="2">
                        <c:v>394.58237419962535</c:v>
                      </c:pt>
                      <c:pt idx="3">
                        <c:v>393.36738417683529</c:v>
                      </c:pt>
                      <c:pt idx="4">
                        <c:v>415.89481767665995</c:v>
                      </c:pt>
                      <c:pt idx="5">
                        <c:v>457.89624946666743</c:v>
                      </c:pt>
                      <c:pt idx="6">
                        <c:v>536.87578309663468</c:v>
                      </c:pt>
                      <c:pt idx="7">
                        <c:v>573.98072770195301</c:v>
                      </c:pt>
                      <c:pt idx="8">
                        <c:v>565.36703184575424</c:v>
                      </c:pt>
                      <c:pt idx="9">
                        <c:v>584.07466953629205</c:v>
                      </c:pt>
                      <c:pt idx="10">
                        <c:v>596.17827819870558</c:v>
                      </c:pt>
                      <c:pt idx="11">
                        <c:v>592.08038552500784</c:v>
                      </c:pt>
                      <c:pt idx="12">
                        <c:v>587.0660077763464</c:v>
                      </c:pt>
                      <c:pt idx="13">
                        <c:v>587.32835623100607</c:v>
                      </c:pt>
                      <c:pt idx="14">
                        <c:v>594.81084285011093</c:v>
                      </c:pt>
                      <c:pt idx="15">
                        <c:v>620.45716230326605</c:v>
                      </c:pt>
                      <c:pt idx="16">
                        <c:v>677.10697007031979</c:v>
                      </c:pt>
                      <c:pt idx="17">
                        <c:v>738.88529113325899</c:v>
                      </c:pt>
                      <c:pt idx="18">
                        <c:v>791.7978861234443</c:v>
                      </c:pt>
                      <c:pt idx="19">
                        <c:v>832.91691567445366</c:v>
                      </c:pt>
                      <c:pt idx="20">
                        <c:v>838.81589270307666</c:v>
                      </c:pt>
                      <c:pt idx="21">
                        <c:v>816.09234406781752</c:v>
                      </c:pt>
                      <c:pt idx="22">
                        <c:v>684.69628760755199</c:v>
                      </c:pt>
                      <c:pt idx="23">
                        <c:v>552.74398606631235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SEASONAL'!$A$71:$E$71</c15:sqref>
                        </c15:formulaRef>
                      </c:ext>
                    </c:extLst>
                    <c:strCache>
                      <c:ptCount val="5"/>
                      <c:pt idx="0">
                        <c:v>TOTAL LOAD</c:v>
                      </c:pt>
                      <c:pt idx="1">
                        <c:v>June, July, Aug</c:v>
                      </c:pt>
                      <c:pt idx="2">
                        <c:v>2014</c:v>
                      </c:pt>
                      <c:pt idx="3">
                        <c:v>2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SEASONAL'!$F$71:$AC$71</c15:sqref>
                        </c15:formulaRef>
                      </c:ext>
                    </c:extLst>
                    <c:numCache>
                      <c:formatCode>0.0</c:formatCode>
                      <c:ptCount val="24"/>
                      <c:pt idx="0">
                        <c:v>660.98347594421909</c:v>
                      </c:pt>
                      <c:pt idx="1">
                        <c:v>547.34796648871418</c:v>
                      </c:pt>
                      <c:pt idx="2">
                        <c:v>489.77389462436429</c:v>
                      </c:pt>
                      <c:pt idx="3">
                        <c:v>464.46107169131494</c:v>
                      </c:pt>
                      <c:pt idx="4">
                        <c:v>454.13926189188766</c:v>
                      </c:pt>
                      <c:pt idx="5">
                        <c:v>436.98591501901836</c:v>
                      </c:pt>
                      <c:pt idx="6">
                        <c:v>462.38415824037321</c:v>
                      </c:pt>
                      <c:pt idx="7">
                        <c:v>531.53016245336164</c:v>
                      </c:pt>
                      <c:pt idx="8">
                        <c:v>608.19926660830504</c:v>
                      </c:pt>
                      <c:pt idx="9">
                        <c:v>675.2625136825435</c:v>
                      </c:pt>
                      <c:pt idx="10">
                        <c:v>775.20702842417859</c:v>
                      </c:pt>
                      <c:pt idx="11">
                        <c:v>868.52171500565373</c:v>
                      </c:pt>
                      <c:pt idx="12">
                        <c:v>968.59078275493459</c:v>
                      </c:pt>
                      <c:pt idx="13">
                        <c:v>1061.4543781659299</c:v>
                      </c:pt>
                      <c:pt idx="14">
                        <c:v>1162.0033247725012</c:v>
                      </c:pt>
                      <c:pt idx="15">
                        <c:v>1254.6307374657256</c:v>
                      </c:pt>
                      <c:pt idx="16">
                        <c:v>1372.2117944188599</c:v>
                      </c:pt>
                      <c:pt idx="17">
                        <c:v>1451.8243718092522</c:v>
                      </c:pt>
                      <c:pt idx="18">
                        <c:v>1468.9189601211992</c:v>
                      </c:pt>
                      <c:pt idx="19">
                        <c:v>1409.2906238011328</c:v>
                      </c:pt>
                      <c:pt idx="20">
                        <c:v>1304.290924100454</c:v>
                      </c:pt>
                      <c:pt idx="21">
                        <c:v>1254.4358866408315</c:v>
                      </c:pt>
                      <c:pt idx="22">
                        <c:v>1092.0362657027383</c:v>
                      </c:pt>
                      <c:pt idx="23">
                        <c:v>835.38891862325045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SEASONAL'!$A$73:$E$73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Dec, Jan, Feb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SEASONAL'!$F$73:$AC$73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4.9571720877644637E-2</c:v>
                      </c:pt>
                      <c:pt idx="8">
                        <c:v>2.2094474623727622</c:v>
                      </c:pt>
                      <c:pt idx="9">
                        <c:v>4.6466431212208859</c:v>
                      </c:pt>
                      <c:pt idx="10">
                        <c:v>5.9576891422707856</c:v>
                      </c:pt>
                      <c:pt idx="11">
                        <c:v>7.0184920784757345</c:v>
                      </c:pt>
                      <c:pt idx="12">
                        <c:v>6.8774270805898192</c:v>
                      </c:pt>
                      <c:pt idx="13">
                        <c:v>6.9493353763600307</c:v>
                      </c:pt>
                      <c:pt idx="14">
                        <c:v>6.4570187860688719</c:v>
                      </c:pt>
                      <c:pt idx="15">
                        <c:v>5.0841858807763582</c:v>
                      </c:pt>
                      <c:pt idx="16">
                        <c:v>2.9508306328867704</c:v>
                      </c:pt>
                      <c:pt idx="17">
                        <c:v>0.53488576261063636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SEASONAL'!$A$74:$E$74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Mar, Apr, May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SEASONAL'!$F$74:$AC$74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8.3363830123710085E-4</c:v>
                      </c:pt>
                      <c:pt idx="6">
                        <c:v>0.21645707140876694</c:v>
                      </c:pt>
                      <c:pt idx="7">
                        <c:v>2.4068049361002721</c:v>
                      </c:pt>
                      <c:pt idx="8">
                        <c:v>5.3163867248228289</c:v>
                      </c:pt>
                      <c:pt idx="9">
                        <c:v>7.9866429714033096</c:v>
                      </c:pt>
                      <c:pt idx="10">
                        <c:v>9.2297566145430583</c:v>
                      </c:pt>
                      <c:pt idx="11">
                        <c:v>9.1757624987001005</c:v>
                      </c:pt>
                      <c:pt idx="12">
                        <c:v>9.0283668551964364</c:v>
                      </c:pt>
                      <c:pt idx="13">
                        <c:v>8.9169585539620044</c:v>
                      </c:pt>
                      <c:pt idx="14">
                        <c:v>8.7540294465796649</c:v>
                      </c:pt>
                      <c:pt idx="15">
                        <c:v>7.7545301068862846</c:v>
                      </c:pt>
                      <c:pt idx="16">
                        <c:v>5.1244586207828338</c:v>
                      </c:pt>
                      <c:pt idx="17">
                        <c:v>2.4996313132679226</c:v>
                      </c:pt>
                      <c:pt idx="18">
                        <c:v>0.25539054252959115</c:v>
                      </c:pt>
                      <c:pt idx="19">
                        <c:v>2.3439310016852262E-4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SEASONAL'!$A$75:$E$75</c15:sqref>
                        </c15:formulaRef>
                      </c:ext>
                    </c:extLst>
                    <c:strCache>
                      <c:ptCount val="5"/>
                      <c:pt idx="0">
                        <c:v>PV GEN</c:v>
                      </c:pt>
                      <c:pt idx="1">
                        <c:v>June, July, Aug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SEASONAL'!$F$75:$AC$75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24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7.5784489152263294E-3</c:v>
                      </c:pt>
                      <c:pt idx="6">
                        <c:v>0.33234081259831266</c:v>
                      </c:pt>
                      <c:pt idx="7">
                        <c:v>2.7788402136228809</c:v>
                      </c:pt>
                      <c:pt idx="8">
                        <c:v>5.665649018819976</c:v>
                      </c:pt>
                      <c:pt idx="9">
                        <c:v>8.1317223440272333</c:v>
                      </c:pt>
                      <c:pt idx="10">
                        <c:v>9.6068613782008612</c:v>
                      </c:pt>
                      <c:pt idx="11">
                        <c:v>9.9082116885166425</c:v>
                      </c:pt>
                      <c:pt idx="12">
                        <c:v>9.5566907194283459</c:v>
                      </c:pt>
                      <c:pt idx="13">
                        <c:v>9.0236174181898363</c:v>
                      </c:pt>
                      <c:pt idx="14">
                        <c:v>8.6479403719427701</c:v>
                      </c:pt>
                      <c:pt idx="15">
                        <c:v>7.0683442430826391</c:v>
                      </c:pt>
                      <c:pt idx="16">
                        <c:v>5.2013128860261695</c:v>
                      </c:pt>
                      <c:pt idx="17">
                        <c:v>2.8451310471324907</c:v>
                      </c:pt>
                      <c:pt idx="18">
                        <c:v>0.69480946001690314</c:v>
                      </c:pt>
                      <c:pt idx="19">
                        <c:v>5.4056453332172469E-3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SEASONAL'!$A$77:$E$77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Dec, Jan, Feb</c:v>
                      </c:pt>
                      <c:pt idx="4">
                        <c:v>winter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SEASONAL'!$F$77:$AC$77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589.78759365843371</c:v>
                      </c:pt>
                      <c:pt idx="1">
                        <c:v>537.68631752786052</c:v>
                      </c:pt>
                      <c:pt idx="2">
                        <c:v>509.14001320348586</c:v>
                      </c:pt>
                      <c:pt idx="3">
                        <c:v>500.57113116707774</c:v>
                      </c:pt>
                      <c:pt idx="4">
                        <c:v>515.05007559171747</c:v>
                      </c:pt>
                      <c:pt idx="5">
                        <c:v>560.14451991954741</c:v>
                      </c:pt>
                      <c:pt idx="6">
                        <c:v>656.05974846953302</c:v>
                      </c:pt>
                      <c:pt idx="7">
                        <c:v>728.44819061473163</c:v>
                      </c:pt>
                      <c:pt idx="8">
                        <c:v>699.55755824231483</c:v>
                      </c:pt>
                      <c:pt idx="9">
                        <c:v>700.30621795762511</c:v>
                      </c:pt>
                      <c:pt idx="10">
                        <c:v>713.77326742504306</c:v>
                      </c:pt>
                      <c:pt idx="11">
                        <c:v>714.46107489272913</c:v>
                      </c:pt>
                      <c:pt idx="12">
                        <c:v>710.79929314009098</c:v>
                      </c:pt>
                      <c:pt idx="13">
                        <c:v>695.64455449506249</c:v>
                      </c:pt>
                      <c:pt idx="14">
                        <c:v>694.86116680766952</c:v>
                      </c:pt>
                      <c:pt idx="15">
                        <c:v>724.13822281637295</c:v>
                      </c:pt>
                      <c:pt idx="16">
                        <c:v>795.1485201708964</c:v>
                      </c:pt>
                      <c:pt idx="17">
                        <c:v>951.56718652526877</c:v>
                      </c:pt>
                      <c:pt idx="18">
                        <c:v>1058.6489321300567</c:v>
                      </c:pt>
                      <c:pt idx="19">
                        <c:v>1061.0928526845939</c:v>
                      </c:pt>
                      <c:pt idx="20">
                        <c:v>1051.6140648828566</c:v>
                      </c:pt>
                      <c:pt idx="21">
                        <c:v>1008.8443957380443</c:v>
                      </c:pt>
                      <c:pt idx="22">
                        <c:v>855.18229597434618</c:v>
                      </c:pt>
                      <c:pt idx="23">
                        <c:v>683.50219913370768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SEASONAL'!$A$78:$E$78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Mar, Apr, May</c:v>
                      </c:pt>
                      <c:pt idx="4">
                        <c:v>spring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SEASONAL'!$F$78:$AC$78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464.83357076381731</c:v>
                      </c:pt>
                      <c:pt idx="1">
                        <c:v>418.56904972267256</c:v>
                      </c:pt>
                      <c:pt idx="2">
                        <c:v>394.58237419962535</c:v>
                      </c:pt>
                      <c:pt idx="3">
                        <c:v>393.36738417683529</c:v>
                      </c:pt>
                      <c:pt idx="4">
                        <c:v>415.89481767665995</c:v>
                      </c:pt>
                      <c:pt idx="5">
                        <c:v>457.8954158283662</c:v>
                      </c:pt>
                      <c:pt idx="6">
                        <c:v>536.65932602522594</c:v>
                      </c:pt>
                      <c:pt idx="7">
                        <c:v>571.57392276585279</c:v>
                      </c:pt>
                      <c:pt idx="8">
                        <c:v>560.05064512093145</c:v>
                      </c:pt>
                      <c:pt idx="9">
                        <c:v>576.08802656488876</c:v>
                      </c:pt>
                      <c:pt idx="10">
                        <c:v>586.94852158416256</c:v>
                      </c:pt>
                      <c:pt idx="11">
                        <c:v>582.90462302630772</c:v>
                      </c:pt>
                      <c:pt idx="12">
                        <c:v>578.03764092115</c:v>
                      </c:pt>
                      <c:pt idx="13">
                        <c:v>578.41139767704408</c:v>
                      </c:pt>
                      <c:pt idx="14">
                        <c:v>586.05681340353124</c:v>
                      </c:pt>
                      <c:pt idx="15">
                        <c:v>612.7026321963798</c:v>
                      </c:pt>
                      <c:pt idx="16">
                        <c:v>671.9825114495369</c:v>
                      </c:pt>
                      <c:pt idx="17">
                        <c:v>736.38565981999102</c:v>
                      </c:pt>
                      <c:pt idx="18">
                        <c:v>791.54249558091476</c:v>
                      </c:pt>
                      <c:pt idx="19">
                        <c:v>832.91668128135348</c:v>
                      </c:pt>
                      <c:pt idx="20">
                        <c:v>838.81589270307666</c:v>
                      </c:pt>
                      <c:pt idx="21">
                        <c:v>816.09234406781752</c:v>
                      </c:pt>
                      <c:pt idx="22">
                        <c:v>684.69628760755199</c:v>
                      </c:pt>
                      <c:pt idx="23">
                        <c:v>552.74398606631235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SEASONAL'!$A$79:$E$79</c15:sqref>
                        </c15:formulaRef>
                      </c:ext>
                    </c:extLst>
                    <c:strCache>
                      <c:ptCount val="5"/>
                      <c:pt idx="0">
                        <c:v>NET</c:v>
                      </c:pt>
                      <c:pt idx="1">
                        <c:v>June, July, Aug</c:v>
                      </c:pt>
                      <c:pt idx="4">
                        <c:v>summer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'LOAD DATA and INPUT SEASONAL'!$F$79:$AC$79</c15:sqref>
                        </c15:formulaRef>
                      </c:ext>
                    </c:extLst>
                    <c:numCache>
                      <c:formatCode>_(* #,##0.0_);_(* \(#,##0.0\);_(* "-"??_);_(@_)</c:formatCode>
                      <c:ptCount val="24"/>
                      <c:pt idx="0">
                        <c:v>660.98347594421909</c:v>
                      </c:pt>
                      <c:pt idx="1">
                        <c:v>547.34796648871418</c:v>
                      </c:pt>
                      <c:pt idx="2">
                        <c:v>489.77389462436429</c:v>
                      </c:pt>
                      <c:pt idx="3">
                        <c:v>464.46107169131494</c:v>
                      </c:pt>
                      <c:pt idx="4">
                        <c:v>454.13926189188766</c:v>
                      </c:pt>
                      <c:pt idx="5">
                        <c:v>436.97833657010312</c:v>
                      </c:pt>
                      <c:pt idx="6">
                        <c:v>462.05181742777489</c:v>
                      </c:pt>
                      <c:pt idx="7">
                        <c:v>528.75132223973878</c:v>
                      </c:pt>
                      <c:pt idx="8">
                        <c:v>602.53361758948506</c:v>
                      </c:pt>
                      <c:pt idx="9">
                        <c:v>667.13079133851625</c:v>
                      </c:pt>
                      <c:pt idx="10">
                        <c:v>765.60016704597774</c:v>
                      </c:pt>
                      <c:pt idx="11">
                        <c:v>858.61350331713709</c:v>
                      </c:pt>
                      <c:pt idx="12">
                        <c:v>959.03409203550621</c:v>
                      </c:pt>
                      <c:pt idx="13">
                        <c:v>1052.4307607477401</c:v>
                      </c:pt>
                      <c:pt idx="14">
                        <c:v>1153.3553844005585</c:v>
                      </c:pt>
                      <c:pt idx="15">
                        <c:v>1247.5623932226429</c:v>
                      </c:pt>
                      <c:pt idx="16">
                        <c:v>1367.0104815328336</c:v>
                      </c:pt>
                      <c:pt idx="17">
                        <c:v>1448.9792407621196</c:v>
                      </c:pt>
                      <c:pt idx="18">
                        <c:v>1468.2241506611824</c:v>
                      </c:pt>
                      <c:pt idx="19">
                        <c:v>1409.2852181557996</c:v>
                      </c:pt>
                      <c:pt idx="20">
                        <c:v>1304.290924100454</c:v>
                      </c:pt>
                      <c:pt idx="21">
                        <c:v>1254.4358866408315</c:v>
                      </c:pt>
                      <c:pt idx="22">
                        <c:v>1092.0362657027383</c:v>
                      </c:pt>
                      <c:pt idx="23">
                        <c:v>835.38891862325045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04627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7616"/>
        <c:crosses val="autoZero"/>
        <c:auto val="1"/>
        <c:lblAlgn val="ctr"/>
        <c:lblOffset val="100"/>
        <c:noMultiLvlLbl val="0"/>
      </c:catAx>
      <c:valAx>
        <c:axId val="20462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Load</a:t>
            </a:r>
            <a:r>
              <a:rPr lang="en-US" baseline="0"/>
              <a:t> Shape Impact with NM (duck curve)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SEASONAL'!$F$83:$AC$83</c:f>
              <c:numCache>
                <c:formatCode>0.0</c:formatCode>
                <c:ptCount val="24"/>
                <c:pt idx="0">
                  <c:v>589.78759365843371</c:v>
                </c:pt>
                <c:pt idx="1">
                  <c:v>537.68631752786052</c:v>
                </c:pt>
                <c:pt idx="2">
                  <c:v>509.14001320348586</c:v>
                </c:pt>
                <c:pt idx="3">
                  <c:v>500.57113116707774</c:v>
                </c:pt>
                <c:pt idx="4">
                  <c:v>515.05007559171747</c:v>
                </c:pt>
                <c:pt idx="5">
                  <c:v>560.14451991954741</c:v>
                </c:pt>
                <c:pt idx="6">
                  <c:v>656.05974846953302</c:v>
                </c:pt>
                <c:pt idx="7">
                  <c:v>728.49776233560931</c:v>
                </c:pt>
                <c:pt idx="8">
                  <c:v>701.76700570468756</c:v>
                </c:pt>
                <c:pt idx="9">
                  <c:v>704.95286107884601</c:v>
                </c:pt>
                <c:pt idx="10">
                  <c:v>719.7309565673138</c:v>
                </c:pt>
                <c:pt idx="11">
                  <c:v>721.47956697120492</c:v>
                </c:pt>
                <c:pt idx="12">
                  <c:v>717.67672022068075</c:v>
                </c:pt>
                <c:pt idx="13">
                  <c:v>702.59388987142256</c:v>
                </c:pt>
                <c:pt idx="14">
                  <c:v>701.31818559373835</c:v>
                </c:pt>
                <c:pt idx="15">
                  <c:v>729.22240869714926</c:v>
                </c:pt>
                <c:pt idx="16">
                  <c:v>798.09935080378318</c:v>
                </c:pt>
                <c:pt idx="17">
                  <c:v>952.10207228787942</c:v>
                </c:pt>
                <c:pt idx="18">
                  <c:v>1058.6489321300567</c:v>
                </c:pt>
                <c:pt idx="19">
                  <c:v>1061.0928526845939</c:v>
                </c:pt>
                <c:pt idx="20">
                  <c:v>1051.6140648828566</c:v>
                </c:pt>
                <c:pt idx="21">
                  <c:v>1008.8443957380443</c:v>
                </c:pt>
                <c:pt idx="22">
                  <c:v>855.18229597434618</c:v>
                </c:pt>
                <c:pt idx="23">
                  <c:v>683.50219913370768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SEASONAL'!$F$88:$AC$88</c:f>
              <c:numCache>
                <c:formatCode>_(* #,##0.00_);_(* \(#,##0.00\);_(* "-"??_);_(@_)</c:formatCode>
                <c:ptCount val="24"/>
                <c:pt idx="0">
                  <c:v>589.78759365843371</c:v>
                </c:pt>
                <c:pt idx="1">
                  <c:v>537.68631752786052</c:v>
                </c:pt>
                <c:pt idx="2">
                  <c:v>509.14001320348586</c:v>
                </c:pt>
                <c:pt idx="3">
                  <c:v>500.57113116707774</c:v>
                </c:pt>
                <c:pt idx="4">
                  <c:v>515.05007559171747</c:v>
                </c:pt>
                <c:pt idx="5">
                  <c:v>560.14451991954741</c:v>
                </c:pt>
                <c:pt idx="6">
                  <c:v>656.05974846953302</c:v>
                </c:pt>
                <c:pt idx="7">
                  <c:v>728.44819061473163</c:v>
                </c:pt>
                <c:pt idx="8">
                  <c:v>699.55755824231483</c:v>
                </c:pt>
                <c:pt idx="9">
                  <c:v>700.30621795762511</c:v>
                </c:pt>
                <c:pt idx="10">
                  <c:v>713.77326742504306</c:v>
                </c:pt>
                <c:pt idx="11">
                  <c:v>714.46107489272913</c:v>
                </c:pt>
                <c:pt idx="12">
                  <c:v>710.79929314009098</c:v>
                </c:pt>
                <c:pt idx="13">
                  <c:v>695.64455449506249</c:v>
                </c:pt>
                <c:pt idx="14">
                  <c:v>694.86116680766952</c:v>
                </c:pt>
                <c:pt idx="15">
                  <c:v>724.13822281637295</c:v>
                </c:pt>
                <c:pt idx="16">
                  <c:v>795.1485201708964</c:v>
                </c:pt>
                <c:pt idx="17">
                  <c:v>951.56718652526877</c:v>
                </c:pt>
                <c:pt idx="18">
                  <c:v>1058.6489321300567</c:v>
                </c:pt>
                <c:pt idx="19">
                  <c:v>1061.0928526845939</c:v>
                </c:pt>
                <c:pt idx="20">
                  <c:v>1051.6140648828566</c:v>
                </c:pt>
                <c:pt idx="21">
                  <c:v>1008.8443957380443</c:v>
                </c:pt>
                <c:pt idx="22">
                  <c:v>855.18229597434618</c:v>
                </c:pt>
                <c:pt idx="23">
                  <c:v>683.50219913370768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28400"/>
        <c:axId val="204628792"/>
      </c:lineChart>
      <c:catAx>
        <c:axId val="204628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8792"/>
        <c:crosses val="autoZero"/>
        <c:auto val="1"/>
        <c:lblAlgn val="ctr"/>
        <c:lblOffset val="100"/>
        <c:noMultiLvlLbl val="0"/>
      </c:catAx>
      <c:valAx>
        <c:axId val="20462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'LOAD DATA and INPUT SEASONAL'!$F$22:$AC$22</c:f>
              <c:numCache>
                <c:formatCode>_(* #,##0.0_);_(* \(#,##0.0\);_(* "-"??_);_(@_)</c:formatCode>
                <c:ptCount val="24"/>
                <c:pt idx="0">
                  <c:v>2.9489379682921686</c:v>
                </c:pt>
                <c:pt idx="1">
                  <c:v>2.6884315876393026</c:v>
                </c:pt>
                <c:pt idx="2">
                  <c:v>2.5457000660174294</c:v>
                </c:pt>
                <c:pt idx="3">
                  <c:v>2.5028556558353889</c:v>
                </c:pt>
                <c:pt idx="4">
                  <c:v>2.5752503779585876</c:v>
                </c:pt>
                <c:pt idx="5">
                  <c:v>2.8007225995977372</c:v>
                </c:pt>
                <c:pt idx="6">
                  <c:v>3.2802987423476653</c:v>
                </c:pt>
                <c:pt idx="7">
                  <c:v>3.6424888116780467</c:v>
                </c:pt>
                <c:pt idx="8">
                  <c:v>3.5088350285234378</c:v>
                </c:pt>
                <c:pt idx="9">
                  <c:v>3.5247643053942301</c:v>
                </c:pt>
                <c:pt idx="10">
                  <c:v>3.5986547828365691</c:v>
                </c:pt>
                <c:pt idx="11">
                  <c:v>3.6073978348560245</c:v>
                </c:pt>
                <c:pt idx="12">
                  <c:v>3.5883836011034038</c:v>
                </c:pt>
                <c:pt idx="13">
                  <c:v>3.5129694493571129</c:v>
                </c:pt>
                <c:pt idx="14">
                  <c:v>3.5065909279686918</c:v>
                </c:pt>
                <c:pt idx="15">
                  <c:v>3.6461120434857466</c:v>
                </c:pt>
                <c:pt idx="16">
                  <c:v>3.990496754018916</c:v>
                </c:pt>
                <c:pt idx="17">
                  <c:v>4.7605103614393975</c:v>
                </c:pt>
                <c:pt idx="18">
                  <c:v>5.2932446606502834</c:v>
                </c:pt>
                <c:pt idx="19">
                  <c:v>5.3054642634229694</c:v>
                </c:pt>
                <c:pt idx="20">
                  <c:v>5.258070324414283</c:v>
                </c:pt>
                <c:pt idx="21">
                  <c:v>5.0442219786902216</c:v>
                </c:pt>
                <c:pt idx="22">
                  <c:v>4.2759114798717306</c:v>
                </c:pt>
                <c:pt idx="23">
                  <c:v>3.4175109956685383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'LOAD DATA and INPUT SEASONAL'!$F$54:$AC$54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4.9571720877644637E-2</c:v>
                </c:pt>
                <c:pt idx="8">
                  <c:v>2.2094474623727622</c:v>
                </c:pt>
                <c:pt idx="9">
                  <c:v>4.6466431212208859</c:v>
                </c:pt>
                <c:pt idx="10">
                  <c:v>5.9576891422707856</c:v>
                </c:pt>
                <c:pt idx="11">
                  <c:v>7.0184920784757345</c:v>
                </c:pt>
                <c:pt idx="12">
                  <c:v>6.8774270805898192</c:v>
                </c:pt>
                <c:pt idx="13">
                  <c:v>6.9493353763600307</c:v>
                </c:pt>
                <c:pt idx="14">
                  <c:v>6.4570187860688719</c:v>
                </c:pt>
                <c:pt idx="15">
                  <c:v>5.0841858807763582</c:v>
                </c:pt>
                <c:pt idx="16">
                  <c:v>2.9508306328867704</c:v>
                </c:pt>
                <c:pt idx="17">
                  <c:v>0.53488576261063636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'LOAD DATA and INPUT SEASONAL'!$F$62:$AC$62</c:f>
              <c:numCache>
                <c:formatCode>_(* #,##0.00_);_(* \(#,##0.00\);_(* "-"??_);_(@_)</c:formatCode>
                <c:ptCount val="24"/>
                <c:pt idx="0">
                  <c:v>2.9489379682921686</c:v>
                </c:pt>
                <c:pt idx="1">
                  <c:v>2.6884315876393026</c:v>
                </c:pt>
                <c:pt idx="2">
                  <c:v>2.5457000660174294</c:v>
                </c:pt>
                <c:pt idx="3">
                  <c:v>2.5028556558353889</c:v>
                </c:pt>
                <c:pt idx="4">
                  <c:v>2.5752503779585876</c:v>
                </c:pt>
                <c:pt idx="5">
                  <c:v>2.8007225995977372</c:v>
                </c:pt>
                <c:pt idx="6">
                  <c:v>3.2802987423476653</c:v>
                </c:pt>
                <c:pt idx="7">
                  <c:v>3.5929170908004022</c:v>
                </c:pt>
                <c:pt idx="8">
                  <c:v>1.2993875661506755</c:v>
                </c:pt>
                <c:pt idx="9">
                  <c:v>-1.1218788158266557</c:v>
                </c:pt>
                <c:pt idx="10">
                  <c:v>-2.3590343594342165</c:v>
                </c:pt>
                <c:pt idx="11">
                  <c:v>-3.41109424361971</c:v>
                </c:pt>
                <c:pt idx="12">
                  <c:v>-3.2890434794864154</c:v>
                </c:pt>
                <c:pt idx="13">
                  <c:v>-3.4363659270029179</c:v>
                </c:pt>
                <c:pt idx="14">
                  <c:v>-2.9504278581001802</c:v>
                </c:pt>
                <c:pt idx="15">
                  <c:v>-1.4380738372906117</c:v>
                </c:pt>
                <c:pt idx="16">
                  <c:v>1.0396661211321456</c:v>
                </c:pt>
                <c:pt idx="17">
                  <c:v>4.2256245988287615</c:v>
                </c:pt>
                <c:pt idx="18">
                  <c:v>5.2932446606502834</c:v>
                </c:pt>
                <c:pt idx="19">
                  <c:v>5.3054642634229694</c:v>
                </c:pt>
                <c:pt idx="20">
                  <c:v>5.258070324414283</c:v>
                </c:pt>
                <c:pt idx="21">
                  <c:v>5.0442219786902216</c:v>
                </c:pt>
                <c:pt idx="22">
                  <c:v>4.2759114798717306</c:v>
                </c:pt>
                <c:pt idx="23">
                  <c:v>3.4175109956685383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29968"/>
        <c:axId val="207146008"/>
      </c:lineChart>
      <c:catAx>
        <c:axId val="204629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6008"/>
        <c:crosses val="autoZero"/>
        <c:auto val="1"/>
        <c:lblAlgn val="ctr"/>
        <c:lblOffset val="100"/>
        <c:noMultiLvlLbl val="0"/>
      </c:catAx>
      <c:valAx>
        <c:axId val="20714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62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SEASONAL'!$F$54:$AC$54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4.9571720877644637E-2</c:v>
                </c:pt>
                <c:pt idx="8">
                  <c:v>2.2094474623727622</c:v>
                </c:pt>
                <c:pt idx="9">
                  <c:v>4.6466431212208859</c:v>
                </c:pt>
                <c:pt idx="10">
                  <c:v>5.9576891422707856</c:v>
                </c:pt>
                <c:pt idx="11">
                  <c:v>7.0184920784757345</c:v>
                </c:pt>
                <c:pt idx="12">
                  <c:v>6.8774270805898192</c:v>
                </c:pt>
                <c:pt idx="13">
                  <c:v>6.9493353763600307</c:v>
                </c:pt>
                <c:pt idx="14">
                  <c:v>6.4570187860688719</c:v>
                </c:pt>
                <c:pt idx="15">
                  <c:v>5.0841858807763582</c:v>
                </c:pt>
                <c:pt idx="16">
                  <c:v>2.9508306328867704</c:v>
                </c:pt>
                <c:pt idx="17">
                  <c:v>0.53488576261063636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SEASONAL'!$F$55:$AC$55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8.3363830123710085E-4</c:v>
                </c:pt>
                <c:pt idx="6">
                  <c:v>0.21645707140876694</c:v>
                </c:pt>
                <c:pt idx="7">
                  <c:v>2.4068049361002721</c:v>
                </c:pt>
                <c:pt idx="8">
                  <c:v>5.3163867248228289</c:v>
                </c:pt>
                <c:pt idx="9">
                  <c:v>7.9866429714033096</c:v>
                </c:pt>
                <c:pt idx="10">
                  <c:v>9.2297566145430583</c:v>
                </c:pt>
                <c:pt idx="11">
                  <c:v>9.1757624987001005</c:v>
                </c:pt>
                <c:pt idx="12">
                  <c:v>9.0283668551964364</c:v>
                </c:pt>
                <c:pt idx="13">
                  <c:v>8.9169585539620044</c:v>
                </c:pt>
                <c:pt idx="14">
                  <c:v>8.7540294465796649</c:v>
                </c:pt>
                <c:pt idx="15">
                  <c:v>7.7545301068862846</c:v>
                </c:pt>
                <c:pt idx="16">
                  <c:v>5.1244586207828338</c:v>
                </c:pt>
                <c:pt idx="17">
                  <c:v>2.4996313132679226</c:v>
                </c:pt>
                <c:pt idx="18">
                  <c:v>0.25539054252959115</c:v>
                </c:pt>
                <c:pt idx="19">
                  <c:v>2.3439310016852262E-4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SEASONAL'!$F$56:$AC$56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7.5784489152263294E-3</c:v>
                </c:pt>
                <c:pt idx="6">
                  <c:v>0.33234081259831266</c:v>
                </c:pt>
                <c:pt idx="7">
                  <c:v>2.7788402136228809</c:v>
                </c:pt>
                <c:pt idx="8">
                  <c:v>5.665649018819976</c:v>
                </c:pt>
                <c:pt idx="9">
                  <c:v>8.1317223440272333</c:v>
                </c:pt>
                <c:pt idx="10">
                  <c:v>9.6068613782008612</c:v>
                </c:pt>
                <c:pt idx="11">
                  <c:v>9.9082116885166425</c:v>
                </c:pt>
                <c:pt idx="12">
                  <c:v>9.5566907194283459</c:v>
                </c:pt>
                <c:pt idx="13">
                  <c:v>9.0236174181898363</c:v>
                </c:pt>
                <c:pt idx="14">
                  <c:v>8.6479403719427701</c:v>
                </c:pt>
                <c:pt idx="15">
                  <c:v>7.0683442430826391</c:v>
                </c:pt>
                <c:pt idx="16">
                  <c:v>5.2013128860261695</c:v>
                </c:pt>
                <c:pt idx="17">
                  <c:v>2.8451310471324907</c:v>
                </c:pt>
                <c:pt idx="18">
                  <c:v>0.69480946001690314</c:v>
                </c:pt>
                <c:pt idx="19">
                  <c:v>5.4056453332172469E-3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'LOAD DATA and INPUT SEASONAL'!$F$57:$AC$57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4.7884166462835798E-3</c:v>
                </c:pt>
                <c:pt idx="7">
                  <c:v>1.640492828024986</c:v>
                </c:pt>
                <c:pt idx="8">
                  <c:v>4.8785749375914307</c:v>
                </c:pt>
                <c:pt idx="9">
                  <c:v>7.348402160482423</c:v>
                </c:pt>
                <c:pt idx="10">
                  <c:v>8.8677022103897922</c:v>
                </c:pt>
                <c:pt idx="11">
                  <c:v>8.9569596806734531</c:v>
                </c:pt>
                <c:pt idx="12">
                  <c:v>8.8167665383856484</c:v>
                </c:pt>
                <c:pt idx="13">
                  <c:v>8.9607100919846285</c:v>
                </c:pt>
                <c:pt idx="14">
                  <c:v>8.3902860129747339</c:v>
                </c:pt>
                <c:pt idx="15">
                  <c:v>5.9379831134515921</c:v>
                </c:pt>
                <c:pt idx="16">
                  <c:v>3.3463348776397943</c:v>
                </c:pt>
                <c:pt idx="17">
                  <c:v>0.76475534910749876</c:v>
                </c:pt>
                <c:pt idx="18">
                  <c:v>1.1543548552097613E-3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40520"/>
        <c:axId val="207140912"/>
      </c:lineChart>
      <c:catAx>
        <c:axId val="207140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0912"/>
        <c:crosses val="autoZero"/>
        <c:auto val="1"/>
        <c:lblAlgn val="ctr"/>
        <c:lblOffset val="100"/>
        <c:noMultiLvlLbl val="0"/>
      </c:catAx>
      <c:valAx>
        <c:axId val="20714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140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352425</xdr:colOff>
      <xdr:row>25</xdr:row>
      <xdr:rowOff>57150</xdr:rowOff>
    </xdr:from>
    <xdr:to>
      <xdr:col>39</xdr:col>
      <xdr:colOff>428625</xdr:colOff>
      <xdr:row>44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447674</xdr:colOff>
      <xdr:row>93</xdr:row>
      <xdr:rowOff>76200</xdr:rowOff>
    </xdr:from>
    <xdr:to>
      <xdr:col>8</xdr:col>
      <xdr:colOff>28575</xdr:colOff>
      <xdr:row>112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266700</xdr:colOff>
      <xdr:row>93</xdr:row>
      <xdr:rowOff>114300</xdr:rowOff>
    </xdr:from>
    <xdr:to>
      <xdr:col>15</xdr:col>
      <xdr:colOff>390526</xdr:colOff>
      <xdr:row>113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447675</xdr:colOff>
      <xdr:row>113</xdr:row>
      <xdr:rowOff>76200</xdr:rowOff>
    </xdr:from>
    <xdr:to>
      <xdr:col>8</xdr:col>
      <xdr:colOff>28576</xdr:colOff>
      <xdr:row>132</xdr:row>
      <xdr:rowOff>161925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257175</xdr:colOff>
      <xdr:row>113</xdr:row>
      <xdr:rowOff>95250</xdr:rowOff>
    </xdr:from>
    <xdr:to>
      <xdr:col>15</xdr:col>
      <xdr:colOff>381001</xdr:colOff>
      <xdr:row>132</xdr:row>
      <xdr:rowOff>180975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85726</xdr:colOff>
      <xdr:row>93</xdr:row>
      <xdr:rowOff>4761</xdr:rowOff>
    </xdr:from>
    <xdr:to>
      <xdr:col>23</xdr:col>
      <xdr:colOff>971550</xdr:colOff>
      <xdr:row>114</xdr:row>
      <xdr:rowOff>133350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295275</xdr:colOff>
      <xdr:row>45</xdr:row>
      <xdr:rowOff>100011</xdr:rowOff>
    </xdr:from>
    <xdr:to>
      <xdr:col>37</xdr:col>
      <xdr:colOff>533400</xdr:colOff>
      <xdr:row>65</xdr:row>
      <xdr:rowOff>19050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9525</xdr:colOff>
      <xdr:row>25</xdr:row>
      <xdr:rowOff>80962</xdr:rowOff>
    </xdr:from>
    <xdr:to>
      <xdr:col>48</xdr:col>
      <xdr:colOff>371475</xdr:colOff>
      <xdr:row>44</xdr:row>
      <xdr:rowOff>19050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610</xdr:row>
      <xdr:rowOff>180975</xdr:rowOff>
    </xdr:from>
    <xdr:to>
      <xdr:col>3</xdr:col>
      <xdr:colOff>177800</xdr:colOff>
      <xdr:row>629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003500"/>
          <a:ext cx="6819900" cy="346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637</xdr:row>
      <xdr:rowOff>44594</xdr:rowOff>
    </xdr:from>
    <xdr:to>
      <xdr:col>1</xdr:col>
      <xdr:colOff>2653527</xdr:colOff>
      <xdr:row>648</xdr:row>
      <xdr:rowOff>66676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533" t="27781" r="61245" b="18601"/>
        <a:stretch/>
      </xdr:blipFill>
      <xdr:spPr>
        <a:xfrm>
          <a:off x="123826" y="33010619"/>
          <a:ext cx="3653651" cy="211758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655</xdr:row>
      <xdr:rowOff>123824</xdr:rowOff>
    </xdr:from>
    <xdr:to>
      <xdr:col>1</xdr:col>
      <xdr:colOff>3028949</xdr:colOff>
      <xdr:row>670</xdr:row>
      <xdr:rowOff>47625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594" t="30024" r="61376" b="19878"/>
        <a:stretch/>
      </xdr:blipFill>
      <xdr:spPr>
        <a:xfrm>
          <a:off x="200024" y="36518849"/>
          <a:ext cx="3952875" cy="278130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737</xdr:row>
      <xdr:rowOff>97802</xdr:rowOff>
    </xdr:from>
    <xdr:to>
      <xdr:col>1</xdr:col>
      <xdr:colOff>4267199</xdr:colOff>
      <xdr:row>758</xdr:row>
      <xdr:rowOff>19080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41064827"/>
          <a:ext cx="5267325" cy="3921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737</xdr:row>
      <xdr:rowOff>85725</xdr:rowOff>
    </xdr:from>
    <xdr:to>
      <xdr:col>5</xdr:col>
      <xdr:colOff>2641600</xdr:colOff>
      <xdr:row>758</xdr:row>
      <xdr:rowOff>164522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1052750"/>
          <a:ext cx="5448300" cy="4079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760</xdr:row>
      <xdr:rowOff>114300</xdr:rowOff>
    </xdr:from>
    <xdr:to>
      <xdr:col>1</xdr:col>
      <xdr:colOff>4257273</xdr:colOff>
      <xdr:row>781</xdr:row>
      <xdr:rowOff>142874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462825"/>
          <a:ext cx="5381223" cy="402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187253</xdr:colOff>
      <xdr:row>760</xdr:row>
      <xdr:rowOff>104775</xdr:rowOff>
    </xdr:from>
    <xdr:to>
      <xdr:col>5</xdr:col>
      <xdr:colOff>2542702</xdr:colOff>
      <xdr:row>781</xdr:row>
      <xdr:rowOff>133350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4578" y="45453300"/>
          <a:ext cx="5381224" cy="402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782</xdr:row>
      <xdr:rowOff>47625</xdr:rowOff>
    </xdr:from>
    <xdr:to>
      <xdr:col>1</xdr:col>
      <xdr:colOff>4269996</xdr:colOff>
      <xdr:row>803</xdr:row>
      <xdr:rowOff>85725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87150"/>
          <a:ext cx="5393946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212307</xdr:colOff>
      <xdr:row>782</xdr:row>
      <xdr:rowOff>28575</xdr:rowOff>
    </xdr:from>
    <xdr:to>
      <xdr:col>5</xdr:col>
      <xdr:colOff>2632076</xdr:colOff>
      <xdr:row>803</xdr:row>
      <xdr:rowOff>105309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9632" y="49568100"/>
          <a:ext cx="5445544" cy="4077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804</xdr:row>
      <xdr:rowOff>104776</xdr:rowOff>
    </xdr:from>
    <xdr:to>
      <xdr:col>1</xdr:col>
      <xdr:colOff>4219575</xdr:colOff>
      <xdr:row>825</xdr:row>
      <xdr:rowOff>105125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35301"/>
          <a:ext cx="5343525" cy="4000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804</xdr:row>
      <xdr:rowOff>76200</xdr:rowOff>
    </xdr:from>
    <xdr:to>
      <xdr:col>5</xdr:col>
      <xdr:colOff>2460625</xdr:colOff>
      <xdr:row>825</xdr:row>
      <xdr:rowOff>62286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53806725"/>
          <a:ext cx="5324475" cy="3986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827</xdr:row>
      <xdr:rowOff>0</xdr:rowOff>
    </xdr:from>
    <xdr:to>
      <xdr:col>1</xdr:col>
      <xdr:colOff>4193667</xdr:colOff>
      <xdr:row>847</xdr:row>
      <xdr:rowOff>171450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112025"/>
          <a:ext cx="5317616" cy="398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826</xdr:row>
      <xdr:rowOff>170954</xdr:rowOff>
    </xdr:from>
    <xdr:to>
      <xdr:col>5</xdr:col>
      <xdr:colOff>2403475</xdr:colOff>
      <xdr:row>847</xdr:row>
      <xdr:rowOff>85723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58092479"/>
          <a:ext cx="5229225" cy="391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1</xdr:col>
      <xdr:colOff>4041007</xdr:colOff>
      <xdr:row>869</xdr:row>
      <xdr:rowOff>57150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03025"/>
          <a:ext cx="5164957" cy="386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675</xdr:row>
      <xdr:rowOff>161926</xdr:rowOff>
    </xdr:from>
    <xdr:to>
      <xdr:col>2</xdr:col>
      <xdr:colOff>207616</xdr:colOff>
      <xdr:row>698</xdr:row>
      <xdr:rowOff>57150</xdr:rowOff>
    </xdr:to>
    <xdr:pic>
      <xdr:nvPicPr>
        <xdr:cNvPr id="17" name="Picture 16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7664" t="22086" r="61238" b="9356"/>
        <a:stretch/>
      </xdr:blipFill>
      <xdr:spPr>
        <a:xfrm>
          <a:off x="123826" y="40366951"/>
          <a:ext cx="5747990" cy="42767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85726</xdr:colOff>
      <xdr:row>703</xdr:row>
      <xdr:rowOff>114300</xdr:rowOff>
    </xdr:from>
    <xdr:to>
      <xdr:col>2</xdr:col>
      <xdr:colOff>313750</xdr:colOff>
      <xdr:row>733</xdr:row>
      <xdr:rowOff>171450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4220" t="22596" r="74309" b="15081"/>
        <a:stretch/>
      </xdr:blipFill>
      <xdr:spPr>
        <a:xfrm>
          <a:off x="85726" y="45462825"/>
          <a:ext cx="5892224" cy="5772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228600</xdr:colOff>
      <xdr:row>873</xdr:row>
      <xdr:rowOff>114300</xdr:rowOff>
    </xdr:from>
    <xdr:to>
      <xdr:col>2</xdr:col>
      <xdr:colOff>155575</xdr:colOff>
      <xdr:row>893</xdr:row>
      <xdr:rowOff>38100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8990825"/>
          <a:ext cx="559117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908</xdr:row>
      <xdr:rowOff>104776</xdr:rowOff>
    </xdr:from>
    <xdr:to>
      <xdr:col>2</xdr:col>
      <xdr:colOff>1019175</xdr:colOff>
      <xdr:row>934</xdr:row>
      <xdr:rowOff>104776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8607" t="21748" r="62160" b="12501"/>
        <a:stretch/>
      </xdr:blipFill>
      <xdr:spPr>
        <a:xfrm>
          <a:off x="152400" y="85086826"/>
          <a:ext cx="6524625" cy="4953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142875</xdr:colOff>
      <xdr:row>935</xdr:row>
      <xdr:rowOff>66676</xdr:rowOff>
    </xdr:from>
    <xdr:to>
      <xdr:col>2</xdr:col>
      <xdr:colOff>1071602</xdr:colOff>
      <xdr:row>961</xdr:row>
      <xdr:rowOff>57150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8408" t="21299" r="62526" b="14063"/>
        <a:stretch/>
      </xdr:blipFill>
      <xdr:spPr>
        <a:xfrm>
          <a:off x="142875" y="90192226"/>
          <a:ext cx="6586577" cy="49434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</xdr:col>
      <xdr:colOff>3514725</xdr:colOff>
      <xdr:row>985</xdr:row>
      <xdr:rowOff>161925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021525"/>
          <a:ext cx="4638675" cy="340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so-ne.com/static-assets/documents/2015/02/fca9_initialresults_final_02042015.pdf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9"/>
  <sheetViews>
    <sheetView tabSelected="1" workbookViewId="0">
      <selection activeCell="S13" sqref="S13"/>
    </sheetView>
  </sheetViews>
  <sheetFormatPr defaultRowHeight="15" x14ac:dyDescent="0.25"/>
  <cols>
    <col min="2" max="2" width="13.5703125" customWidth="1"/>
    <col min="3" max="3" width="17.85546875" style="1" customWidth="1"/>
    <col min="4" max="4" width="11" style="1" customWidth="1"/>
    <col min="5" max="5" width="11.140625" style="1" customWidth="1"/>
    <col min="6" max="7" width="12.85546875" style="1" customWidth="1"/>
    <col min="8" max="8" width="12" customWidth="1"/>
    <col min="9" max="9" width="12.85546875" customWidth="1"/>
    <col min="10" max="10" width="11.140625" customWidth="1"/>
    <col min="11" max="11" width="17.42578125" customWidth="1"/>
    <col min="12" max="12" width="11" customWidth="1"/>
    <col min="13" max="13" width="11.140625" customWidth="1"/>
    <col min="14" max="15" width="12.85546875" customWidth="1"/>
    <col min="16" max="16" width="12" customWidth="1"/>
    <col min="17" max="17" width="12.85546875" customWidth="1"/>
    <col min="18" max="18" width="12" customWidth="1"/>
    <col min="19" max="19" width="3.5703125" customWidth="1"/>
    <col min="20" max="20" width="5.5703125" customWidth="1"/>
    <col min="21" max="31" width="12.5703125" customWidth="1"/>
  </cols>
  <sheetData>
    <row r="1" spans="3:17" ht="15.75" thickBot="1" x14ac:dyDescent="0.3"/>
    <row r="2" spans="3:17" ht="15.75" thickBot="1" x14ac:dyDescent="0.3">
      <c r="C2" s="190" t="s">
        <v>249</v>
      </c>
      <c r="D2" s="191"/>
      <c r="E2" s="191"/>
      <c r="F2" s="191"/>
      <c r="G2" s="191"/>
      <c r="H2" s="191"/>
      <c r="I2" s="192"/>
      <c r="K2" s="190" t="s">
        <v>251</v>
      </c>
      <c r="L2" s="191"/>
      <c r="M2" s="191"/>
      <c r="N2" s="191"/>
      <c r="O2" s="191"/>
      <c r="P2" s="191"/>
      <c r="Q2" s="192"/>
    </row>
    <row r="3" spans="3:17" ht="60" x14ac:dyDescent="0.25">
      <c r="C3" s="70" t="s">
        <v>0</v>
      </c>
      <c r="D3" s="67" t="s">
        <v>55</v>
      </c>
      <c r="E3" s="67" t="s">
        <v>222</v>
      </c>
      <c r="F3" s="67" t="s">
        <v>234</v>
      </c>
      <c r="G3" s="67" t="s">
        <v>224</v>
      </c>
      <c r="H3" s="69" t="s">
        <v>225</v>
      </c>
      <c r="I3" s="71" t="s">
        <v>275</v>
      </c>
      <c r="K3" s="70" t="s">
        <v>0</v>
      </c>
      <c r="L3" s="67" t="s">
        <v>55</v>
      </c>
      <c r="M3" s="67" t="s">
        <v>222</v>
      </c>
      <c r="N3" s="67" t="s">
        <v>234</v>
      </c>
      <c r="O3" s="67" t="s">
        <v>224</v>
      </c>
      <c r="P3" s="69" t="s">
        <v>225</v>
      </c>
      <c r="Q3" s="71" t="s">
        <v>275</v>
      </c>
    </row>
    <row r="4" spans="3:17" x14ac:dyDescent="0.25">
      <c r="C4" s="72" t="s">
        <v>4</v>
      </c>
      <c r="D4" s="84">
        <f>'Seasonal (WITHOUT)'!E124</f>
        <v>6351182.8331563724</v>
      </c>
      <c r="E4" s="77">
        <f>F4/D4</f>
        <v>28.999999999999996</v>
      </c>
      <c r="F4" s="84">
        <f>'Seasonal (WITHOUT)'!M124</f>
        <v>184184302.16153479</v>
      </c>
      <c r="G4" s="84"/>
      <c r="H4" s="85"/>
      <c r="I4" s="86">
        <f>SUM(F4:H4)</f>
        <v>184184302.16153479</v>
      </c>
      <c r="K4" s="72" t="s">
        <v>4</v>
      </c>
      <c r="L4" s="84">
        <f>'Seasonal (WITH)'!E124</f>
        <v>6328803.161572664</v>
      </c>
      <c r="M4" s="77">
        <f>N4/L4</f>
        <v>29</v>
      </c>
      <c r="N4" s="84">
        <f>'Seasonal (WITH)'!M124</f>
        <v>183535291.68560725</v>
      </c>
      <c r="O4" s="84"/>
      <c r="P4" s="85"/>
      <c r="Q4" s="86">
        <f>SUM(N4:P4)</f>
        <v>183535291.68560725</v>
      </c>
    </row>
    <row r="5" spans="3:17" x14ac:dyDescent="0.25">
      <c r="C5" s="72" t="s">
        <v>5</v>
      </c>
      <c r="D5" s="84">
        <f>'Seasonal (WITHOUT)'!F124</f>
        <v>377668.47649088607</v>
      </c>
      <c r="E5" s="77">
        <f t="shared" ref="E5:E6" si="0">F5/D5</f>
        <v>33</v>
      </c>
      <c r="F5" s="84">
        <f>'Seasonal (WITHOUT)'!N124</f>
        <v>12463059.724199239</v>
      </c>
      <c r="G5" s="84"/>
      <c r="H5" s="85"/>
      <c r="I5" s="86">
        <f t="shared" ref="I5:I6" si="1">SUM(F5:H5)</f>
        <v>12463059.724199239</v>
      </c>
      <c r="K5" s="72" t="s">
        <v>5</v>
      </c>
      <c r="L5" s="84">
        <f>'Seasonal (WITH)'!F124</f>
        <v>373759.66211212135</v>
      </c>
      <c r="M5" s="77">
        <f>N5/L5</f>
        <v>33</v>
      </c>
      <c r="N5" s="84">
        <f>'Seasonal (WITH)'!N124</f>
        <v>12334068.849700004</v>
      </c>
      <c r="O5" s="84"/>
      <c r="P5" s="85"/>
      <c r="Q5" s="86">
        <f>SUM(N5:P5)</f>
        <v>12334068.849700004</v>
      </c>
    </row>
    <row r="6" spans="3:17" x14ac:dyDescent="0.25">
      <c r="C6" s="72" t="s">
        <v>21</v>
      </c>
      <c r="D6" s="84">
        <f>'Seasonal (WITHOUT)'!G124</f>
        <v>12148.690352742571</v>
      </c>
      <c r="E6" s="77">
        <f t="shared" si="0"/>
        <v>40</v>
      </c>
      <c r="F6" s="84">
        <f>'Seasonal (WITHOUT)'!O124</f>
        <v>485947.61410970287</v>
      </c>
      <c r="G6" s="84"/>
      <c r="H6" s="85"/>
      <c r="I6" s="86">
        <f t="shared" si="1"/>
        <v>485947.61410970287</v>
      </c>
      <c r="K6" s="72" t="s">
        <v>21</v>
      </c>
      <c r="L6" s="84">
        <f>'Seasonal (WITH)'!G124</f>
        <v>11802.531617779548</v>
      </c>
      <c r="M6" s="77">
        <f>N6/L6</f>
        <v>40</v>
      </c>
      <c r="N6" s="84">
        <f>'Seasonal (WITH)'!O124</f>
        <v>472101.26471118192</v>
      </c>
      <c r="O6" s="84"/>
      <c r="P6" s="85"/>
      <c r="Q6" s="86">
        <f>SUM(N6:P6)</f>
        <v>472101.26471118192</v>
      </c>
    </row>
    <row r="7" spans="3:17" x14ac:dyDescent="0.25">
      <c r="C7" s="70" t="s">
        <v>226</v>
      </c>
      <c r="D7" s="87"/>
      <c r="E7" s="79"/>
      <c r="F7" s="87"/>
      <c r="G7" s="87">
        <f>'Seasonal (WITHOUT)'!Q124</f>
        <v>549999999.99000001</v>
      </c>
      <c r="H7" s="87">
        <f>'Seasonal (WITHOUT)'!R124</f>
        <v>0</v>
      </c>
      <c r="I7" s="88">
        <f>SUM(F7:H7)</f>
        <v>549999999.99000001</v>
      </c>
      <c r="K7" s="70" t="s">
        <v>226</v>
      </c>
      <c r="L7" s="87"/>
      <c r="M7" s="79"/>
      <c r="N7" s="87"/>
      <c r="O7" s="87">
        <f>'Seasonal (WITH)'!Q124</f>
        <v>549999999.99000001</v>
      </c>
      <c r="P7" s="87">
        <f>'Seasonal (WITH)'!R124</f>
        <v>-248921.91306014211</v>
      </c>
      <c r="Q7" s="88">
        <f>SUM(N7:P7)</f>
        <v>549751078.07693982</v>
      </c>
    </row>
    <row r="8" spans="3:17" ht="15.75" thickBot="1" x14ac:dyDescent="0.3">
      <c r="C8" s="72" t="s">
        <v>6</v>
      </c>
      <c r="D8" s="84">
        <f>'Seasonal (WITHOUT)'!H124</f>
        <v>6741000.0000000009</v>
      </c>
      <c r="E8" s="108">
        <f>F8/D8</f>
        <v>29.243926642908125</v>
      </c>
      <c r="F8" s="84">
        <f>'Seasonal (WITHOUT)'!P124</f>
        <v>197133309.49984369</v>
      </c>
      <c r="G8" s="84">
        <f>G7</f>
        <v>549999999.99000001</v>
      </c>
      <c r="H8" s="84">
        <f>H7</f>
        <v>0</v>
      </c>
      <c r="I8" s="86">
        <f>SUM(F8:H8)</f>
        <v>747133309.48984373</v>
      </c>
      <c r="K8" s="72" t="s">
        <v>6</v>
      </c>
      <c r="L8" s="84">
        <f>'Seasonal (WITH)'!H124</f>
        <v>6714365.3553025648</v>
      </c>
      <c r="M8" s="108">
        <f>N8/L8</f>
        <v>29.241998522609567</v>
      </c>
      <c r="N8" s="84">
        <f>'Seasonal (WITH)'!P124</f>
        <v>196341461.80001846</v>
      </c>
      <c r="O8" s="84">
        <f>O7</f>
        <v>549999999.99000001</v>
      </c>
      <c r="P8" s="84">
        <f>P7</f>
        <v>-248921.91306014211</v>
      </c>
      <c r="Q8" s="86">
        <f>SUM(N8:P8)</f>
        <v>746092539.87695825</v>
      </c>
    </row>
    <row r="9" spans="3:17" ht="15.75" thickBot="1" x14ac:dyDescent="0.3">
      <c r="C9" s="190" t="s">
        <v>250</v>
      </c>
      <c r="D9" s="191"/>
      <c r="E9" s="191"/>
      <c r="F9" s="191"/>
      <c r="G9" s="191"/>
      <c r="H9" s="191"/>
      <c r="I9" s="192"/>
      <c r="K9" s="190" t="s">
        <v>252</v>
      </c>
      <c r="L9" s="191"/>
      <c r="M9" s="191"/>
      <c r="N9" s="191"/>
      <c r="O9" s="191"/>
      <c r="P9" s="191"/>
      <c r="Q9" s="192"/>
    </row>
    <row r="10" spans="3:17" ht="14.25" customHeight="1" x14ac:dyDescent="0.25">
      <c r="C10" s="119"/>
      <c r="D10" s="115"/>
      <c r="E10" s="116" t="s">
        <v>241</v>
      </c>
      <c r="F10" s="117" t="s">
        <v>235</v>
      </c>
      <c r="G10" s="118" t="s">
        <v>238</v>
      </c>
      <c r="H10" s="118" t="s">
        <v>239</v>
      </c>
      <c r="I10" s="120"/>
      <c r="K10" s="119"/>
      <c r="L10" s="115"/>
      <c r="M10" s="116" t="s">
        <v>241</v>
      </c>
      <c r="N10" s="117" t="s">
        <v>235</v>
      </c>
      <c r="O10" s="118" t="s">
        <v>238</v>
      </c>
      <c r="P10" s="118" t="s">
        <v>239</v>
      </c>
      <c r="Q10" s="120"/>
    </row>
    <row r="11" spans="3:17" ht="14.25" customHeight="1" x14ac:dyDescent="0.25">
      <c r="C11" s="119"/>
      <c r="D11" s="115" t="s">
        <v>244</v>
      </c>
      <c r="E11" s="116" t="s">
        <v>242</v>
      </c>
      <c r="F11" s="117" t="s">
        <v>236</v>
      </c>
      <c r="G11" s="118" t="s">
        <v>236</v>
      </c>
      <c r="H11" s="118" t="s">
        <v>240</v>
      </c>
      <c r="I11" s="120" t="s">
        <v>6</v>
      </c>
      <c r="K11" s="119"/>
      <c r="L11" s="115" t="s">
        <v>244</v>
      </c>
      <c r="M11" s="116" t="s">
        <v>242</v>
      </c>
      <c r="N11" s="117" t="s">
        <v>236</v>
      </c>
      <c r="O11" s="118" t="s">
        <v>236</v>
      </c>
      <c r="P11" s="118" t="s">
        <v>240</v>
      </c>
      <c r="Q11" s="120" t="s">
        <v>6</v>
      </c>
    </row>
    <row r="12" spans="3:17" ht="14.25" customHeight="1" x14ac:dyDescent="0.25">
      <c r="C12" s="75" t="s">
        <v>1</v>
      </c>
      <c r="D12" s="89" t="s">
        <v>266</v>
      </c>
      <c r="E12" s="80" t="s">
        <v>243</v>
      </c>
      <c r="F12" s="138" t="s">
        <v>237</v>
      </c>
      <c r="G12" s="138" t="s">
        <v>237</v>
      </c>
      <c r="H12" s="138" t="s">
        <v>237</v>
      </c>
      <c r="I12" s="90" t="s">
        <v>237</v>
      </c>
      <c r="K12" s="75" t="s">
        <v>1</v>
      </c>
      <c r="L12" s="89" t="s">
        <v>266</v>
      </c>
      <c r="M12" s="80" t="s">
        <v>243</v>
      </c>
      <c r="N12" s="138" t="s">
        <v>237</v>
      </c>
      <c r="O12" s="138" t="s">
        <v>237</v>
      </c>
      <c r="P12" s="138" t="s">
        <v>237</v>
      </c>
      <c r="Q12" s="90" t="s">
        <v>237</v>
      </c>
    </row>
    <row r="13" spans="3:17" x14ac:dyDescent="0.25">
      <c r="C13" s="74" t="s">
        <v>273</v>
      </c>
      <c r="D13" s="85">
        <f>('Seasonal (WITHOUT)'!T124-'Seasonal (WITHOUT)'!U124)</f>
        <v>31500</v>
      </c>
      <c r="E13" s="108">
        <f>F8/(D13+D14)</f>
        <v>31.291001507911695</v>
      </c>
      <c r="F13" s="85">
        <f>D13*E13</f>
        <v>985666.54749921837</v>
      </c>
      <c r="G13" s="85">
        <f>D13/(D$14+D13)*G$7</f>
        <v>2749999.9999500001</v>
      </c>
      <c r="H13" s="78">
        <f>D13/(D$14+D13)*H$7</f>
        <v>0</v>
      </c>
      <c r="I13" s="86">
        <f>SUM(F13:H13)</f>
        <v>3735666.5474492186</v>
      </c>
      <c r="K13" s="74" t="s">
        <v>273</v>
      </c>
      <c r="L13" s="85">
        <f>('Seasonal (WITH)'!T124-'Seasonal (WITH)'!U124)</f>
        <v>6607.8086939857858</v>
      </c>
      <c r="M13" s="108">
        <f>N8/(L13+L14)</f>
        <v>31.288938419192238</v>
      </c>
      <c r="N13" s="85">
        <f>L13*M13</f>
        <v>206751.31931192434</v>
      </c>
      <c r="O13" s="85">
        <f>L13/(L$14+L13)*O$7</f>
        <v>579160.53276262304</v>
      </c>
      <c r="P13" s="85">
        <f>L13/(L$14+L13)*P$7</f>
        <v>-262.11954143058983</v>
      </c>
      <c r="Q13" s="86">
        <f>SUM(N13:P13)</f>
        <v>785649.73253311682</v>
      </c>
    </row>
    <row r="14" spans="3:17" ht="19.5" customHeight="1" x14ac:dyDescent="0.25">
      <c r="C14" s="110" t="s">
        <v>274</v>
      </c>
      <c r="D14" s="111">
        <f>'Seasonal (WITHOUT)'!W124</f>
        <v>6268500</v>
      </c>
      <c r="E14" s="135">
        <f>E13</f>
        <v>31.291001507911695</v>
      </c>
      <c r="F14" s="113">
        <f>D14*E14</f>
        <v>196147642.95234445</v>
      </c>
      <c r="G14" s="113">
        <f>D14/(D$13+D14)*G$7</f>
        <v>547249999.99004996</v>
      </c>
      <c r="H14" s="112">
        <f>D14/(D$13+D14)*H$7</f>
        <v>0</v>
      </c>
      <c r="I14" s="114">
        <f>SUM(F14:H14)</f>
        <v>743397642.94239438</v>
      </c>
      <c r="K14" s="110" t="s">
        <v>274</v>
      </c>
      <c r="L14" s="111">
        <f>'Seasonal (WITH)'!W124</f>
        <v>6268500</v>
      </c>
      <c r="M14" s="135">
        <f>M13</f>
        <v>31.288938419192238</v>
      </c>
      <c r="N14" s="113">
        <f>L14*M14</f>
        <v>196134710.48070654</v>
      </c>
      <c r="O14" s="113">
        <f>L14/(L$13+L14)*O$7</f>
        <v>549420839.45723736</v>
      </c>
      <c r="P14" s="113">
        <f>L14/(L$13+L14)*P$7</f>
        <v>-248659.79351871152</v>
      </c>
      <c r="Q14" s="114">
        <f>SUM(N14:P14)</f>
        <v>745306890.14442527</v>
      </c>
    </row>
    <row r="15" spans="3:17" ht="19.5" hidden="1" customHeight="1" x14ac:dyDescent="0.25">
      <c r="C15" s="76" t="s">
        <v>71</v>
      </c>
      <c r="D15" s="83">
        <f>D8-D13-D14</f>
        <v>441000.00000000093</v>
      </c>
      <c r="E15" s="139"/>
      <c r="F15" s="91"/>
      <c r="G15" s="91"/>
      <c r="H15" s="91"/>
      <c r="I15" s="88"/>
      <c r="K15" s="76" t="s">
        <v>71</v>
      </c>
      <c r="L15" s="83">
        <f>L8-L13-L14</f>
        <v>439257.54660857935</v>
      </c>
      <c r="M15" s="81"/>
      <c r="N15" s="91"/>
      <c r="O15" s="91"/>
      <c r="P15" s="91"/>
      <c r="Q15" s="88"/>
    </row>
    <row r="16" spans="3:17" ht="19.5" customHeight="1" thickBot="1" x14ac:dyDescent="0.3">
      <c r="C16" s="105" t="s">
        <v>6</v>
      </c>
      <c r="D16" s="92">
        <f>SUM(D13:D14)</f>
        <v>6300000</v>
      </c>
      <c r="E16" s="109">
        <f>E14</f>
        <v>31.291001507911695</v>
      </c>
      <c r="F16" s="92">
        <f>SUM(F13:F14)</f>
        <v>197133309.49984366</v>
      </c>
      <c r="G16" s="92">
        <f>SUM(G13:G14)</f>
        <v>549999999.99000001</v>
      </c>
      <c r="H16" s="92">
        <f>SUM(H13:H14)</f>
        <v>0</v>
      </c>
      <c r="I16" s="93">
        <f>SUM(F16:H16)</f>
        <v>747133309.48984361</v>
      </c>
      <c r="K16" s="105" t="s">
        <v>6</v>
      </c>
      <c r="L16" s="92">
        <f>SUM(L13:L14)</f>
        <v>6275107.8086939855</v>
      </c>
      <c r="M16" s="109">
        <f>M14</f>
        <v>31.288938419192238</v>
      </c>
      <c r="N16" s="92">
        <f>SUM(N13:N14)</f>
        <v>196341461.80001846</v>
      </c>
      <c r="O16" s="92">
        <f>SUM(O13:O14)</f>
        <v>549999999.99000001</v>
      </c>
      <c r="P16" s="92">
        <f>SUM(P13:P14)</f>
        <v>-248921.91306014211</v>
      </c>
      <c r="Q16" s="93">
        <f>SUM(N16:P16)</f>
        <v>746092539.87695825</v>
      </c>
    </row>
    <row r="17" spans="2:23" x14ac:dyDescent="0.25">
      <c r="C17"/>
    </row>
    <row r="18" spans="2:23" x14ac:dyDescent="0.25">
      <c r="C18" s="1" t="s">
        <v>248</v>
      </c>
      <c r="D18" s="126">
        <f>SUM(D13:D15)</f>
        <v>6741000.0000000009</v>
      </c>
      <c r="E18"/>
      <c r="F18" s="126"/>
      <c r="G18"/>
      <c r="K18" s="1" t="s">
        <v>248</v>
      </c>
      <c r="L18" s="5">
        <f>SUM(L13:L14)</f>
        <v>6275107.8086939855</v>
      </c>
    </row>
    <row r="19" spans="2:23" ht="15.75" thickBot="1" x14ac:dyDescent="0.3">
      <c r="B19" s="66"/>
      <c r="C19" s="68"/>
      <c r="D19" s="68"/>
      <c r="E19" s="68"/>
      <c r="F19" s="68"/>
      <c r="G19" s="68"/>
      <c r="H19" s="66"/>
    </row>
    <row r="20" spans="2:23" ht="15.75" thickBot="1" x14ac:dyDescent="0.3">
      <c r="B20" s="66"/>
      <c r="C20" s="190" t="s">
        <v>229</v>
      </c>
      <c r="D20" s="191"/>
      <c r="E20" s="191"/>
      <c r="F20" s="191"/>
      <c r="G20" s="191"/>
      <c r="H20" s="191"/>
      <c r="I20" s="192"/>
      <c r="K20" s="193" t="s">
        <v>253</v>
      </c>
      <c r="L20" s="194"/>
      <c r="M20" s="194"/>
      <c r="N20" s="194"/>
      <c r="O20" s="194"/>
      <c r="P20" s="194"/>
      <c r="Q20" s="194"/>
      <c r="R20" s="194"/>
      <c r="S20" s="195"/>
    </row>
    <row r="21" spans="2:23" ht="45" x14ac:dyDescent="0.25">
      <c r="C21" s="70" t="s">
        <v>0</v>
      </c>
      <c r="D21" s="67" t="s">
        <v>265</v>
      </c>
      <c r="E21" s="67" t="s">
        <v>222</v>
      </c>
      <c r="F21" s="67" t="s">
        <v>234</v>
      </c>
      <c r="G21" s="67" t="s">
        <v>224</v>
      </c>
      <c r="H21" s="69" t="s">
        <v>225</v>
      </c>
      <c r="I21" s="71" t="s">
        <v>223</v>
      </c>
      <c r="K21" s="96"/>
      <c r="L21" s="94"/>
      <c r="M21" s="94"/>
      <c r="N21" s="95"/>
      <c r="O21" s="133" t="s">
        <v>258</v>
      </c>
      <c r="P21" s="133" t="s">
        <v>256</v>
      </c>
      <c r="Q21" s="133" t="s">
        <v>259</v>
      </c>
      <c r="R21" s="132" t="s">
        <v>260</v>
      </c>
      <c r="S21" s="129"/>
    </row>
    <row r="22" spans="2:23" x14ac:dyDescent="0.25">
      <c r="C22" s="72" t="s">
        <v>4</v>
      </c>
      <c r="D22" s="82">
        <f>L4-D4</f>
        <v>-22379.671583708376</v>
      </c>
      <c r="E22" s="77"/>
      <c r="F22" s="84">
        <f t="shared" ref="F22:I26" si="2">N4-F4</f>
        <v>-649010.47592753172</v>
      </c>
      <c r="G22" s="84">
        <f t="shared" si="2"/>
        <v>0</v>
      </c>
      <c r="H22" s="85">
        <f t="shared" si="2"/>
        <v>0</v>
      </c>
      <c r="I22" s="86">
        <f t="shared" si="2"/>
        <v>-649010.47592753172</v>
      </c>
      <c r="K22" s="96"/>
      <c r="L22" s="106" t="s">
        <v>267</v>
      </c>
      <c r="M22" s="94"/>
      <c r="N22" s="95"/>
      <c r="O22" s="133"/>
      <c r="P22" s="133"/>
      <c r="Q22" s="133"/>
      <c r="R22" s="133"/>
      <c r="S22" s="134"/>
    </row>
    <row r="23" spans="2:23" x14ac:dyDescent="0.25">
      <c r="C23" s="72" t="s">
        <v>5</v>
      </c>
      <c r="D23" s="82">
        <f>L5-D5</f>
        <v>-3908.8143787647132</v>
      </c>
      <c r="E23" s="77"/>
      <c r="F23" s="84">
        <f t="shared" si="2"/>
        <v>-128990.8744992353</v>
      </c>
      <c r="G23" s="84">
        <f t="shared" si="2"/>
        <v>0</v>
      </c>
      <c r="H23" s="85">
        <f t="shared" si="2"/>
        <v>0</v>
      </c>
      <c r="I23" s="86">
        <f t="shared" si="2"/>
        <v>-128990.8744992353</v>
      </c>
      <c r="K23" s="96"/>
      <c r="L23" s="103" t="s">
        <v>227</v>
      </c>
      <c r="M23" s="97"/>
      <c r="N23" s="97"/>
      <c r="O23" s="107">
        <f>F31</f>
        <v>-778915.22818729398</v>
      </c>
      <c r="P23" s="107">
        <f>'LOAD DATA and INPUT SEASONAL'!I11</f>
        <v>3300.1571503404925</v>
      </c>
      <c r="Q23" s="104">
        <f>O23/P23</f>
        <v>-236.02367787453082</v>
      </c>
      <c r="R23" s="104">
        <f>Q23/12</f>
        <v>-19.668639822877569</v>
      </c>
      <c r="S23" s="130"/>
      <c r="V23" s="5"/>
      <c r="W23" s="136"/>
    </row>
    <row r="24" spans="2:23" x14ac:dyDescent="0.25">
      <c r="C24" s="72" t="s">
        <v>21</v>
      </c>
      <c r="D24" s="82">
        <f>L6-D6</f>
        <v>-346.15873496302265</v>
      </c>
      <c r="E24" s="77"/>
      <c r="F24" s="84">
        <f t="shared" si="2"/>
        <v>-13846.34939852095</v>
      </c>
      <c r="G24" s="84">
        <f t="shared" si="2"/>
        <v>0</v>
      </c>
      <c r="H24" s="85">
        <f t="shared" si="2"/>
        <v>0</v>
      </c>
      <c r="I24" s="86">
        <f t="shared" si="2"/>
        <v>-13846.34939852095</v>
      </c>
      <c r="K24" s="96"/>
      <c r="L24" s="103" t="s">
        <v>228</v>
      </c>
      <c r="M24" s="97"/>
      <c r="N24" s="97"/>
      <c r="O24" s="107">
        <f>H31</f>
        <v>-262.11954143058983</v>
      </c>
      <c r="P24" s="107">
        <f>P23</f>
        <v>3300.1571503404925</v>
      </c>
      <c r="Q24" s="104">
        <f>O24/P24</f>
        <v>-7.9426381681110478E-2</v>
      </c>
      <c r="R24" s="104">
        <f t="shared" ref="R24:R38" si="3">Q24/12</f>
        <v>-6.6188651400925398E-3</v>
      </c>
      <c r="S24" s="130"/>
      <c r="V24" s="5"/>
      <c r="W24" s="136"/>
    </row>
    <row r="25" spans="2:23" x14ac:dyDescent="0.25">
      <c r="C25" s="70" t="s">
        <v>226</v>
      </c>
      <c r="D25" s="83">
        <f>L7-D7</f>
        <v>0</v>
      </c>
      <c r="E25" s="79"/>
      <c r="F25" s="87">
        <f t="shared" si="2"/>
        <v>0</v>
      </c>
      <c r="G25" s="87">
        <f t="shared" si="2"/>
        <v>0</v>
      </c>
      <c r="H25" s="87">
        <f t="shared" si="2"/>
        <v>-248921.91306014211</v>
      </c>
      <c r="I25" s="88">
        <f t="shared" si="2"/>
        <v>-248921.91306018829</v>
      </c>
      <c r="K25" s="96"/>
      <c r="L25" s="122" t="s">
        <v>231</v>
      </c>
      <c r="M25" s="123"/>
      <c r="N25" s="123"/>
      <c r="O25" s="127">
        <f>G31</f>
        <v>-2170839.4671873772</v>
      </c>
      <c r="P25" s="127">
        <f>P24</f>
        <v>3300.1571503404925</v>
      </c>
      <c r="Q25" s="124">
        <f>O25/P25</f>
        <v>-657.79881632709566</v>
      </c>
      <c r="R25" s="124">
        <f t="shared" si="3"/>
        <v>-54.816568027257972</v>
      </c>
      <c r="S25" s="131"/>
      <c r="V25" s="5"/>
      <c r="W25" s="136"/>
    </row>
    <row r="26" spans="2:23" ht="15.75" thickBot="1" x14ac:dyDescent="0.3">
      <c r="C26" s="72" t="s">
        <v>6</v>
      </c>
      <c r="D26" s="82">
        <f>L8-D8</f>
        <v>-26634.644697436132</v>
      </c>
      <c r="E26" s="77">
        <f>M8-E8</f>
        <v>-1.9281202985581558E-3</v>
      </c>
      <c r="F26" s="84">
        <f t="shared" si="2"/>
        <v>-791847.69982522726</v>
      </c>
      <c r="G26" s="84">
        <f t="shared" si="2"/>
        <v>0</v>
      </c>
      <c r="H26" s="84">
        <f t="shared" si="2"/>
        <v>-248921.91306014211</v>
      </c>
      <c r="I26" s="86">
        <f t="shared" si="2"/>
        <v>-1040769.6128854752</v>
      </c>
      <c r="K26" s="96"/>
      <c r="L26" s="103" t="s">
        <v>10</v>
      </c>
      <c r="M26" s="97"/>
      <c r="N26" s="97"/>
      <c r="O26" s="107">
        <f>I31</f>
        <v>-2950016.8149161017</v>
      </c>
      <c r="P26" s="107">
        <f>P25</f>
        <v>3300.1571503404925</v>
      </c>
      <c r="Q26" s="104">
        <f>O26/P26</f>
        <v>-893.90192058330763</v>
      </c>
      <c r="R26" s="104">
        <f t="shared" si="3"/>
        <v>-74.491826715275636</v>
      </c>
      <c r="S26" s="130"/>
    </row>
    <row r="27" spans="2:23" ht="15.75" thickBot="1" x14ac:dyDescent="0.3">
      <c r="C27" s="190" t="s">
        <v>247</v>
      </c>
      <c r="D27" s="191"/>
      <c r="E27" s="191"/>
      <c r="F27" s="191"/>
      <c r="G27" s="191"/>
      <c r="H27" s="191"/>
      <c r="I27" s="192"/>
      <c r="K27" s="96"/>
      <c r="L27" s="97"/>
      <c r="M27" s="98"/>
      <c r="N27" s="97"/>
      <c r="O27" s="128"/>
      <c r="P27" s="128"/>
      <c r="Q27" s="104"/>
      <c r="R27" s="104"/>
      <c r="S27" s="73"/>
    </row>
    <row r="28" spans="2:23" ht="14.25" customHeight="1" x14ac:dyDescent="0.25">
      <c r="C28" s="121"/>
      <c r="D28" s="115"/>
      <c r="E28" s="116" t="s">
        <v>241</v>
      </c>
      <c r="F28" s="117" t="s">
        <v>235</v>
      </c>
      <c r="G28" s="118" t="s">
        <v>238</v>
      </c>
      <c r="H28" s="118" t="s">
        <v>239</v>
      </c>
      <c r="I28" s="120"/>
      <c r="K28" s="96"/>
      <c r="L28" s="106" t="s">
        <v>11</v>
      </c>
      <c r="M28" s="97"/>
      <c r="N28" s="99"/>
      <c r="O28" s="107"/>
      <c r="P28" s="107"/>
      <c r="Q28" s="104"/>
      <c r="R28" s="104"/>
      <c r="S28" s="73"/>
    </row>
    <row r="29" spans="2:23" ht="14.25" customHeight="1" x14ac:dyDescent="0.25">
      <c r="C29" s="119"/>
      <c r="D29" s="115" t="s">
        <v>244</v>
      </c>
      <c r="E29" s="116" t="s">
        <v>242</v>
      </c>
      <c r="F29" s="117" t="s">
        <v>236</v>
      </c>
      <c r="G29" s="118" t="s">
        <v>236</v>
      </c>
      <c r="H29" s="118" t="s">
        <v>240</v>
      </c>
      <c r="I29" s="120" t="s">
        <v>6</v>
      </c>
      <c r="K29" s="96"/>
      <c r="L29" s="103" t="s">
        <v>227</v>
      </c>
      <c r="M29" s="97"/>
      <c r="N29" s="99"/>
      <c r="O29" s="107">
        <f>F32</f>
        <v>-12932.471637904644</v>
      </c>
      <c r="P29" s="107">
        <f>'LOAD DATA and INPUT SEASONAL'!I13</f>
        <v>748814.32153438183</v>
      </c>
      <c r="Q29" s="104">
        <f>O29/P29</f>
        <v>-1.7270598686474039E-2</v>
      </c>
      <c r="R29" s="104">
        <f t="shared" si="3"/>
        <v>-1.43921655720617E-3</v>
      </c>
      <c r="S29" s="130"/>
    </row>
    <row r="30" spans="2:23" ht="14.25" customHeight="1" x14ac:dyDescent="0.25">
      <c r="C30" s="75" t="s">
        <v>1</v>
      </c>
      <c r="D30" s="89" t="s">
        <v>266</v>
      </c>
      <c r="E30" s="80" t="s">
        <v>243</v>
      </c>
      <c r="F30" s="138" t="s">
        <v>237</v>
      </c>
      <c r="G30" s="138" t="s">
        <v>237</v>
      </c>
      <c r="H30" s="138" t="s">
        <v>237</v>
      </c>
      <c r="I30" s="90" t="s">
        <v>237</v>
      </c>
      <c r="K30" s="96"/>
      <c r="L30" s="103" t="s">
        <v>228</v>
      </c>
      <c r="M30" s="97"/>
      <c r="N30" s="99"/>
      <c r="O30" s="107">
        <f>H32</f>
        <v>-248659.79351871152</v>
      </c>
      <c r="P30" s="107">
        <f>P29</f>
        <v>748814.32153438183</v>
      </c>
      <c r="Q30" s="104">
        <f>O30/P30</f>
        <v>-0.33207136451288383</v>
      </c>
      <c r="R30" s="104">
        <f t="shared" si="3"/>
        <v>-2.7672613709406987E-2</v>
      </c>
      <c r="S30" s="130"/>
    </row>
    <row r="31" spans="2:23" x14ac:dyDescent="0.25">
      <c r="C31" s="74" t="s">
        <v>273</v>
      </c>
      <c r="D31" s="85">
        <f>L13-D13</f>
        <v>-24892.191306014214</v>
      </c>
      <c r="E31" s="78"/>
      <c r="F31" s="85">
        <f t="shared" ref="F31:I32" si="4">N13-F13</f>
        <v>-778915.22818729398</v>
      </c>
      <c r="G31" s="85">
        <f t="shared" si="4"/>
        <v>-2170839.4671873772</v>
      </c>
      <c r="H31" s="85">
        <f t="shared" si="4"/>
        <v>-262.11954143058983</v>
      </c>
      <c r="I31" s="86">
        <f t="shared" si="4"/>
        <v>-2950016.8149161017</v>
      </c>
      <c r="K31" s="96"/>
      <c r="L31" s="122" t="s">
        <v>232</v>
      </c>
      <c r="M31" s="123"/>
      <c r="N31" s="125"/>
      <c r="O31" s="127">
        <f>G32</f>
        <v>2170839.4671874046</v>
      </c>
      <c r="P31" s="127">
        <f t="shared" ref="P31:P32" si="5">P30</f>
        <v>748814.32153438183</v>
      </c>
      <c r="Q31" s="124">
        <f>O31/P31</f>
        <v>2.8990357218852023</v>
      </c>
      <c r="R31" s="124">
        <f t="shared" si="3"/>
        <v>0.24158631015710019</v>
      </c>
      <c r="S31" s="131"/>
    </row>
    <row r="32" spans="2:23" x14ac:dyDescent="0.25">
      <c r="C32" s="110" t="s">
        <v>274</v>
      </c>
      <c r="D32" s="111">
        <f>L14-D14</f>
        <v>0</v>
      </c>
      <c r="E32" s="112" t="s">
        <v>233</v>
      </c>
      <c r="F32" s="113">
        <f t="shared" si="4"/>
        <v>-12932.471637904644</v>
      </c>
      <c r="G32" s="113">
        <f t="shared" si="4"/>
        <v>2170839.4671874046</v>
      </c>
      <c r="H32" s="113">
        <f t="shared" si="4"/>
        <v>-248659.79351871152</v>
      </c>
      <c r="I32" s="114">
        <f t="shared" si="4"/>
        <v>1909247.2020308971</v>
      </c>
      <c r="K32" s="96"/>
      <c r="L32" s="103" t="s">
        <v>12</v>
      </c>
      <c r="M32" s="97"/>
      <c r="N32" s="99"/>
      <c r="O32" s="107">
        <f>I32</f>
        <v>1909247.2020308971</v>
      </c>
      <c r="P32" s="107">
        <f t="shared" si="5"/>
        <v>748814.32153438183</v>
      </c>
      <c r="Q32" s="104">
        <f>O32/P32</f>
        <v>2.5496937586859896</v>
      </c>
      <c r="R32" s="104">
        <f t="shared" si="3"/>
        <v>0.21247447989049914</v>
      </c>
      <c r="S32" s="130"/>
    </row>
    <row r="33" spans="3:21" ht="15.75" thickBot="1" x14ac:dyDescent="0.3">
      <c r="C33" s="105" t="s">
        <v>6</v>
      </c>
      <c r="D33" s="137">
        <f t="shared" ref="D33:I33" si="6">L16-D16</f>
        <v>-24892.191306014545</v>
      </c>
      <c r="E33" s="109">
        <f t="shared" si="6"/>
        <v>-2.0630887194563741E-3</v>
      </c>
      <c r="F33" s="92">
        <f t="shared" si="6"/>
        <v>-791847.69982519746</v>
      </c>
      <c r="G33" s="92">
        <f t="shared" si="6"/>
        <v>0</v>
      </c>
      <c r="H33" s="92">
        <f t="shared" si="6"/>
        <v>-248921.91306014211</v>
      </c>
      <c r="I33" s="93">
        <f t="shared" si="6"/>
        <v>-1040769.6128853559</v>
      </c>
      <c r="K33" s="96"/>
      <c r="L33" s="103"/>
      <c r="M33" s="97"/>
      <c r="N33" s="99"/>
      <c r="O33" s="107"/>
      <c r="P33" s="107"/>
      <c r="Q33" s="104"/>
      <c r="R33" s="104"/>
      <c r="S33" s="130"/>
    </row>
    <row r="34" spans="3:21" x14ac:dyDescent="0.25">
      <c r="C34"/>
      <c r="D34"/>
      <c r="E34"/>
      <c r="F34"/>
      <c r="G34"/>
      <c r="K34" s="96"/>
      <c r="L34" s="106" t="s">
        <v>245</v>
      </c>
      <c r="M34" s="97"/>
      <c r="N34" s="99"/>
      <c r="O34" s="107"/>
      <c r="P34" s="107"/>
      <c r="Q34" s="104"/>
      <c r="R34" s="104"/>
      <c r="S34" s="130"/>
    </row>
    <row r="35" spans="3:21" x14ac:dyDescent="0.25">
      <c r="C35" s="1" t="s">
        <v>248</v>
      </c>
      <c r="D35" s="5">
        <f>L18-D18</f>
        <v>-465892.19130601548</v>
      </c>
      <c r="E35" s="1">
        <f>F33/D33</f>
        <v>31.81108846909224</v>
      </c>
      <c r="K35" s="96"/>
      <c r="L35" s="103" t="s">
        <v>227</v>
      </c>
      <c r="M35" s="97"/>
      <c r="N35" s="99"/>
      <c r="O35" s="107">
        <f>O23+O29</f>
        <v>-791847.69982519862</v>
      </c>
      <c r="P35" s="107">
        <f>P23+P29</f>
        <v>752114.47868472233</v>
      </c>
      <c r="Q35" s="104">
        <f>O35/P35</f>
        <v>-1.0528286880076563</v>
      </c>
      <c r="R35" s="104">
        <f t="shared" si="3"/>
        <v>-8.7735724000638018E-2</v>
      </c>
      <c r="S35" s="130"/>
    </row>
    <row r="36" spans="3:21" x14ac:dyDescent="0.25">
      <c r="K36" s="96"/>
      <c r="L36" s="103" t="s">
        <v>228</v>
      </c>
      <c r="M36" s="97"/>
      <c r="N36" s="99"/>
      <c r="O36" s="107">
        <f>O24+O30</f>
        <v>-248921.91306014211</v>
      </c>
      <c r="P36" s="107">
        <f>P35</f>
        <v>752114.47868472233</v>
      </c>
      <c r="Q36" s="104">
        <f>O36/P36</f>
        <v>-0.33096279903486248</v>
      </c>
      <c r="R36" s="104">
        <f t="shared" si="3"/>
        <v>-2.7580233252905206E-2</v>
      </c>
      <c r="S36" s="130"/>
      <c r="U36" s="2"/>
    </row>
    <row r="37" spans="3:21" x14ac:dyDescent="0.25">
      <c r="K37" s="96"/>
      <c r="L37" s="122" t="s">
        <v>246</v>
      </c>
      <c r="M37" s="123"/>
      <c r="N37" s="125"/>
      <c r="O37" s="127">
        <v>0</v>
      </c>
      <c r="P37" s="127">
        <f t="shared" ref="P37:P38" si="7">P36</f>
        <v>752114.47868472233</v>
      </c>
      <c r="Q37" s="124">
        <f>O37/P37</f>
        <v>0</v>
      </c>
      <c r="R37" s="124">
        <f t="shared" si="3"/>
        <v>0</v>
      </c>
      <c r="S37" s="131"/>
    </row>
    <row r="38" spans="3:21" x14ac:dyDescent="0.25">
      <c r="K38" s="96"/>
      <c r="L38" s="103" t="s">
        <v>255</v>
      </c>
      <c r="M38" s="97"/>
      <c r="N38" s="99"/>
      <c r="O38" s="107">
        <f>O26+O32</f>
        <v>-1040769.6128852046</v>
      </c>
      <c r="P38" s="107">
        <f t="shared" si="7"/>
        <v>752114.47868472233</v>
      </c>
      <c r="Q38" s="104">
        <f>O38/P38</f>
        <v>-1.3837914870423378</v>
      </c>
      <c r="R38" s="104">
        <f t="shared" si="3"/>
        <v>-0.11531595725352815</v>
      </c>
      <c r="S38" s="130"/>
    </row>
    <row r="39" spans="3:21" ht="15.75" thickBot="1" x14ac:dyDescent="0.3">
      <c r="K39" s="101"/>
      <c r="L39" s="100"/>
      <c r="M39" s="100"/>
      <c r="N39" s="100"/>
      <c r="O39" s="100"/>
      <c r="P39" s="100"/>
      <c r="Q39" s="100"/>
      <c r="R39" s="100"/>
      <c r="S39" s="102"/>
    </row>
  </sheetData>
  <mergeCells count="7">
    <mergeCell ref="C27:I27"/>
    <mergeCell ref="K20:S20"/>
    <mergeCell ref="C2:I2"/>
    <mergeCell ref="K2:Q2"/>
    <mergeCell ref="C9:I9"/>
    <mergeCell ref="K9:Q9"/>
    <mergeCell ref="C20:I20"/>
  </mergeCells>
  <pageMargins left="0.7" right="0.7" top="0.75" bottom="0.75" header="0.3" footer="0.3"/>
  <pageSetup scale="3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M124"/>
  <sheetViews>
    <sheetView topLeftCell="A73" workbookViewId="0">
      <selection activeCell="I87" sqref="I87"/>
    </sheetView>
  </sheetViews>
  <sheetFormatPr defaultColWidth="10.5703125" defaultRowHeight="15" x14ac:dyDescent="0.25"/>
  <cols>
    <col min="1" max="12" width="10.5703125" style="3"/>
    <col min="13" max="13" width="12.28515625" style="3" customWidth="1"/>
    <col min="14" max="15" width="10.5703125" style="3"/>
    <col min="16" max="16" width="14" style="3" customWidth="1"/>
    <col min="17" max="17" width="15.28515625" style="3" bestFit="1" customWidth="1"/>
    <col min="18" max="18" width="13.42578125" style="3" bestFit="1" customWidth="1"/>
    <col min="19" max="19" width="13.7109375" style="3" bestFit="1" customWidth="1"/>
    <col min="20" max="21" width="11.5703125" style="3" bestFit="1" customWidth="1"/>
    <col min="22" max="22" width="10.7109375" style="3" bestFit="1" customWidth="1"/>
    <col min="23" max="23" width="11.28515625" style="3" bestFit="1" customWidth="1"/>
    <col min="24" max="24" width="10.5703125" style="3"/>
    <col min="25" max="25" width="13.28515625" style="3" bestFit="1" customWidth="1"/>
    <col min="26" max="27" width="10.5703125" style="3"/>
    <col min="28" max="39" width="13" style="3" customWidth="1"/>
    <col min="40" max="16384" width="10.5703125" style="3"/>
  </cols>
  <sheetData>
    <row r="1" spans="1:39" s="146" customFormat="1" ht="87.75" customHeight="1" x14ac:dyDescent="0.25">
      <c r="B1" s="196" t="s">
        <v>13</v>
      </c>
      <c r="C1" s="196"/>
      <c r="D1" s="196"/>
      <c r="E1" s="196" t="s">
        <v>8</v>
      </c>
      <c r="F1" s="196"/>
      <c r="G1" s="196"/>
      <c r="H1" s="186"/>
      <c r="I1" s="197" t="s">
        <v>7</v>
      </c>
      <c r="J1" s="197"/>
      <c r="K1" s="197"/>
      <c r="L1" s="187"/>
      <c r="M1" s="197" t="s">
        <v>9</v>
      </c>
      <c r="N1" s="197"/>
      <c r="O1" s="197"/>
      <c r="P1" s="187"/>
      <c r="Q1" s="187"/>
      <c r="R1" s="187"/>
      <c r="S1" s="188" t="s">
        <v>14</v>
      </c>
      <c r="T1" s="198" t="s">
        <v>57</v>
      </c>
      <c r="U1" s="198"/>
      <c r="V1" s="196" t="s">
        <v>16</v>
      </c>
      <c r="W1" s="196"/>
      <c r="X1" s="196"/>
      <c r="Y1" s="196"/>
      <c r="Z1" s="196"/>
      <c r="AA1" s="186"/>
      <c r="AB1" s="197" t="s">
        <v>17</v>
      </c>
      <c r="AC1" s="197"/>
      <c r="AD1" s="197"/>
      <c r="AE1" s="197"/>
      <c r="AF1" s="197" t="s">
        <v>18</v>
      </c>
      <c r="AG1" s="197"/>
      <c r="AH1" s="197"/>
      <c r="AI1" s="197"/>
      <c r="AJ1" s="197" t="s">
        <v>19</v>
      </c>
      <c r="AK1" s="197"/>
      <c r="AL1" s="197"/>
      <c r="AM1" s="197"/>
    </row>
    <row r="2" spans="1:39" s="146" customFormat="1" ht="45" x14ac:dyDescent="0.25">
      <c r="A2" s="146" t="s">
        <v>20</v>
      </c>
      <c r="B2" s="187" t="s">
        <v>4</v>
      </c>
      <c r="C2" s="187" t="s">
        <v>5</v>
      </c>
      <c r="D2" s="187" t="s">
        <v>21</v>
      </c>
      <c r="E2" s="187" t="s">
        <v>4</v>
      </c>
      <c r="F2" s="187" t="s">
        <v>5</v>
      </c>
      <c r="G2" s="187" t="s">
        <v>21</v>
      </c>
      <c r="H2" s="187" t="s">
        <v>6</v>
      </c>
      <c r="I2" s="187" t="s">
        <v>4</v>
      </c>
      <c r="J2" s="187" t="s">
        <v>5</v>
      </c>
      <c r="K2" s="187" t="s">
        <v>21</v>
      </c>
      <c r="L2" s="187" t="s">
        <v>22</v>
      </c>
      <c r="M2" s="187" t="s">
        <v>4</v>
      </c>
      <c r="N2" s="187" t="s">
        <v>5</v>
      </c>
      <c r="O2" s="187" t="s">
        <v>21</v>
      </c>
      <c r="P2" s="187" t="s">
        <v>6</v>
      </c>
      <c r="Q2" s="187" t="s">
        <v>23</v>
      </c>
      <c r="R2" s="186" t="s">
        <v>43</v>
      </c>
      <c r="S2" s="187" t="s">
        <v>23</v>
      </c>
      <c r="T2" s="188" t="s">
        <v>58</v>
      </c>
      <c r="U2" s="188" t="s">
        <v>25</v>
      </c>
      <c r="V2" s="146" t="s">
        <v>26</v>
      </c>
      <c r="W2" s="189" t="s">
        <v>56</v>
      </c>
      <c r="X2" s="189"/>
      <c r="Y2" s="146" t="s">
        <v>6</v>
      </c>
      <c r="Z2" s="189" t="s">
        <v>27</v>
      </c>
      <c r="AA2" s="189" t="s">
        <v>28</v>
      </c>
      <c r="AB2" s="146" t="s">
        <v>26</v>
      </c>
      <c r="AC2" s="146" t="s">
        <v>2</v>
      </c>
      <c r="AD2" s="146" t="s">
        <v>3</v>
      </c>
      <c r="AE2" s="146" t="s">
        <v>6</v>
      </c>
      <c r="AF2" s="146" t="s">
        <v>26</v>
      </c>
      <c r="AG2" s="146" t="s">
        <v>2</v>
      </c>
      <c r="AH2" s="146" t="s">
        <v>3</v>
      </c>
      <c r="AI2" s="146" t="s">
        <v>6</v>
      </c>
      <c r="AJ2" s="146" t="s">
        <v>26</v>
      </c>
      <c r="AK2" s="146" t="s">
        <v>2</v>
      </c>
      <c r="AL2" s="146" t="s">
        <v>3</v>
      </c>
      <c r="AM2" s="146" t="s">
        <v>6</v>
      </c>
    </row>
    <row r="3" spans="1:39" s="146" customFormat="1" x14ac:dyDescent="0.25"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6"/>
      <c r="S3" s="187"/>
      <c r="T3" s="188"/>
      <c r="U3" s="188"/>
      <c r="W3" s="189"/>
      <c r="X3" s="189"/>
      <c r="Z3" s="189"/>
      <c r="AA3" s="189"/>
    </row>
    <row r="4" spans="1:39" s="66" customFormat="1" x14ac:dyDescent="0.25">
      <c r="A4" s="66" t="s">
        <v>30</v>
      </c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3"/>
      <c r="M4" s="143"/>
      <c r="N4" s="143"/>
      <c r="O4" s="143"/>
      <c r="P4" s="143"/>
      <c r="Q4" s="143"/>
      <c r="R4" s="143"/>
      <c r="S4" s="143"/>
      <c r="T4" s="144"/>
      <c r="U4" s="144"/>
      <c r="V4" s="146"/>
      <c r="Z4" s="147"/>
      <c r="AA4" s="147"/>
    </row>
    <row r="5" spans="1:39" s="66" customFormat="1" x14ac:dyDescent="0.25">
      <c r="A5" s="66">
        <v>1</v>
      </c>
      <c r="B5" s="7">
        <v>1000</v>
      </c>
      <c r="C5" s="148">
        <v>500</v>
      </c>
      <c r="D5" s="148">
        <v>100</v>
      </c>
      <c r="E5" s="148">
        <f>IF(B5&lt;Z5,B5,Z5)</f>
        <v>631.0727252145241</v>
      </c>
      <c r="F5" s="148">
        <f>IF(C5&lt;Z5-E5,C5,Z5-E5)</f>
        <v>0</v>
      </c>
      <c r="G5" s="148">
        <f>IF(SUM(E5,F5)&lt;Z5,IF(SUM(E5,F5,D5)&lt;Z5,D5,Z5-E5-F5),0)</f>
        <v>0</v>
      </c>
      <c r="H5" s="148">
        <f>SUM(E5:G5)</f>
        <v>631.0727252145241</v>
      </c>
      <c r="I5" s="148">
        <v>29</v>
      </c>
      <c r="J5" s="148">
        <v>33</v>
      </c>
      <c r="K5" s="148">
        <v>40</v>
      </c>
      <c r="L5" s="148">
        <f>P5/Y5</f>
        <v>31.030000000000005</v>
      </c>
      <c r="M5" s="7">
        <f>E5*I5</f>
        <v>18301.1090312212</v>
      </c>
      <c r="N5" s="7">
        <f t="shared" ref="N5:O20" si="0">F5*J5</f>
        <v>0</v>
      </c>
      <c r="O5" s="7">
        <f>G5*K5</f>
        <v>0</v>
      </c>
      <c r="P5" s="7">
        <f>SUM(M5:O5)</f>
        <v>18301.1090312212</v>
      </c>
      <c r="Q5" s="7">
        <f>'Seasonal (WITHOUT)'!Q5</f>
        <v>51489.393096228676</v>
      </c>
      <c r="R5" s="7">
        <f>-'LOAD DATA and INPUT SEASONAL'!$A$60*U5</f>
        <v>0</v>
      </c>
      <c r="S5" s="7">
        <f>Q5+R5</f>
        <v>51489.393096228676</v>
      </c>
      <c r="T5" s="8">
        <f t="array" ref="T5:T28">TRANSPOSE('LOAD DATA and INPUT SEASONAL'!F22:AC22)</f>
        <v>2.9489379682921686</v>
      </c>
      <c r="U5" s="7">
        <f t="array" ref="U5:U28">TRANSPOSE('LOAD DATA and INPUT SEASONAL'!F54:AC54)</f>
        <v>0</v>
      </c>
      <c r="V5" s="149">
        <f>T5-U5</f>
        <v>2.9489379682921686</v>
      </c>
      <c r="W5" s="7">
        <f t="array" ref="W5:W28">TRANSPOSE('LOAD DATA and INPUT SEASONAL'!F31:AC31)</f>
        <v>586.83865569014154</v>
      </c>
      <c r="X5" s="148"/>
      <c r="Y5" s="148">
        <f>SUM(V5:X5)</f>
        <v>589.78759365843371</v>
      </c>
      <c r="Z5" s="148">
        <f>Y5*1.07</f>
        <v>631.0727252145241</v>
      </c>
      <c r="AA5" s="148" t="b">
        <f>Z5=H5</f>
        <v>1</v>
      </c>
      <c r="AB5" s="148">
        <f>V5*L5</f>
        <v>91.50554515610601</v>
      </c>
      <c r="AC5" s="148">
        <f>W5*$L5</f>
        <v>18209.603486065094</v>
      </c>
      <c r="AD5" s="148">
        <f>X5*$L5</f>
        <v>0</v>
      </c>
      <c r="AE5" s="148">
        <f>SUM(AB5:AD5)</f>
        <v>18301.1090312212</v>
      </c>
      <c r="AF5" s="148">
        <f>$S5/$Y5*V5</f>
        <v>257.44696548114337</v>
      </c>
      <c r="AG5" s="148">
        <f>$S5/$Y5*W5</f>
        <v>51231.946130747529</v>
      </c>
      <c r="AH5" s="148">
        <f>$S5/$Y5*X5</f>
        <v>0</v>
      </c>
      <c r="AI5" s="148">
        <f>SUM(AF5:AH5)</f>
        <v>51489.393096228669</v>
      </c>
      <c r="AJ5" s="148">
        <f>AB5+AF5</f>
        <v>348.95251063724936</v>
      </c>
      <c r="AK5" s="148">
        <f>AC5+AG5</f>
        <v>69441.549616812626</v>
      </c>
      <c r="AL5" s="148">
        <f>AD5+AH5</f>
        <v>0</v>
      </c>
      <c r="AM5" s="148">
        <f>SUM(AJ5:AL5)</f>
        <v>69790.502127449872</v>
      </c>
    </row>
    <row r="6" spans="1:39" s="66" customFormat="1" x14ac:dyDescent="0.25">
      <c r="A6" s="66">
        <v>2</v>
      </c>
      <c r="B6" s="7">
        <v>1000</v>
      </c>
      <c r="C6" s="148">
        <v>500</v>
      </c>
      <c r="D6" s="148">
        <v>100</v>
      </c>
      <c r="E6" s="148">
        <f t="shared" ref="E6:E28" si="1">IF(B6&lt;Z6,B6,Z6)</f>
        <v>575.32435975481076</v>
      </c>
      <c r="F6" s="148">
        <f t="shared" ref="F6:F28" si="2">IF(C6&lt;Z6-E6,C6,Z6-E6)</f>
        <v>0</v>
      </c>
      <c r="G6" s="148">
        <f t="shared" ref="G6:G28" si="3">IF(SUM(E6,F6)&lt;Z6,IF(SUM(E6,F6,D6)&lt;Z6,D6,Z6-E6-F6),0)</f>
        <v>0</v>
      </c>
      <c r="H6" s="148">
        <f t="shared" ref="H6:H24" si="4">SUM(E6:G6)</f>
        <v>575.32435975481076</v>
      </c>
      <c r="I6" s="148">
        <f>I5</f>
        <v>29</v>
      </c>
      <c r="J6" s="148">
        <f>J5</f>
        <v>33</v>
      </c>
      <c r="K6" s="148">
        <v>40</v>
      </c>
      <c r="L6" s="148">
        <f t="shared" ref="L6:L27" si="5">P6/Y6</f>
        <v>31.029999999999998</v>
      </c>
      <c r="M6" s="7">
        <f t="shared" ref="M6:O24" si="6">E6*I6</f>
        <v>16684.406432889511</v>
      </c>
      <c r="N6" s="7">
        <f t="shared" si="0"/>
        <v>0</v>
      </c>
      <c r="O6" s="7">
        <f t="shared" si="0"/>
        <v>0</v>
      </c>
      <c r="P6" s="7">
        <f t="shared" ref="P6:P24" si="7">SUM(M6:O6)</f>
        <v>16684.406432889511</v>
      </c>
      <c r="Q6" s="7">
        <f>'Seasonal (WITHOUT)'!Q6</f>
        <v>46940.86898967404</v>
      </c>
      <c r="R6" s="7">
        <f>-'LOAD DATA and INPUT SEASONAL'!$A$60*U6</f>
        <v>0</v>
      </c>
      <c r="S6" s="7">
        <f t="shared" ref="S6:S28" si="8">Q6+R6</f>
        <v>46940.86898967404</v>
      </c>
      <c r="T6" s="8">
        <v>2.6884315876393026</v>
      </c>
      <c r="U6" s="7">
        <v>0</v>
      </c>
      <c r="V6" s="149">
        <f t="shared" ref="V6:V27" si="9">T6-U6</f>
        <v>2.6884315876393026</v>
      </c>
      <c r="W6" s="7">
        <v>534.99788594022118</v>
      </c>
      <c r="X6" s="148"/>
      <c r="Y6" s="148">
        <f t="shared" ref="Y6:Y27" si="10">SUM(V6:X6)</f>
        <v>537.68631752786052</v>
      </c>
      <c r="Z6" s="148">
        <f t="shared" ref="Z6:Z27" si="11">Y6*1.07</f>
        <v>575.32435975481076</v>
      </c>
      <c r="AA6" s="148" t="b">
        <f t="shared" ref="AA6:AA24" si="12">Z6=H6</f>
        <v>1</v>
      </c>
      <c r="AB6" s="148">
        <f t="shared" ref="AB6:AB24" si="13">V6*L6</f>
        <v>83.422032164447558</v>
      </c>
      <c r="AC6" s="148">
        <f t="shared" ref="AC6:AD24" si="14">W6*$L6</f>
        <v>16600.984400725061</v>
      </c>
      <c r="AD6" s="148">
        <f t="shared" si="14"/>
        <v>0</v>
      </c>
      <c r="AE6" s="148">
        <f t="shared" ref="AE6:AE24" si="15">SUM(AB6:AD6)</f>
        <v>16684.406432889507</v>
      </c>
      <c r="AF6" s="148">
        <f t="shared" ref="AF6:AH24" si="16">$S6/$Y6*V6</f>
        <v>234.70434494837019</v>
      </c>
      <c r="AG6" s="148">
        <f t="shared" si="16"/>
        <v>46706.164644725664</v>
      </c>
      <c r="AH6" s="148">
        <f t="shared" si="16"/>
        <v>0</v>
      </c>
      <c r="AI6" s="148">
        <f t="shared" ref="AI6:AI24" si="17">SUM(AF6:AH6)</f>
        <v>46940.868989674032</v>
      </c>
      <c r="AJ6" s="148">
        <f t="shared" ref="AJ6:AL24" si="18">AB6+AF6</f>
        <v>318.12637711281775</v>
      </c>
      <c r="AK6" s="148">
        <f t="shared" si="18"/>
        <v>63307.149045450729</v>
      </c>
      <c r="AL6" s="148">
        <f t="shared" si="18"/>
        <v>0</v>
      </c>
      <c r="AM6" s="148">
        <f t="shared" ref="AM6:AM24" si="19">SUM(AJ6:AL6)</f>
        <v>63625.275422563544</v>
      </c>
    </row>
    <row r="7" spans="1:39" s="66" customFormat="1" x14ac:dyDescent="0.25">
      <c r="A7" s="66">
        <v>3</v>
      </c>
      <c r="B7" s="7">
        <v>1000</v>
      </c>
      <c r="C7" s="148">
        <v>500</v>
      </c>
      <c r="D7" s="148">
        <v>100</v>
      </c>
      <c r="E7" s="148">
        <f t="shared" si="1"/>
        <v>544.77981412772988</v>
      </c>
      <c r="F7" s="148">
        <f t="shared" si="2"/>
        <v>0</v>
      </c>
      <c r="G7" s="148">
        <f t="shared" si="3"/>
        <v>0</v>
      </c>
      <c r="H7" s="148">
        <f t="shared" si="4"/>
        <v>544.77981412772988</v>
      </c>
      <c r="I7" s="148">
        <f t="shared" ref="I7:I70" si="20">I6</f>
        <v>29</v>
      </c>
      <c r="J7" s="148">
        <f t="shared" ref="J7:K70" si="21">J6</f>
        <v>33</v>
      </c>
      <c r="K7" s="148">
        <v>40</v>
      </c>
      <c r="L7" s="148">
        <f t="shared" si="5"/>
        <v>31.03</v>
      </c>
      <c r="M7" s="7">
        <f t="shared" si="6"/>
        <v>15798.614609704167</v>
      </c>
      <c r="N7" s="7">
        <f t="shared" si="0"/>
        <v>0</v>
      </c>
      <c r="O7" s="7">
        <f t="shared" si="0"/>
        <v>0</v>
      </c>
      <c r="P7" s="7">
        <f t="shared" si="7"/>
        <v>15798.614609704167</v>
      </c>
      <c r="Q7" s="7">
        <f>'Seasonal (WITHOUT)'!Q7</f>
        <v>44448.731310607269</v>
      </c>
      <c r="R7" s="7">
        <f>-'LOAD DATA and INPUT SEASONAL'!$A$60*U7</f>
        <v>0</v>
      </c>
      <c r="S7" s="7">
        <f t="shared" si="8"/>
        <v>44448.731310607269</v>
      </c>
      <c r="T7" s="8">
        <v>2.5457000660174294</v>
      </c>
      <c r="U7" s="7">
        <v>0</v>
      </c>
      <c r="V7" s="149">
        <f t="shared" si="9"/>
        <v>2.5457000660174294</v>
      </c>
      <c r="W7" s="7">
        <v>506.59431313746842</v>
      </c>
      <c r="X7" s="148"/>
      <c r="Y7" s="148">
        <f t="shared" si="10"/>
        <v>509.14001320348586</v>
      </c>
      <c r="Z7" s="148">
        <f t="shared" si="11"/>
        <v>544.77981412772988</v>
      </c>
      <c r="AA7" s="148" t="b">
        <f t="shared" si="12"/>
        <v>1</v>
      </c>
      <c r="AB7" s="148">
        <f t="shared" si="13"/>
        <v>78.993073048520841</v>
      </c>
      <c r="AC7" s="148">
        <f t="shared" si="14"/>
        <v>15719.621536655646</v>
      </c>
      <c r="AD7" s="148">
        <f t="shared" si="14"/>
        <v>0</v>
      </c>
      <c r="AE7" s="148">
        <f t="shared" si="15"/>
        <v>15798.614609704167</v>
      </c>
      <c r="AF7" s="148">
        <f t="shared" si="16"/>
        <v>222.24365655303635</v>
      </c>
      <c r="AG7" s="148">
        <f t="shared" si="16"/>
        <v>44226.487654054232</v>
      </c>
      <c r="AH7" s="148">
        <f t="shared" si="16"/>
        <v>0</v>
      </c>
      <c r="AI7" s="148">
        <f t="shared" si="17"/>
        <v>44448.731310607269</v>
      </c>
      <c r="AJ7" s="148">
        <f t="shared" si="18"/>
        <v>301.23672960155716</v>
      </c>
      <c r="AK7" s="148">
        <f t="shared" si="18"/>
        <v>59946.109190709874</v>
      </c>
      <c r="AL7" s="148">
        <f t="shared" si="18"/>
        <v>0</v>
      </c>
      <c r="AM7" s="148">
        <f t="shared" si="19"/>
        <v>60247.345920311433</v>
      </c>
    </row>
    <row r="8" spans="1:39" s="66" customFormat="1" x14ac:dyDescent="0.25">
      <c r="A8" s="66">
        <v>4</v>
      </c>
      <c r="B8" s="7">
        <v>1000</v>
      </c>
      <c r="C8" s="148">
        <v>500</v>
      </c>
      <c r="D8" s="148">
        <v>100</v>
      </c>
      <c r="E8" s="148">
        <f t="shared" si="1"/>
        <v>535.6111103487732</v>
      </c>
      <c r="F8" s="148">
        <f t="shared" si="2"/>
        <v>0</v>
      </c>
      <c r="G8" s="148">
        <f t="shared" si="3"/>
        <v>0</v>
      </c>
      <c r="H8" s="148">
        <f t="shared" si="4"/>
        <v>535.6111103487732</v>
      </c>
      <c r="I8" s="148">
        <f t="shared" si="20"/>
        <v>29</v>
      </c>
      <c r="J8" s="148">
        <f t="shared" si="21"/>
        <v>33</v>
      </c>
      <c r="K8" s="148">
        <v>40</v>
      </c>
      <c r="L8" s="148">
        <f t="shared" si="5"/>
        <v>31.029999999999998</v>
      </c>
      <c r="M8" s="7">
        <f t="shared" si="6"/>
        <v>15532.722200114422</v>
      </c>
      <c r="N8" s="7">
        <f t="shared" si="0"/>
        <v>0</v>
      </c>
      <c r="O8" s="7">
        <f t="shared" si="0"/>
        <v>0</v>
      </c>
      <c r="P8" s="7">
        <f t="shared" si="7"/>
        <v>15532.722200114422</v>
      </c>
      <c r="Q8" s="7">
        <f>'Seasonal (WITHOUT)'!Q8</f>
        <v>43700.654307442383</v>
      </c>
      <c r="R8" s="7">
        <f>-'LOAD DATA and INPUT SEASONAL'!$A$60*U8</f>
        <v>0</v>
      </c>
      <c r="S8" s="7">
        <f t="shared" si="8"/>
        <v>43700.654307442383</v>
      </c>
      <c r="T8" s="8">
        <v>2.5028556558353889</v>
      </c>
      <c r="U8" s="7">
        <v>0</v>
      </c>
      <c r="V8" s="149">
        <f t="shared" si="9"/>
        <v>2.5028556558353889</v>
      </c>
      <c r="W8" s="7">
        <v>498.06827551124235</v>
      </c>
      <c r="X8" s="148"/>
      <c r="Y8" s="148">
        <f t="shared" si="10"/>
        <v>500.57113116707774</v>
      </c>
      <c r="Z8" s="148">
        <f t="shared" si="11"/>
        <v>535.6111103487732</v>
      </c>
      <c r="AA8" s="148" t="b">
        <f t="shared" si="12"/>
        <v>1</v>
      </c>
      <c r="AB8" s="148">
        <f t="shared" si="13"/>
        <v>77.663611000572118</v>
      </c>
      <c r="AC8" s="148">
        <f t="shared" si="14"/>
        <v>15455.058589113849</v>
      </c>
      <c r="AD8" s="148">
        <f t="shared" si="14"/>
        <v>0</v>
      </c>
      <c r="AE8" s="148">
        <f t="shared" si="15"/>
        <v>15532.722200114422</v>
      </c>
      <c r="AF8" s="148">
        <f t="shared" si="16"/>
        <v>218.50327153721196</v>
      </c>
      <c r="AG8" s="148">
        <f t="shared" si="16"/>
        <v>43482.151035905175</v>
      </c>
      <c r="AH8" s="148">
        <f t="shared" si="16"/>
        <v>0</v>
      </c>
      <c r="AI8" s="148">
        <f t="shared" si="17"/>
        <v>43700.65430744239</v>
      </c>
      <c r="AJ8" s="148">
        <f t="shared" si="18"/>
        <v>296.16688253778409</v>
      </c>
      <c r="AK8" s="148">
        <f t="shared" si="18"/>
        <v>58937.209625019022</v>
      </c>
      <c r="AL8" s="148">
        <f t="shared" si="18"/>
        <v>0</v>
      </c>
      <c r="AM8" s="148">
        <f t="shared" si="19"/>
        <v>59233.376507556808</v>
      </c>
    </row>
    <row r="9" spans="1:39" s="66" customFormat="1" x14ac:dyDescent="0.25">
      <c r="A9" s="66">
        <v>5</v>
      </c>
      <c r="B9" s="7">
        <v>1000</v>
      </c>
      <c r="C9" s="148">
        <v>500</v>
      </c>
      <c r="D9" s="148">
        <v>100</v>
      </c>
      <c r="E9" s="148">
        <f t="shared" si="1"/>
        <v>551.10358088313774</v>
      </c>
      <c r="F9" s="148">
        <f t="shared" si="2"/>
        <v>0</v>
      </c>
      <c r="G9" s="148">
        <f t="shared" si="3"/>
        <v>0</v>
      </c>
      <c r="H9" s="148">
        <f t="shared" si="4"/>
        <v>551.10358088313774</v>
      </c>
      <c r="I9" s="148">
        <f t="shared" si="20"/>
        <v>29</v>
      </c>
      <c r="J9" s="148">
        <f t="shared" si="21"/>
        <v>33</v>
      </c>
      <c r="K9" s="148">
        <v>40</v>
      </c>
      <c r="L9" s="148">
        <f t="shared" si="5"/>
        <v>31.03</v>
      </c>
      <c r="M9" s="7">
        <f t="shared" si="6"/>
        <v>15982.003845610994</v>
      </c>
      <c r="N9" s="7">
        <f t="shared" si="0"/>
        <v>0</v>
      </c>
      <c r="O9" s="7">
        <f t="shared" si="0"/>
        <v>0</v>
      </c>
      <c r="P9" s="7">
        <f t="shared" si="7"/>
        <v>15982.003845610994</v>
      </c>
      <c r="Q9" s="7">
        <f>'Seasonal (WITHOUT)'!Q9</f>
        <v>44964.689138141919</v>
      </c>
      <c r="R9" s="7">
        <f>-'LOAD DATA and INPUT SEASONAL'!$A$60*U9</f>
        <v>0</v>
      </c>
      <c r="S9" s="7">
        <f t="shared" si="8"/>
        <v>44964.689138141919</v>
      </c>
      <c r="T9" s="8">
        <v>2.5752503779585876</v>
      </c>
      <c r="U9" s="7">
        <v>0</v>
      </c>
      <c r="V9" s="149">
        <f t="shared" si="9"/>
        <v>2.5752503779585876</v>
      </c>
      <c r="W9" s="7">
        <v>512.47482521375889</v>
      </c>
      <c r="X9" s="148"/>
      <c r="Y9" s="148">
        <f t="shared" si="10"/>
        <v>515.05007559171747</v>
      </c>
      <c r="Z9" s="148">
        <f t="shared" si="11"/>
        <v>551.10358088313774</v>
      </c>
      <c r="AA9" s="148" t="b">
        <f t="shared" si="12"/>
        <v>1</v>
      </c>
      <c r="AB9" s="148">
        <f t="shared" si="13"/>
        <v>79.910019228054978</v>
      </c>
      <c r="AC9" s="148">
        <f t="shared" si="14"/>
        <v>15902.093826382939</v>
      </c>
      <c r="AD9" s="148">
        <f t="shared" si="14"/>
        <v>0</v>
      </c>
      <c r="AE9" s="148">
        <f t="shared" si="15"/>
        <v>15982.003845610994</v>
      </c>
      <c r="AF9" s="148">
        <f t="shared" si="16"/>
        <v>224.8234456907096</v>
      </c>
      <c r="AG9" s="148">
        <f t="shared" si="16"/>
        <v>44739.865692451211</v>
      </c>
      <c r="AH9" s="148">
        <f t="shared" si="16"/>
        <v>0</v>
      </c>
      <c r="AI9" s="148">
        <f t="shared" si="17"/>
        <v>44964.689138141919</v>
      </c>
      <c r="AJ9" s="148">
        <f t="shared" si="18"/>
        <v>304.73346491876458</v>
      </c>
      <c r="AK9" s="148">
        <f t="shared" si="18"/>
        <v>60641.959518834148</v>
      </c>
      <c r="AL9" s="148">
        <f t="shared" si="18"/>
        <v>0</v>
      </c>
      <c r="AM9" s="148">
        <f t="shared" si="19"/>
        <v>60946.69298375291</v>
      </c>
    </row>
    <row r="10" spans="1:39" s="66" customFormat="1" x14ac:dyDescent="0.25">
      <c r="A10" s="66">
        <v>6</v>
      </c>
      <c r="B10" s="7">
        <v>1000</v>
      </c>
      <c r="C10" s="148">
        <v>500</v>
      </c>
      <c r="D10" s="148">
        <v>100</v>
      </c>
      <c r="E10" s="148">
        <f t="shared" si="1"/>
        <v>599.35463631391576</v>
      </c>
      <c r="F10" s="148">
        <f t="shared" si="2"/>
        <v>0</v>
      </c>
      <c r="G10" s="148">
        <f t="shared" si="3"/>
        <v>0</v>
      </c>
      <c r="H10" s="148">
        <f t="shared" si="4"/>
        <v>599.35463631391576</v>
      </c>
      <c r="I10" s="148">
        <f t="shared" si="20"/>
        <v>29</v>
      </c>
      <c r="J10" s="148">
        <f t="shared" si="21"/>
        <v>33</v>
      </c>
      <c r="K10" s="148">
        <v>40</v>
      </c>
      <c r="L10" s="148">
        <f t="shared" si="5"/>
        <v>31.030000000000005</v>
      </c>
      <c r="M10" s="7">
        <f t="shared" si="6"/>
        <v>17381.284453103559</v>
      </c>
      <c r="N10" s="7">
        <f t="shared" si="0"/>
        <v>0</v>
      </c>
      <c r="O10" s="7">
        <f t="shared" si="0"/>
        <v>0</v>
      </c>
      <c r="P10" s="7">
        <f t="shared" si="7"/>
        <v>17381.284453103559</v>
      </c>
      <c r="Q10" s="7">
        <f>'Seasonal (WITHOUT)'!Q10</f>
        <v>48901.505706372962</v>
      </c>
      <c r="R10" s="7">
        <f>-'LOAD DATA and INPUT SEASONAL'!$A$60*U10</f>
        <v>0</v>
      </c>
      <c r="S10" s="7">
        <f t="shared" si="8"/>
        <v>48901.505706372962</v>
      </c>
      <c r="T10" s="8">
        <v>2.8007225995977372</v>
      </c>
      <c r="U10" s="7">
        <v>0</v>
      </c>
      <c r="V10" s="149">
        <f t="shared" si="9"/>
        <v>2.8007225995977372</v>
      </c>
      <c r="W10" s="7">
        <v>557.34379731994966</v>
      </c>
      <c r="X10" s="148"/>
      <c r="Y10" s="148">
        <f t="shared" si="10"/>
        <v>560.14451991954741</v>
      </c>
      <c r="Z10" s="148">
        <f t="shared" si="11"/>
        <v>599.35463631391576</v>
      </c>
      <c r="AA10" s="148" t="b">
        <f t="shared" si="12"/>
        <v>1</v>
      </c>
      <c r="AB10" s="148">
        <f t="shared" si="13"/>
        <v>86.906422265517804</v>
      </c>
      <c r="AC10" s="148">
        <f t="shared" si="14"/>
        <v>17294.378030838041</v>
      </c>
      <c r="AD10" s="148">
        <f t="shared" si="14"/>
        <v>0</v>
      </c>
      <c r="AE10" s="148">
        <f t="shared" si="15"/>
        <v>17381.284453103559</v>
      </c>
      <c r="AF10" s="148">
        <f t="shared" si="16"/>
        <v>244.50752853186481</v>
      </c>
      <c r="AG10" s="148">
        <f t="shared" si="16"/>
        <v>48656.998177841095</v>
      </c>
      <c r="AH10" s="148">
        <f t="shared" si="16"/>
        <v>0</v>
      </c>
      <c r="AI10" s="148">
        <f t="shared" si="17"/>
        <v>48901.505706372962</v>
      </c>
      <c r="AJ10" s="148">
        <f t="shared" si="18"/>
        <v>331.4139507973826</v>
      </c>
      <c r="AK10" s="148">
        <f t="shared" si="18"/>
        <v>65951.376208679139</v>
      </c>
      <c r="AL10" s="148">
        <f t="shared" si="18"/>
        <v>0</v>
      </c>
      <c r="AM10" s="148">
        <f t="shared" si="19"/>
        <v>66282.790159476528</v>
      </c>
    </row>
    <row r="11" spans="1:39" s="66" customFormat="1" x14ac:dyDescent="0.25">
      <c r="A11" s="66">
        <v>7</v>
      </c>
      <c r="B11" s="7">
        <v>1000</v>
      </c>
      <c r="C11" s="148">
        <v>500</v>
      </c>
      <c r="D11" s="148">
        <v>100</v>
      </c>
      <c r="E11" s="148">
        <f t="shared" si="1"/>
        <v>701.98393086240037</v>
      </c>
      <c r="F11" s="148">
        <f t="shared" si="2"/>
        <v>0</v>
      </c>
      <c r="G11" s="148">
        <f t="shared" si="3"/>
        <v>0</v>
      </c>
      <c r="H11" s="148">
        <f t="shared" si="4"/>
        <v>701.98393086240037</v>
      </c>
      <c r="I11" s="148">
        <f t="shared" si="20"/>
        <v>29</v>
      </c>
      <c r="J11" s="148">
        <f t="shared" si="21"/>
        <v>33</v>
      </c>
      <c r="K11" s="148">
        <v>40</v>
      </c>
      <c r="L11" s="148">
        <f t="shared" si="5"/>
        <v>31.03</v>
      </c>
      <c r="M11" s="7">
        <f t="shared" si="6"/>
        <v>20357.533995009609</v>
      </c>
      <c r="N11" s="7">
        <f t="shared" si="0"/>
        <v>0</v>
      </c>
      <c r="O11" s="7">
        <f t="shared" si="0"/>
        <v>0</v>
      </c>
      <c r="P11" s="7">
        <f t="shared" si="7"/>
        <v>20357.533995009609</v>
      </c>
      <c r="Q11" s="7">
        <f>'Seasonal (WITHOUT)'!Q11</f>
        <v>57275.057405028972</v>
      </c>
      <c r="R11" s="7">
        <f>-'LOAD DATA and INPUT SEASONAL'!$A$60*U11</f>
        <v>0</v>
      </c>
      <c r="S11" s="7">
        <f t="shared" si="8"/>
        <v>57275.057405028972</v>
      </c>
      <c r="T11" s="8">
        <v>3.2802987423476653</v>
      </c>
      <c r="U11" s="7">
        <v>0</v>
      </c>
      <c r="V11" s="149">
        <f t="shared" si="9"/>
        <v>3.2802987423476653</v>
      </c>
      <c r="W11" s="7">
        <v>652.77944972718535</v>
      </c>
      <c r="X11" s="148"/>
      <c r="Y11" s="148">
        <f t="shared" si="10"/>
        <v>656.05974846953302</v>
      </c>
      <c r="Z11" s="148">
        <f t="shared" si="11"/>
        <v>701.98393086240037</v>
      </c>
      <c r="AA11" s="148" t="b">
        <f t="shared" si="12"/>
        <v>1</v>
      </c>
      <c r="AB11" s="148">
        <f t="shared" si="13"/>
        <v>101.78766997504806</v>
      </c>
      <c r="AC11" s="148">
        <f t="shared" si="14"/>
        <v>20255.746325034561</v>
      </c>
      <c r="AD11" s="148">
        <f t="shared" si="14"/>
        <v>0</v>
      </c>
      <c r="AE11" s="148">
        <f t="shared" si="15"/>
        <v>20357.533995009609</v>
      </c>
      <c r="AF11" s="148">
        <f t="shared" si="16"/>
        <v>286.37528702514487</v>
      </c>
      <c r="AG11" s="148">
        <f t="shared" si="16"/>
        <v>56988.682118003831</v>
      </c>
      <c r="AH11" s="148">
        <f t="shared" si="16"/>
        <v>0</v>
      </c>
      <c r="AI11" s="148">
        <f t="shared" si="17"/>
        <v>57275.05740502898</v>
      </c>
      <c r="AJ11" s="148">
        <f t="shared" si="18"/>
        <v>388.16295700019293</v>
      </c>
      <c r="AK11" s="148">
        <f t="shared" si="18"/>
        <v>77244.4284430384</v>
      </c>
      <c r="AL11" s="148">
        <f t="shared" si="18"/>
        <v>0</v>
      </c>
      <c r="AM11" s="148">
        <f t="shared" si="19"/>
        <v>77632.591400038596</v>
      </c>
    </row>
    <row r="12" spans="1:39" s="66" customFormat="1" x14ac:dyDescent="0.25">
      <c r="A12" s="66">
        <v>8</v>
      </c>
      <c r="B12" s="7">
        <v>1000</v>
      </c>
      <c r="C12" s="148">
        <v>500</v>
      </c>
      <c r="D12" s="148">
        <v>100</v>
      </c>
      <c r="E12" s="148">
        <f t="shared" si="1"/>
        <v>779.43956395776286</v>
      </c>
      <c r="F12" s="148">
        <f t="shared" si="2"/>
        <v>0</v>
      </c>
      <c r="G12" s="148">
        <f t="shared" si="3"/>
        <v>0</v>
      </c>
      <c r="H12" s="148">
        <f t="shared" si="4"/>
        <v>779.43956395776286</v>
      </c>
      <c r="I12" s="148">
        <f t="shared" si="20"/>
        <v>29</v>
      </c>
      <c r="J12" s="148">
        <f t="shared" si="21"/>
        <v>33</v>
      </c>
      <c r="K12" s="148">
        <v>40</v>
      </c>
      <c r="L12" s="148">
        <f t="shared" si="5"/>
        <v>31.029999999999998</v>
      </c>
      <c r="M12" s="7">
        <f t="shared" si="6"/>
        <v>22603.747354775121</v>
      </c>
      <c r="N12" s="7">
        <f t="shared" si="0"/>
        <v>0</v>
      </c>
      <c r="O12" s="7">
        <f t="shared" si="0"/>
        <v>0</v>
      </c>
      <c r="P12" s="7">
        <f t="shared" si="7"/>
        <v>22603.747354775121</v>
      </c>
      <c r="Q12" s="7">
        <f>'Seasonal (WITHOUT)'!Q12</f>
        <v>63599.01099639685</v>
      </c>
      <c r="R12" s="7">
        <f>-'LOAD DATA and INPUT SEASONAL'!$A$60*U12</f>
        <v>-0.49571720877644637</v>
      </c>
      <c r="S12" s="7">
        <f t="shared" si="8"/>
        <v>63598.515279188076</v>
      </c>
      <c r="T12" s="8">
        <v>3.6424888116780467</v>
      </c>
      <c r="U12" s="7">
        <v>4.9571720877644637E-2</v>
      </c>
      <c r="V12" s="149">
        <f t="shared" si="9"/>
        <v>3.5929170908004022</v>
      </c>
      <c r="W12" s="7">
        <v>724.85527352393126</v>
      </c>
      <c r="X12" s="148"/>
      <c r="Y12" s="148">
        <f t="shared" si="10"/>
        <v>728.44819061473163</v>
      </c>
      <c r="Z12" s="148">
        <f t="shared" si="11"/>
        <v>779.43956395776286</v>
      </c>
      <c r="AA12" s="148" t="b">
        <f t="shared" si="12"/>
        <v>1</v>
      </c>
      <c r="AB12" s="148">
        <f t="shared" si="13"/>
        <v>111.48821732753647</v>
      </c>
      <c r="AC12" s="148">
        <f t="shared" si="14"/>
        <v>22492.259137447585</v>
      </c>
      <c r="AD12" s="148">
        <f t="shared" si="14"/>
        <v>0</v>
      </c>
      <c r="AE12" s="148">
        <f t="shared" si="15"/>
        <v>22603.747354775121</v>
      </c>
      <c r="AF12" s="148">
        <f t="shared" si="16"/>
        <v>313.68626546150455</v>
      </c>
      <c r="AG12" s="148">
        <f t="shared" si="16"/>
        <v>63284.829013726579</v>
      </c>
      <c r="AH12" s="148">
        <f t="shared" si="16"/>
        <v>0</v>
      </c>
      <c r="AI12" s="148">
        <f t="shared" si="17"/>
        <v>63598.515279188083</v>
      </c>
      <c r="AJ12" s="148">
        <f t="shared" si="18"/>
        <v>425.17448278904101</v>
      </c>
      <c r="AK12" s="148">
        <f t="shared" si="18"/>
        <v>85777.088151174161</v>
      </c>
      <c r="AL12" s="148">
        <f t="shared" si="18"/>
        <v>0</v>
      </c>
      <c r="AM12" s="148">
        <f t="shared" si="19"/>
        <v>86202.262633963197</v>
      </c>
    </row>
    <row r="13" spans="1:39" s="66" customFormat="1" x14ac:dyDescent="0.25">
      <c r="A13" s="66">
        <v>9</v>
      </c>
      <c r="B13" s="7">
        <v>1000</v>
      </c>
      <c r="C13" s="148">
        <v>500</v>
      </c>
      <c r="D13" s="148">
        <v>100</v>
      </c>
      <c r="E13" s="148">
        <f t="shared" si="1"/>
        <v>748.52658731927693</v>
      </c>
      <c r="F13" s="148">
        <f t="shared" si="2"/>
        <v>0</v>
      </c>
      <c r="G13" s="148">
        <f t="shared" si="3"/>
        <v>0</v>
      </c>
      <c r="H13" s="148">
        <f t="shared" si="4"/>
        <v>748.52658731927693</v>
      </c>
      <c r="I13" s="148">
        <f t="shared" si="20"/>
        <v>29</v>
      </c>
      <c r="J13" s="148">
        <f t="shared" si="21"/>
        <v>33</v>
      </c>
      <c r="K13" s="148">
        <v>40</v>
      </c>
      <c r="L13" s="148">
        <f t="shared" si="5"/>
        <v>31.030000000000005</v>
      </c>
      <c r="M13" s="7">
        <f t="shared" si="6"/>
        <v>21707.271032259032</v>
      </c>
      <c r="N13" s="7">
        <f t="shared" si="0"/>
        <v>0</v>
      </c>
      <c r="O13" s="7">
        <f t="shared" si="0"/>
        <v>0</v>
      </c>
      <c r="P13" s="7">
        <f t="shared" si="7"/>
        <v>21707.271032259032</v>
      </c>
      <c r="Q13" s="7">
        <f>'Seasonal (WITHOUT)'!Q13</f>
        <v>61265.373512787381</v>
      </c>
      <c r="R13" s="7">
        <f>-'LOAD DATA and INPUT SEASONAL'!$A$60*U13</f>
        <v>-22.094474623727621</v>
      </c>
      <c r="S13" s="7">
        <f t="shared" si="8"/>
        <v>61243.279038163651</v>
      </c>
      <c r="T13" s="8">
        <v>3.5088350285234378</v>
      </c>
      <c r="U13" s="7">
        <v>2.2094474623727622</v>
      </c>
      <c r="V13" s="149">
        <f t="shared" si="9"/>
        <v>1.2993875661506755</v>
      </c>
      <c r="W13" s="7">
        <v>698.25817067616413</v>
      </c>
      <c r="X13" s="148"/>
      <c r="Y13" s="148">
        <f t="shared" si="10"/>
        <v>699.55755824231483</v>
      </c>
      <c r="Z13" s="148">
        <f t="shared" si="11"/>
        <v>748.52658731927693</v>
      </c>
      <c r="AA13" s="148" t="b">
        <f t="shared" si="12"/>
        <v>1</v>
      </c>
      <c r="AB13" s="148">
        <f t="shared" si="13"/>
        <v>40.319996177655469</v>
      </c>
      <c r="AC13" s="148">
        <f t="shared" si="14"/>
        <v>21666.951036081377</v>
      </c>
      <c r="AD13" s="148">
        <f t="shared" si="14"/>
        <v>0</v>
      </c>
      <c r="AE13" s="148">
        <f t="shared" si="15"/>
        <v>21707.271032259032</v>
      </c>
      <c r="AF13" s="148">
        <f t="shared" si="16"/>
        <v>113.7558366068306</v>
      </c>
      <c r="AG13" s="148">
        <f t="shared" si="16"/>
        <v>61129.523201556811</v>
      </c>
      <c r="AH13" s="148">
        <f t="shared" si="16"/>
        <v>0</v>
      </c>
      <c r="AI13" s="148">
        <f t="shared" si="17"/>
        <v>61243.279038163644</v>
      </c>
      <c r="AJ13" s="148">
        <f t="shared" si="18"/>
        <v>154.07583278448607</v>
      </c>
      <c r="AK13" s="148">
        <f t="shared" si="18"/>
        <v>82796.474237638191</v>
      </c>
      <c r="AL13" s="148">
        <f t="shared" si="18"/>
        <v>0</v>
      </c>
      <c r="AM13" s="148">
        <f t="shared" si="19"/>
        <v>82950.550070422672</v>
      </c>
    </row>
    <row r="14" spans="1:39" s="66" customFormat="1" ht="17.25" customHeight="1" x14ac:dyDescent="0.25">
      <c r="A14" s="66">
        <v>10</v>
      </c>
      <c r="B14" s="7">
        <v>1000</v>
      </c>
      <c r="C14" s="148">
        <v>500</v>
      </c>
      <c r="D14" s="148">
        <v>100</v>
      </c>
      <c r="E14" s="148">
        <f t="shared" si="1"/>
        <v>749.32765321465888</v>
      </c>
      <c r="F14" s="148">
        <f t="shared" si="2"/>
        <v>0</v>
      </c>
      <c r="G14" s="148">
        <f t="shared" si="3"/>
        <v>0</v>
      </c>
      <c r="H14" s="148">
        <f t="shared" si="4"/>
        <v>749.32765321465888</v>
      </c>
      <c r="I14" s="148">
        <f t="shared" si="20"/>
        <v>29</v>
      </c>
      <c r="J14" s="148">
        <f t="shared" si="21"/>
        <v>33</v>
      </c>
      <c r="K14" s="148">
        <v>40</v>
      </c>
      <c r="L14" s="148">
        <f t="shared" si="5"/>
        <v>31.029999999999998</v>
      </c>
      <c r="M14" s="7">
        <f t="shared" si="6"/>
        <v>21730.501943225107</v>
      </c>
      <c r="N14" s="7">
        <f t="shared" si="0"/>
        <v>0</v>
      </c>
      <c r="O14" s="7">
        <f t="shared" si="0"/>
        <v>0</v>
      </c>
      <c r="P14" s="7">
        <f t="shared" si="7"/>
        <v>21730.501943225107</v>
      </c>
      <c r="Q14" s="7">
        <f>'Seasonal (WITHOUT)'!Q14</f>
        <v>61543.503743859648</v>
      </c>
      <c r="R14" s="7">
        <f>-'LOAD DATA and INPUT SEASONAL'!$A$60*U14</f>
        <v>-46.46643121220886</v>
      </c>
      <c r="S14" s="7">
        <f t="shared" si="8"/>
        <v>61497.037312647437</v>
      </c>
      <c r="T14" s="8">
        <v>3.5247643053942301</v>
      </c>
      <c r="U14" s="7">
        <v>4.6466431212208859</v>
      </c>
      <c r="V14" s="149">
        <f t="shared" si="9"/>
        <v>-1.1218788158266557</v>
      </c>
      <c r="W14" s="7">
        <v>701.42809677345178</v>
      </c>
      <c r="X14" s="148"/>
      <c r="Y14" s="148">
        <f t="shared" si="10"/>
        <v>700.30621795762511</v>
      </c>
      <c r="Z14" s="148">
        <f t="shared" si="11"/>
        <v>749.32765321465888</v>
      </c>
      <c r="AA14" s="148" t="b">
        <f t="shared" si="12"/>
        <v>1</v>
      </c>
      <c r="AB14" s="148">
        <f t="shared" si="13"/>
        <v>-34.811899655101122</v>
      </c>
      <c r="AC14" s="148">
        <f t="shared" si="14"/>
        <v>21765.313842880209</v>
      </c>
      <c r="AD14" s="148">
        <f t="shared" si="14"/>
        <v>0</v>
      </c>
      <c r="AE14" s="148">
        <f t="shared" si="15"/>
        <v>21730.501943225107</v>
      </c>
      <c r="AF14" s="148">
        <f t="shared" si="16"/>
        <v>-98.517222363624967</v>
      </c>
      <c r="AG14" s="148">
        <f t="shared" si="16"/>
        <v>61595.554535011062</v>
      </c>
      <c r="AH14" s="148">
        <f t="shared" si="16"/>
        <v>0</v>
      </c>
      <c r="AI14" s="148">
        <f t="shared" si="17"/>
        <v>61497.037312647437</v>
      </c>
      <c r="AJ14" s="148">
        <f t="shared" si="18"/>
        <v>-133.32912201872608</v>
      </c>
      <c r="AK14" s="148">
        <f t="shared" si="18"/>
        <v>83360.868377891267</v>
      </c>
      <c r="AL14" s="148">
        <f t="shared" si="18"/>
        <v>0</v>
      </c>
      <c r="AM14" s="148">
        <f t="shared" si="19"/>
        <v>83227.539255872543</v>
      </c>
    </row>
    <row r="15" spans="1:39" s="66" customFormat="1" x14ac:dyDescent="0.25">
      <c r="A15" s="66">
        <v>11</v>
      </c>
      <c r="B15" s="7">
        <v>1000</v>
      </c>
      <c r="C15" s="148">
        <v>500</v>
      </c>
      <c r="D15" s="148">
        <v>100</v>
      </c>
      <c r="E15" s="148">
        <f t="shared" si="1"/>
        <v>763.73739614479609</v>
      </c>
      <c r="F15" s="148">
        <f t="shared" si="2"/>
        <v>0</v>
      </c>
      <c r="G15" s="148">
        <f t="shared" si="3"/>
        <v>0</v>
      </c>
      <c r="H15" s="148">
        <f t="shared" si="4"/>
        <v>763.73739614479609</v>
      </c>
      <c r="I15" s="148">
        <f t="shared" si="20"/>
        <v>29</v>
      </c>
      <c r="J15" s="148">
        <f t="shared" si="21"/>
        <v>33</v>
      </c>
      <c r="K15" s="148">
        <v>40</v>
      </c>
      <c r="L15" s="148">
        <f t="shared" si="5"/>
        <v>31.03</v>
      </c>
      <c r="M15" s="7">
        <f t="shared" si="6"/>
        <v>22148.384488199088</v>
      </c>
      <c r="N15" s="7">
        <f t="shared" si="0"/>
        <v>0</v>
      </c>
      <c r="O15" s="7">
        <f t="shared" si="0"/>
        <v>0</v>
      </c>
      <c r="P15" s="7">
        <f t="shared" si="7"/>
        <v>22148.384488199088</v>
      </c>
      <c r="Q15" s="7">
        <f>'Seasonal (WITHOUT)'!Q15</f>
        <v>62833.654937273852</v>
      </c>
      <c r="R15" s="7">
        <f>-'LOAD DATA and INPUT SEASONAL'!$A$60*U15</f>
        <v>-59.57689142270786</v>
      </c>
      <c r="S15" s="7">
        <f t="shared" si="8"/>
        <v>62774.078045851144</v>
      </c>
      <c r="T15" s="8">
        <v>3.5986547828365691</v>
      </c>
      <c r="U15" s="7">
        <v>5.9576891422707856</v>
      </c>
      <c r="V15" s="149">
        <f t="shared" si="9"/>
        <v>-2.3590343594342165</v>
      </c>
      <c r="W15" s="7">
        <v>716.13230178447725</v>
      </c>
      <c r="X15" s="148"/>
      <c r="Y15" s="148">
        <f t="shared" si="10"/>
        <v>713.77326742504306</v>
      </c>
      <c r="Z15" s="148">
        <f t="shared" si="11"/>
        <v>763.73739614479609</v>
      </c>
      <c r="AA15" s="148" t="b">
        <f t="shared" si="12"/>
        <v>1</v>
      </c>
      <c r="AB15" s="148">
        <f t="shared" si="13"/>
        <v>-73.200836173243744</v>
      </c>
      <c r="AC15" s="148">
        <f t="shared" si="14"/>
        <v>22221.585324372329</v>
      </c>
      <c r="AD15" s="148">
        <f t="shared" si="14"/>
        <v>0</v>
      </c>
      <c r="AE15" s="148">
        <f t="shared" si="15"/>
        <v>22148.384488199084</v>
      </c>
      <c r="AF15" s="148">
        <f t="shared" si="16"/>
        <v>-207.46953374450837</v>
      </c>
      <c r="AG15" s="148">
        <f t="shared" si="16"/>
        <v>62981.547579595652</v>
      </c>
      <c r="AH15" s="148">
        <f t="shared" si="16"/>
        <v>0</v>
      </c>
      <c r="AI15" s="148">
        <f t="shared" si="17"/>
        <v>62774.078045851144</v>
      </c>
      <c r="AJ15" s="148">
        <f t="shared" si="18"/>
        <v>-280.67036991775211</v>
      </c>
      <c r="AK15" s="148">
        <f t="shared" si="18"/>
        <v>85203.132903967984</v>
      </c>
      <c r="AL15" s="148">
        <f t="shared" si="18"/>
        <v>0</v>
      </c>
      <c r="AM15" s="148">
        <f t="shared" si="19"/>
        <v>84922.462534050239</v>
      </c>
    </row>
    <row r="16" spans="1:39" s="66" customFormat="1" x14ac:dyDescent="0.25">
      <c r="A16" s="66">
        <v>12</v>
      </c>
      <c r="B16" s="7">
        <v>1000</v>
      </c>
      <c r="C16" s="148">
        <v>500</v>
      </c>
      <c r="D16" s="148">
        <v>100</v>
      </c>
      <c r="E16" s="148">
        <f t="shared" si="1"/>
        <v>764.47335013522036</v>
      </c>
      <c r="F16" s="148">
        <f t="shared" si="2"/>
        <v>0</v>
      </c>
      <c r="G16" s="148">
        <f t="shared" si="3"/>
        <v>0</v>
      </c>
      <c r="H16" s="148">
        <f t="shared" si="4"/>
        <v>764.47335013522036</v>
      </c>
      <c r="I16" s="148">
        <f t="shared" si="20"/>
        <v>29</v>
      </c>
      <c r="J16" s="148">
        <f t="shared" si="21"/>
        <v>33</v>
      </c>
      <c r="K16" s="148">
        <v>40</v>
      </c>
      <c r="L16" s="148">
        <f t="shared" si="5"/>
        <v>31.030000000000005</v>
      </c>
      <c r="M16" s="7">
        <f t="shared" si="6"/>
        <v>22169.727153921391</v>
      </c>
      <c r="N16" s="7">
        <f t="shared" si="0"/>
        <v>0</v>
      </c>
      <c r="O16" s="7">
        <f t="shared" si="0"/>
        <v>0</v>
      </c>
      <c r="P16" s="7">
        <f t="shared" si="7"/>
        <v>22169.727153921391</v>
      </c>
      <c r="Q16" s="7">
        <f>'Seasonal (WITHOUT)'!Q16</f>
        <v>62986.311401102837</v>
      </c>
      <c r="R16" s="7">
        <f>-'LOAD DATA and INPUT SEASONAL'!$A$60*U16</f>
        <v>-70.184920784757338</v>
      </c>
      <c r="S16" s="7">
        <f t="shared" si="8"/>
        <v>62916.126480318082</v>
      </c>
      <c r="T16" s="8">
        <v>3.6073978348560245</v>
      </c>
      <c r="U16" s="7">
        <v>7.0184920784757345</v>
      </c>
      <c r="V16" s="149">
        <f t="shared" si="9"/>
        <v>-3.41109424361971</v>
      </c>
      <c r="W16" s="7">
        <v>717.87216913634893</v>
      </c>
      <c r="X16" s="148"/>
      <c r="Y16" s="148">
        <f t="shared" si="10"/>
        <v>714.46107489272924</v>
      </c>
      <c r="Z16" s="148">
        <f t="shared" si="11"/>
        <v>764.47335013522036</v>
      </c>
      <c r="AA16" s="148" t="b">
        <f t="shared" si="12"/>
        <v>1</v>
      </c>
      <c r="AB16" s="148">
        <f t="shared" si="13"/>
        <v>-105.84625437951962</v>
      </c>
      <c r="AC16" s="148">
        <f t="shared" si="14"/>
        <v>22275.573408300912</v>
      </c>
      <c r="AD16" s="148">
        <f t="shared" si="14"/>
        <v>0</v>
      </c>
      <c r="AE16" s="148">
        <f t="shared" si="15"/>
        <v>22169.727153921391</v>
      </c>
      <c r="AF16" s="148">
        <f t="shared" si="16"/>
        <v>-300.38422583075646</v>
      </c>
      <c r="AG16" s="148">
        <f t="shared" si="16"/>
        <v>63216.510706148831</v>
      </c>
      <c r="AH16" s="148">
        <f t="shared" si="16"/>
        <v>0</v>
      </c>
      <c r="AI16" s="148">
        <f t="shared" si="17"/>
        <v>62916.126480318075</v>
      </c>
      <c r="AJ16" s="148">
        <f t="shared" si="18"/>
        <v>-406.23048021027608</v>
      </c>
      <c r="AK16" s="148">
        <f t="shared" si="18"/>
        <v>85492.084114449739</v>
      </c>
      <c r="AL16" s="148">
        <f t="shared" si="18"/>
        <v>0</v>
      </c>
      <c r="AM16" s="148">
        <f t="shared" si="19"/>
        <v>85085.853634239465</v>
      </c>
    </row>
    <row r="17" spans="1:39" s="66" customFormat="1" x14ac:dyDescent="0.25">
      <c r="A17" s="66">
        <v>13</v>
      </c>
      <c r="B17" s="7">
        <v>1000</v>
      </c>
      <c r="C17" s="148">
        <v>500</v>
      </c>
      <c r="D17" s="148">
        <v>100</v>
      </c>
      <c r="E17" s="148">
        <f t="shared" si="1"/>
        <v>760.55524365989743</v>
      </c>
      <c r="F17" s="148">
        <f t="shared" si="2"/>
        <v>0</v>
      </c>
      <c r="G17" s="148">
        <f t="shared" si="3"/>
        <v>0</v>
      </c>
      <c r="H17" s="148">
        <f t="shared" si="4"/>
        <v>760.55524365989743</v>
      </c>
      <c r="I17" s="148">
        <f t="shared" si="20"/>
        <v>29</v>
      </c>
      <c r="J17" s="148">
        <f t="shared" si="21"/>
        <v>33</v>
      </c>
      <c r="K17" s="148">
        <v>40</v>
      </c>
      <c r="L17" s="148">
        <f t="shared" si="5"/>
        <v>31.03</v>
      </c>
      <c r="M17" s="7">
        <f t="shared" si="6"/>
        <v>22056.102066137024</v>
      </c>
      <c r="N17" s="7">
        <f t="shared" si="0"/>
        <v>0</v>
      </c>
      <c r="O17" s="7">
        <f t="shared" si="0"/>
        <v>0</v>
      </c>
      <c r="P17" s="7">
        <f t="shared" si="7"/>
        <v>22056.102066137024</v>
      </c>
      <c r="Q17" s="7">
        <f>'Seasonal (WITHOUT)'!Q17</f>
        <v>62654.316843523433</v>
      </c>
      <c r="R17" s="7">
        <f>-'LOAD DATA and INPUT SEASONAL'!$A$60*U17</f>
        <v>-68.774270805898198</v>
      </c>
      <c r="S17" s="7">
        <f t="shared" si="8"/>
        <v>62585.542572717532</v>
      </c>
      <c r="T17" s="8">
        <v>3.5883836011034038</v>
      </c>
      <c r="U17" s="7">
        <v>6.8774270805898192</v>
      </c>
      <c r="V17" s="149">
        <f t="shared" si="9"/>
        <v>-3.2890434794864154</v>
      </c>
      <c r="W17" s="7">
        <v>714.08833661957738</v>
      </c>
      <c r="X17" s="148"/>
      <c r="Y17" s="148">
        <f t="shared" si="10"/>
        <v>710.79929314009098</v>
      </c>
      <c r="Z17" s="148">
        <f t="shared" si="11"/>
        <v>760.55524365989743</v>
      </c>
      <c r="AA17" s="148" t="b">
        <f t="shared" si="12"/>
        <v>1</v>
      </c>
      <c r="AB17" s="148">
        <f t="shared" si="13"/>
        <v>-102.05901916846348</v>
      </c>
      <c r="AC17" s="148">
        <f t="shared" si="14"/>
        <v>22158.161085305488</v>
      </c>
      <c r="AD17" s="148">
        <f t="shared" si="14"/>
        <v>0</v>
      </c>
      <c r="AE17" s="148">
        <f t="shared" si="15"/>
        <v>22056.102066137024</v>
      </c>
      <c r="AF17" s="148">
        <f t="shared" si="16"/>
        <v>-289.59872737007055</v>
      </c>
      <c r="AG17" s="148">
        <f t="shared" si="16"/>
        <v>62875.141300087598</v>
      </c>
      <c r="AH17" s="148">
        <f t="shared" si="16"/>
        <v>0</v>
      </c>
      <c r="AI17" s="148">
        <f t="shared" si="17"/>
        <v>62585.542572717524</v>
      </c>
      <c r="AJ17" s="148">
        <f t="shared" si="18"/>
        <v>-391.65774653853401</v>
      </c>
      <c r="AK17" s="148">
        <f t="shared" si="18"/>
        <v>85033.302385393094</v>
      </c>
      <c r="AL17" s="148">
        <f t="shared" si="18"/>
        <v>0</v>
      </c>
      <c r="AM17" s="148">
        <f t="shared" si="19"/>
        <v>84641.644638854559</v>
      </c>
    </row>
    <row r="18" spans="1:39" s="66" customFormat="1" x14ac:dyDescent="0.25">
      <c r="A18" s="66">
        <v>14</v>
      </c>
      <c r="B18" s="7">
        <v>1000</v>
      </c>
      <c r="C18" s="148">
        <v>500</v>
      </c>
      <c r="D18" s="148">
        <v>100</v>
      </c>
      <c r="E18" s="148">
        <f t="shared" si="1"/>
        <v>744.33967330971689</v>
      </c>
      <c r="F18" s="148">
        <f t="shared" si="2"/>
        <v>0</v>
      </c>
      <c r="G18" s="148">
        <f t="shared" si="3"/>
        <v>0</v>
      </c>
      <c r="H18" s="148">
        <f t="shared" si="4"/>
        <v>744.33967330971689</v>
      </c>
      <c r="I18" s="148">
        <f t="shared" si="20"/>
        <v>29</v>
      </c>
      <c r="J18" s="148">
        <f t="shared" si="21"/>
        <v>33</v>
      </c>
      <c r="K18" s="148">
        <v>40</v>
      </c>
      <c r="L18" s="148">
        <f t="shared" si="5"/>
        <v>31.03</v>
      </c>
      <c r="M18" s="7">
        <f t="shared" si="6"/>
        <v>21585.85052598179</v>
      </c>
      <c r="N18" s="7">
        <f t="shared" si="0"/>
        <v>0</v>
      </c>
      <c r="O18" s="7">
        <f t="shared" si="0"/>
        <v>0</v>
      </c>
      <c r="P18" s="7">
        <f t="shared" si="7"/>
        <v>21585.85052598179</v>
      </c>
      <c r="Q18" s="7">
        <f>'Seasonal (WITHOUT)'!Q18</f>
        <v>61337.561813056578</v>
      </c>
      <c r="R18" s="7">
        <f>-'LOAD DATA and INPUT SEASONAL'!$A$60*U18</f>
        <v>-69.493353763600311</v>
      </c>
      <c r="S18" s="7">
        <f t="shared" si="8"/>
        <v>61268.068459292976</v>
      </c>
      <c r="T18" s="8">
        <v>3.5129694493571129</v>
      </c>
      <c r="U18" s="7">
        <v>6.9493353763600307</v>
      </c>
      <c r="V18" s="149">
        <f t="shared" si="9"/>
        <v>-3.4363659270029179</v>
      </c>
      <c r="W18" s="7">
        <v>699.08092042206545</v>
      </c>
      <c r="X18" s="148"/>
      <c r="Y18" s="148">
        <f t="shared" si="10"/>
        <v>695.64455449506249</v>
      </c>
      <c r="Z18" s="148">
        <f t="shared" si="11"/>
        <v>744.33967330971689</v>
      </c>
      <c r="AA18" s="148" t="b">
        <f t="shared" si="12"/>
        <v>1</v>
      </c>
      <c r="AB18" s="148">
        <f t="shared" si="13"/>
        <v>-106.63043471490055</v>
      </c>
      <c r="AC18" s="148">
        <f t="shared" si="14"/>
        <v>21692.480960696692</v>
      </c>
      <c r="AD18" s="148">
        <f t="shared" si="14"/>
        <v>0</v>
      </c>
      <c r="AE18" s="148">
        <f t="shared" si="15"/>
        <v>21585.85052598179</v>
      </c>
      <c r="AF18" s="148">
        <f t="shared" si="16"/>
        <v>-302.65385031241681</v>
      </c>
      <c r="AG18" s="148">
        <f t="shared" si="16"/>
        <v>61570.722309605393</v>
      </c>
      <c r="AH18" s="148">
        <f t="shared" si="16"/>
        <v>0</v>
      </c>
      <c r="AI18" s="148">
        <f t="shared" si="17"/>
        <v>61268.068459292976</v>
      </c>
      <c r="AJ18" s="148">
        <f t="shared" si="18"/>
        <v>-409.28428502731737</v>
      </c>
      <c r="AK18" s="148">
        <f t="shared" si="18"/>
        <v>83263.203270302081</v>
      </c>
      <c r="AL18" s="148">
        <f t="shared" si="18"/>
        <v>0</v>
      </c>
      <c r="AM18" s="148">
        <f t="shared" si="19"/>
        <v>82853.918985274766</v>
      </c>
    </row>
    <row r="19" spans="1:39" s="66" customFormat="1" x14ac:dyDescent="0.25">
      <c r="A19" s="66">
        <v>15</v>
      </c>
      <c r="B19" s="7">
        <v>1000</v>
      </c>
      <c r="C19" s="148">
        <v>500</v>
      </c>
      <c r="D19" s="148">
        <v>100</v>
      </c>
      <c r="E19" s="148">
        <f t="shared" si="1"/>
        <v>743.50144848420643</v>
      </c>
      <c r="F19" s="148">
        <f t="shared" si="2"/>
        <v>0</v>
      </c>
      <c r="G19" s="148">
        <f t="shared" si="3"/>
        <v>0</v>
      </c>
      <c r="H19" s="148">
        <f t="shared" si="4"/>
        <v>743.50144848420643</v>
      </c>
      <c r="I19" s="148">
        <f t="shared" si="20"/>
        <v>29</v>
      </c>
      <c r="J19" s="148">
        <f t="shared" si="21"/>
        <v>33</v>
      </c>
      <c r="K19" s="148">
        <v>40</v>
      </c>
      <c r="L19" s="148">
        <f t="shared" si="5"/>
        <v>31.03</v>
      </c>
      <c r="M19" s="7">
        <f t="shared" si="6"/>
        <v>21561.542006041986</v>
      </c>
      <c r="N19" s="7">
        <f t="shared" si="0"/>
        <v>0</v>
      </c>
      <c r="O19" s="7">
        <f t="shared" si="0"/>
        <v>0</v>
      </c>
      <c r="P19" s="7">
        <f t="shared" si="7"/>
        <v>21561.542006041986</v>
      </c>
      <c r="Q19" s="7">
        <f>'Seasonal (WITHOUT)'!Q19</f>
        <v>61226.190804689344</v>
      </c>
      <c r="R19" s="7">
        <f>-'LOAD DATA and INPUT SEASONAL'!$A$60*U19</f>
        <v>-64.570187860688719</v>
      </c>
      <c r="S19" s="7">
        <f t="shared" si="8"/>
        <v>61161.620616828659</v>
      </c>
      <c r="T19" s="8">
        <v>3.5065909279686918</v>
      </c>
      <c r="U19" s="7">
        <v>6.4570187860688719</v>
      </c>
      <c r="V19" s="149">
        <f t="shared" si="9"/>
        <v>-2.9504278581001802</v>
      </c>
      <c r="W19" s="7">
        <v>697.81159466576969</v>
      </c>
      <c r="X19" s="148"/>
      <c r="Y19" s="148">
        <f t="shared" si="10"/>
        <v>694.86116680766952</v>
      </c>
      <c r="Z19" s="148">
        <f t="shared" si="11"/>
        <v>743.50144848420643</v>
      </c>
      <c r="AA19" s="148" t="b">
        <f t="shared" si="12"/>
        <v>1</v>
      </c>
      <c r="AB19" s="148">
        <f>V19*L19</f>
        <v>-91.551776436848598</v>
      </c>
      <c r="AC19" s="148">
        <f t="shared" si="14"/>
        <v>21653.093782478834</v>
      </c>
      <c r="AD19" s="148">
        <f t="shared" si="14"/>
        <v>0</v>
      </c>
      <c r="AE19" s="148">
        <f t="shared" si="15"/>
        <v>21561.542006041986</v>
      </c>
      <c r="AF19" s="148">
        <f t="shared" si="16"/>
        <v>-259.69640833935557</v>
      </c>
      <c r="AG19" s="148">
        <f t="shared" si="16"/>
        <v>61421.317025168013</v>
      </c>
      <c r="AH19" s="148">
        <f t="shared" si="16"/>
        <v>0</v>
      </c>
      <c r="AI19" s="148">
        <f t="shared" si="17"/>
        <v>61161.620616828659</v>
      </c>
      <c r="AJ19" s="148">
        <f t="shared" si="18"/>
        <v>-351.2481847762042</v>
      </c>
      <c r="AK19" s="148">
        <f t="shared" si="18"/>
        <v>83074.41080764684</v>
      </c>
      <c r="AL19" s="148">
        <f t="shared" si="18"/>
        <v>0</v>
      </c>
      <c r="AM19" s="148">
        <f t="shared" si="19"/>
        <v>82723.16262287063</v>
      </c>
    </row>
    <row r="20" spans="1:39" s="66" customFormat="1" x14ac:dyDescent="0.25">
      <c r="A20" s="66">
        <v>16</v>
      </c>
      <c r="B20" s="7">
        <v>1000</v>
      </c>
      <c r="C20" s="148">
        <v>500</v>
      </c>
      <c r="D20" s="148">
        <v>100</v>
      </c>
      <c r="E20" s="148">
        <f t="shared" si="1"/>
        <v>774.82789841351894</v>
      </c>
      <c r="F20" s="148">
        <f t="shared" si="2"/>
        <v>0</v>
      </c>
      <c r="G20" s="148">
        <f t="shared" si="3"/>
        <v>0</v>
      </c>
      <c r="H20" s="148">
        <f t="shared" si="4"/>
        <v>774.82789841351894</v>
      </c>
      <c r="I20" s="148">
        <f t="shared" si="20"/>
        <v>29</v>
      </c>
      <c r="J20" s="148">
        <f t="shared" si="21"/>
        <v>33</v>
      </c>
      <c r="K20" s="148">
        <v>40</v>
      </c>
      <c r="L20" s="148">
        <f t="shared" si="5"/>
        <v>31.03</v>
      </c>
      <c r="M20" s="7">
        <f t="shared" si="6"/>
        <v>22470.009053992049</v>
      </c>
      <c r="N20" s="7">
        <f t="shared" si="0"/>
        <v>0</v>
      </c>
      <c r="O20" s="7">
        <f t="shared" si="0"/>
        <v>0</v>
      </c>
      <c r="P20" s="7">
        <f t="shared" si="7"/>
        <v>22470.009053992049</v>
      </c>
      <c r="Q20" s="7">
        <f>'Seasonal (WITHOUT)'!Q20</f>
        <v>63662.273773990455</v>
      </c>
      <c r="R20" s="7">
        <f>-'LOAD DATA and INPUT SEASONAL'!$A$60*U20</f>
        <v>-50.841858807763586</v>
      </c>
      <c r="S20" s="7">
        <f t="shared" si="8"/>
        <v>63611.431915182693</v>
      </c>
      <c r="T20" s="8">
        <v>3.6461120434857466</v>
      </c>
      <c r="U20" s="7">
        <v>5.0841858807763582</v>
      </c>
      <c r="V20" s="149">
        <f t="shared" si="9"/>
        <v>-1.4380738372906117</v>
      </c>
      <c r="W20" s="7">
        <v>725.57629665366346</v>
      </c>
      <c r="X20" s="148"/>
      <c r="Y20" s="148">
        <f t="shared" si="10"/>
        <v>724.13822281637283</v>
      </c>
      <c r="Z20" s="148">
        <f t="shared" si="11"/>
        <v>774.82789841351894</v>
      </c>
      <c r="AA20" s="148" t="b">
        <f t="shared" si="12"/>
        <v>1</v>
      </c>
      <c r="AB20" s="148">
        <f t="shared" si="13"/>
        <v>-44.623431171127685</v>
      </c>
      <c r="AC20" s="148">
        <f t="shared" si="14"/>
        <v>22514.63248516318</v>
      </c>
      <c r="AD20" s="148">
        <f t="shared" si="14"/>
        <v>0</v>
      </c>
      <c r="AE20" s="148">
        <f t="shared" si="15"/>
        <v>22470.009053992053</v>
      </c>
      <c r="AF20" s="148">
        <f t="shared" si="16"/>
        <v>-126.32662260809047</v>
      </c>
      <c r="AG20" s="148">
        <f t="shared" si="16"/>
        <v>63737.758537790782</v>
      </c>
      <c r="AH20" s="148">
        <f t="shared" si="16"/>
        <v>0</v>
      </c>
      <c r="AI20" s="148">
        <f t="shared" si="17"/>
        <v>63611.431915182693</v>
      </c>
      <c r="AJ20" s="148">
        <f t="shared" si="18"/>
        <v>-170.95005377921817</v>
      </c>
      <c r="AK20" s="148">
        <f t="shared" si="18"/>
        <v>86252.391022953962</v>
      </c>
      <c r="AL20" s="148">
        <f t="shared" si="18"/>
        <v>0</v>
      </c>
      <c r="AM20" s="148">
        <f t="shared" si="19"/>
        <v>86081.440969174742</v>
      </c>
    </row>
    <row r="21" spans="1:39" s="66" customFormat="1" x14ac:dyDescent="0.25">
      <c r="A21" s="66">
        <v>17</v>
      </c>
      <c r="B21" s="7">
        <v>1000</v>
      </c>
      <c r="C21" s="148">
        <v>500</v>
      </c>
      <c r="D21" s="148">
        <v>100</v>
      </c>
      <c r="E21" s="148">
        <f t="shared" si="1"/>
        <v>850.8089165828593</v>
      </c>
      <c r="F21" s="148">
        <f t="shared" si="2"/>
        <v>0</v>
      </c>
      <c r="G21" s="148">
        <f t="shared" si="3"/>
        <v>0</v>
      </c>
      <c r="H21" s="148">
        <f t="shared" si="4"/>
        <v>850.8089165828593</v>
      </c>
      <c r="I21" s="148">
        <f t="shared" si="20"/>
        <v>29</v>
      </c>
      <c r="J21" s="148">
        <f t="shared" si="21"/>
        <v>33</v>
      </c>
      <c r="K21" s="148">
        <v>40</v>
      </c>
      <c r="L21" s="148">
        <f t="shared" si="5"/>
        <v>31.03</v>
      </c>
      <c r="M21" s="7">
        <f t="shared" si="6"/>
        <v>24673.458580902919</v>
      </c>
      <c r="N21" s="7">
        <f t="shared" si="6"/>
        <v>0</v>
      </c>
      <c r="O21" s="7">
        <f t="shared" si="6"/>
        <v>0</v>
      </c>
      <c r="P21" s="7">
        <f t="shared" si="7"/>
        <v>24673.458580902919</v>
      </c>
      <c r="Q21" s="7">
        <f>'Seasonal (WITHOUT)'!Q21</f>
        <v>69675.340148269795</v>
      </c>
      <c r="R21" s="7">
        <f>-'LOAD DATA and INPUT SEASONAL'!$A$60*U21</f>
        <v>-29.508306328867704</v>
      </c>
      <c r="S21" s="7">
        <f t="shared" si="8"/>
        <v>69645.831841940933</v>
      </c>
      <c r="T21" s="8">
        <v>3.990496754018916</v>
      </c>
      <c r="U21" s="7">
        <v>2.9508306328867704</v>
      </c>
      <c r="V21" s="149">
        <f t="shared" si="9"/>
        <v>1.0396661211321456</v>
      </c>
      <c r="W21" s="7">
        <v>794.10885404976432</v>
      </c>
      <c r="X21" s="148"/>
      <c r="Y21" s="148">
        <f t="shared" si="10"/>
        <v>795.14852017089652</v>
      </c>
      <c r="Z21" s="148">
        <f t="shared" si="11"/>
        <v>850.8089165828593</v>
      </c>
      <c r="AA21" s="148" t="b">
        <f t="shared" si="12"/>
        <v>1</v>
      </c>
      <c r="AB21" s="148">
        <f t="shared" si="13"/>
        <v>32.260839738730482</v>
      </c>
      <c r="AC21" s="148">
        <f t="shared" si="14"/>
        <v>24641.197741164189</v>
      </c>
      <c r="AD21" s="148">
        <f t="shared" si="14"/>
        <v>0</v>
      </c>
      <c r="AE21" s="148">
        <f t="shared" si="15"/>
        <v>24673.458580902919</v>
      </c>
      <c r="AF21" s="148">
        <f t="shared" si="16"/>
        <v>91.062751180836131</v>
      </c>
      <c r="AG21" s="148">
        <f t="shared" si="16"/>
        <v>69554.769090760092</v>
      </c>
      <c r="AH21" s="148">
        <f t="shared" si="16"/>
        <v>0</v>
      </c>
      <c r="AI21" s="148">
        <f t="shared" si="17"/>
        <v>69645.831841940933</v>
      </c>
      <c r="AJ21" s="148">
        <f t="shared" si="18"/>
        <v>123.32359091956661</v>
      </c>
      <c r="AK21" s="148">
        <f t="shared" si="18"/>
        <v>94195.966831924277</v>
      </c>
      <c r="AL21" s="148">
        <f t="shared" si="18"/>
        <v>0</v>
      </c>
      <c r="AM21" s="148">
        <f t="shared" si="19"/>
        <v>94319.290422843842</v>
      </c>
    </row>
    <row r="22" spans="1:39" s="66" customFormat="1" x14ac:dyDescent="0.25">
      <c r="A22" s="66">
        <v>18</v>
      </c>
      <c r="B22" s="7">
        <v>1000</v>
      </c>
      <c r="C22" s="148">
        <v>500</v>
      </c>
      <c r="D22" s="148">
        <v>100</v>
      </c>
      <c r="E22" s="148">
        <f t="shared" si="1"/>
        <v>1000</v>
      </c>
      <c r="F22" s="148">
        <f t="shared" si="2"/>
        <v>18.176889582037688</v>
      </c>
      <c r="G22" s="148">
        <f t="shared" si="3"/>
        <v>0</v>
      </c>
      <c r="H22" s="148">
        <f t="shared" si="4"/>
        <v>1018.1768895820377</v>
      </c>
      <c r="I22" s="148">
        <f t="shared" si="20"/>
        <v>29</v>
      </c>
      <c r="J22" s="148">
        <f t="shared" si="21"/>
        <v>33</v>
      </c>
      <c r="K22" s="148">
        <v>40</v>
      </c>
      <c r="L22" s="148">
        <f t="shared" si="5"/>
        <v>31.106408223568167</v>
      </c>
      <c r="M22" s="7">
        <f t="shared" si="6"/>
        <v>29000</v>
      </c>
      <c r="N22" s="7">
        <f t="shared" si="6"/>
        <v>599.83735620724372</v>
      </c>
      <c r="O22" s="7">
        <f t="shared" si="6"/>
        <v>0</v>
      </c>
      <c r="P22" s="7">
        <f t="shared" si="7"/>
        <v>29599.837356207245</v>
      </c>
      <c r="Q22" s="7">
        <f>'Seasonal (WITHOUT)'!Q22</f>
        <v>83120.022182351211</v>
      </c>
      <c r="R22" s="7">
        <f>-'LOAD DATA and INPUT SEASONAL'!$A$60*U22</f>
        <v>-5.3488576261063638</v>
      </c>
      <c r="S22" s="7">
        <f t="shared" si="8"/>
        <v>83114.67332472511</v>
      </c>
      <c r="T22" s="8">
        <v>4.7605103614393975</v>
      </c>
      <c r="U22" s="7">
        <v>0.53488576261063636</v>
      </c>
      <c r="V22" s="149">
        <f t="shared" si="9"/>
        <v>4.2256245988287615</v>
      </c>
      <c r="W22" s="7">
        <v>947.34156192644002</v>
      </c>
      <c r="X22" s="148"/>
      <c r="Y22" s="148">
        <f t="shared" si="10"/>
        <v>951.56718652526877</v>
      </c>
      <c r="Z22" s="148">
        <f t="shared" si="11"/>
        <v>1018.1768895820377</v>
      </c>
      <c r="AA22" s="148" t="b">
        <f t="shared" si="12"/>
        <v>1</v>
      </c>
      <c r="AB22" s="148">
        <f t="shared" si="13"/>
        <v>131.44400377071892</v>
      </c>
      <c r="AC22" s="148">
        <f t="shared" si="14"/>
        <v>29468.393352436524</v>
      </c>
      <c r="AD22" s="148">
        <f t="shared" si="14"/>
        <v>0</v>
      </c>
      <c r="AE22" s="148">
        <f t="shared" si="15"/>
        <v>29599.837356207241</v>
      </c>
      <c r="AF22" s="148">
        <f t="shared" si="16"/>
        <v>369.08734674537743</v>
      </c>
      <c r="AG22" s="148">
        <f t="shared" si="16"/>
        <v>82745.585977979732</v>
      </c>
      <c r="AH22" s="148">
        <f t="shared" si="16"/>
        <v>0</v>
      </c>
      <c r="AI22" s="148">
        <f t="shared" si="17"/>
        <v>83114.67332472511</v>
      </c>
      <c r="AJ22" s="148">
        <f t="shared" si="18"/>
        <v>500.53135051609638</v>
      </c>
      <c r="AK22" s="148">
        <f t="shared" si="18"/>
        <v>112213.97933041626</v>
      </c>
      <c r="AL22" s="148">
        <f t="shared" si="18"/>
        <v>0</v>
      </c>
      <c r="AM22" s="148">
        <f t="shared" si="19"/>
        <v>112714.51068093236</v>
      </c>
    </row>
    <row r="23" spans="1:39" s="66" customFormat="1" x14ac:dyDescent="0.25">
      <c r="A23" s="66">
        <v>19</v>
      </c>
      <c r="B23" s="7">
        <v>1000</v>
      </c>
      <c r="C23" s="148">
        <v>500</v>
      </c>
      <c r="D23" s="148">
        <v>100</v>
      </c>
      <c r="E23" s="148">
        <f t="shared" si="1"/>
        <v>1000</v>
      </c>
      <c r="F23" s="148">
        <f t="shared" si="2"/>
        <v>132.75435737916064</v>
      </c>
      <c r="G23" s="148">
        <f t="shared" si="3"/>
        <v>0</v>
      </c>
      <c r="H23" s="148">
        <f t="shared" si="4"/>
        <v>1132.7543573791606</v>
      </c>
      <c r="I23" s="148">
        <f t="shared" si="20"/>
        <v>29</v>
      </c>
      <c r="J23" s="148">
        <f t="shared" si="21"/>
        <v>33</v>
      </c>
      <c r="K23" s="148">
        <v>40</v>
      </c>
      <c r="L23" s="148">
        <f t="shared" si="5"/>
        <v>31.531599173626152</v>
      </c>
      <c r="M23" s="7">
        <f t="shared" si="6"/>
        <v>29000</v>
      </c>
      <c r="N23" s="7">
        <f t="shared" si="6"/>
        <v>4380.8937935123013</v>
      </c>
      <c r="O23" s="7">
        <f t="shared" si="6"/>
        <v>0</v>
      </c>
      <c r="P23" s="7">
        <f t="shared" si="7"/>
        <v>33380.893793512303</v>
      </c>
      <c r="Q23" s="7">
        <f>'Seasonal (WITHOUT)'!Q23</f>
        <v>92421.73216840392</v>
      </c>
      <c r="R23" s="7">
        <f>-'LOAD DATA and INPUT SEASONAL'!$A$60*U23</f>
        <v>0</v>
      </c>
      <c r="S23" s="7">
        <f t="shared" si="8"/>
        <v>92421.73216840392</v>
      </c>
      <c r="T23" s="150">
        <v>5.2932446606502834</v>
      </c>
      <c r="U23" s="7">
        <v>0</v>
      </c>
      <c r="V23" s="149">
        <f t="shared" si="9"/>
        <v>5.2932446606502834</v>
      </c>
      <c r="W23" s="7">
        <v>1053.3556874694063</v>
      </c>
      <c r="X23" s="148"/>
      <c r="Y23" s="148">
        <f t="shared" si="10"/>
        <v>1058.6489321300567</v>
      </c>
      <c r="Z23" s="148">
        <f t="shared" si="11"/>
        <v>1132.7543573791606</v>
      </c>
      <c r="AA23" s="148" t="b">
        <f t="shared" si="12"/>
        <v>1</v>
      </c>
      <c r="AB23" s="148">
        <f t="shared" si="13"/>
        <v>166.90446896756151</v>
      </c>
      <c r="AC23" s="148">
        <f t="shared" si="14"/>
        <v>33213.989324544738</v>
      </c>
      <c r="AD23" s="148">
        <f t="shared" si="14"/>
        <v>0</v>
      </c>
      <c r="AE23" s="148">
        <f t="shared" si="15"/>
        <v>33380.893793512303</v>
      </c>
      <c r="AF23" s="148">
        <f t="shared" si="16"/>
        <v>462.10866084201962</v>
      </c>
      <c r="AG23" s="148">
        <f t="shared" si="16"/>
        <v>91959.623507561904</v>
      </c>
      <c r="AH23" s="148">
        <f t="shared" si="16"/>
        <v>0</v>
      </c>
      <c r="AI23" s="148">
        <f t="shared" si="17"/>
        <v>92421.73216840392</v>
      </c>
      <c r="AJ23" s="148">
        <f t="shared" si="18"/>
        <v>629.01312980958119</v>
      </c>
      <c r="AK23" s="148">
        <f t="shared" si="18"/>
        <v>125173.61283210665</v>
      </c>
      <c r="AL23" s="148">
        <f t="shared" si="18"/>
        <v>0</v>
      </c>
      <c r="AM23" s="148">
        <f t="shared" si="19"/>
        <v>125802.62596191623</v>
      </c>
    </row>
    <row r="24" spans="1:39" s="66" customFormat="1" x14ac:dyDescent="0.25">
      <c r="A24" s="66">
        <v>20</v>
      </c>
      <c r="B24" s="7">
        <v>1000</v>
      </c>
      <c r="C24" s="148">
        <v>500</v>
      </c>
      <c r="D24" s="148">
        <v>100</v>
      </c>
      <c r="E24" s="148">
        <f t="shared" si="1"/>
        <v>1000</v>
      </c>
      <c r="F24" s="148">
        <f t="shared" si="2"/>
        <v>135.36935237251555</v>
      </c>
      <c r="G24" s="148">
        <f t="shared" si="3"/>
        <v>0</v>
      </c>
      <c r="H24" s="148">
        <f t="shared" si="4"/>
        <v>1135.3693523725156</v>
      </c>
      <c r="I24" s="148">
        <f t="shared" si="20"/>
        <v>29</v>
      </c>
      <c r="J24" s="148">
        <f t="shared" si="21"/>
        <v>33</v>
      </c>
      <c r="K24" s="148">
        <v>40</v>
      </c>
      <c r="L24" s="148">
        <f t="shared" si="5"/>
        <v>31.540301627345912</v>
      </c>
      <c r="M24" s="7">
        <f t="shared" si="6"/>
        <v>29000</v>
      </c>
      <c r="N24" s="7">
        <f t="shared" si="6"/>
        <v>4467.1886282930136</v>
      </c>
      <c r="O24" s="7">
        <f t="shared" si="6"/>
        <v>0</v>
      </c>
      <c r="P24" s="7">
        <f t="shared" si="7"/>
        <v>33467.188628293014</v>
      </c>
      <c r="Q24" s="7">
        <f>'Seasonal (WITHOUT)'!Q24</f>
        <v>92635.090312050117</v>
      </c>
      <c r="R24" s="7">
        <f>-'LOAD DATA and INPUT SEASONAL'!$A$60*U24</f>
        <v>0</v>
      </c>
      <c r="S24" s="7">
        <f t="shared" si="8"/>
        <v>92635.090312050117</v>
      </c>
      <c r="T24" s="8">
        <v>5.3054642634229694</v>
      </c>
      <c r="U24" s="7">
        <v>0</v>
      </c>
      <c r="V24" s="149">
        <f t="shared" si="9"/>
        <v>5.3054642634229694</v>
      </c>
      <c r="W24" s="7">
        <v>1055.787388421171</v>
      </c>
      <c r="X24" s="148"/>
      <c r="Y24" s="148">
        <f t="shared" si="10"/>
        <v>1061.0928526845939</v>
      </c>
      <c r="Z24" s="148">
        <f t="shared" si="11"/>
        <v>1135.3693523725156</v>
      </c>
      <c r="AA24" s="148" t="b">
        <f t="shared" si="12"/>
        <v>1</v>
      </c>
      <c r="AB24" s="148">
        <f t="shared" si="13"/>
        <v>167.33594314146507</v>
      </c>
      <c r="AC24" s="148">
        <f t="shared" si="14"/>
        <v>33299.852685151549</v>
      </c>
      <c r="AD24" s="148">
        <f t="shared" si="14"/>
        <v>0</v>
      </c>
      <c r="AE24" s="148">
        <f t="shared" si="15"/>
        <v>33467.188628293014</v>
      </c>
      <c r="AF24" s="148">
        <f t="shared" si="16"/>
        <v>463.17545156025051</v>
      </c>
      <c r="AG24" s="148">
        <f t="shared" si="16"/>
        <v>92171.914860489866</v>
      </c>
      <c r="AH24" s="148">
        <f t="shared" si="16"/>
        <v>0</v>
      </c>
      <c r="AI24" s="148">
        <f t="shared" si="17"/>
        <v>92635.090312050117</v>
      </c>
      <c r="AJ24" s="148">
        <f t="shared" si="18"/>
        <v>630.51139470171552</v>
      </c>
      <c r="AK24" s="148">
        <f t="shared" si="18"/>
        <v>125471.76754564141</v>
      </c>
      <c r="AL24" s="148">
        <f t="shared" si="18"/>
        <v>0</v>
      </c>
      <c r="AM24" s="148">
        <f t="shared" si="19"/>
        <v>126102.27894034312</v>
      </c>
    </row>
    <row r="25" spans="1:39" s="66" customFormat="1" x14ac:dyDescent="0.25">
      <c r="A25" s="66">
        <v>21</v>
      </c>
      <c r="B25" s="7">
        <v>1000</v>
      </c>
      <c r="C25" s="148">
        <v>500</v>
      </c>
      <c r="D25" s="148">
        <v>100</v>
      </c>
      <c r="E25" s="148">
        <f t="shared" si="1"/>
        <v>1000</v>
      </c>
      <c r="F25" s="148">
        <f t="shared" si="2"/>
        <v>125.22704942465657</v>
      </c>
      <c r="G25" s="148">
        <f t="shared" si="3"/>
        <v>0</v>
      </c>
      <c r="H25" s="148">
        <f>SUM(E25:G25)</f>
        <v>1125.2270494246566</v>
      </c>
      <c r="I25" s="148">
        <f t="shared" si="20"/>
        <v>29</v>
      </c>
      <c r="J25" s="148">
        <f t="shared" si="21"/>
        <v>33</v>
      </c>
      <c r="K25" s="148">
        <v>40</v>
      </c>
      <c r="L25" s="148">
        <f t="shared" si="5"/>
        <v>31.506323220110623</v>
      </c>
      <c r="M25" s="7">
        <f>E25*I25</f>
        <v>29000</v>
      </c>
      <c r="N25" s="7">
        <f t="shared" ref="N25:O28" si="22">F25*J25</f>
        <v>4132.4926310136671</v>
      </c>
      <c r="O25" s="7">
        <f t="shared" si="22"/>
        <v>0</v>
      </c>
      <c r="P25" s="7">
        <f>SUM(M25:O25)</f>
        <v>33132.492631013665</v>
      </c>
      <c r="Q25" s="7">
        <f>'Seasonal (WITHOUT)'!Q25</f>
        <v>91807.577091278581</v>
      </c>
      <c r="R25" s="7">
        <f>-'LOAD DATA and INPUT SEASONAL'!$A$60*U25</f>
        <v>0</v>
      </c>
      <c r="S25" s="7">
        <f t="shared" si="8"/>
        <v>91807.577091278581</v>
      </c>
      <c r="T25" s="8">
        <v>5.258070324414283</v>
      </c>
      <c r="U25" s="7">
        <v>0</v>
      </c>
      <c r="V25" s="149">
        <f t="shared" si="9"/>
        <v>5.258070324414283</v>
      </c>
      <c r="W25" s="7">
        <v>1046.3559945584423</v>
      </c>
      <c r="X25" s="148"/>
      <c r="Y25" s="148">
        <f t="shared" si="10"/>
        <v>1051.6140648828566</v>
      </c>
      <c r="Z25" s="148">
        <f>Y25*1.07</f>
        <v>1125.2270494246566</v>
      </c>
      <c r="AA25" s="148" t="b">
        <f>Z25=H25</f>
        <v>1</v>
      </c>
      <c r="AB25" s="148">
        <f>V25*L25</f>
        <v>165.66246315506831</v>
      </c>
      <c r="AC25" s="148">
        <f>W25*$L25</f>
        <v>32966.830167858592</v>
      </c>
      <c r="AD25" s="148">
        <f>X25*$L25</f>
        <v>0</v>
      </c>
      <c r="AE25" s="148">
        <f>SUM(AB25:AD25)</f>
        <v>33132.492631013658</v>
      </c>
      <c r="AF25" s="148">
        <f>$S25/$Y25*V25</f>
        <v>459.03788545639287</v>
      </c>
      <c r="AG25" s="148">
        <f t="shared" ref="AG25:AH28" si="23">$S25/$Y25*W25</f>
        <v>91348.539205822177</v>
      </c>
      <c r="AH25" s="148">
        <f t="shared" si="23"/>
        <v>0</v>
      </c>
      <c r="AI25" s="148">
        <f>SUM(AF25:AH25)</f>
        <v>91807.577091278567</v>
      </c>
      <c r="AJ25" s="148">
        <f>AB25+AF25</f>
        <v>624.70034861146121</v>
      </c>
      <c r="AK25" s="148">
        <f>AC25+AG25</f>
        <v>124315.36937368076</v>
      </c>
      <c r="AL25" s="148">
        <f>AD25+AH25</f>
        <v>0</v>
      </c>
      <c r="AM25" s="148">
        <f>SUM(AJ25:AL25)</f>
        <v>124940.06972229222</v>
      </c>
    </row>
    <row r="26" spans="1:39" s="66" customFormat="1" x14ac:dyDescent="0.25">
      <c r="A26" s="66">
        <v>22</v>
      </c>
      <c r="B26" s="7">
        <v>1000</v>
      </c>
      <c r="C26" s="148">
        <v>500</v>
      </c>
      <c r="D26" s="148">
        <v>100</v>
      </c>
      <c r="E26" s="148">
        <f t="shared" si="1"/>
        <v>1000</v>
      </c>
      <c r="F26" s="148">
        <f t="shared" si="2"/>
        <v>79.463503439707438</v>
      </c>
      <c r="G26" s="148">
        <f t="shared" si="3"/>
        <v>0</v>
      </c>
      <c r="H26" s="148">
        <f t="shared" ref="H26:H27" si="24">SUM(E26:G26)</f>
        <v>1079.4635034397074</v>
      </c>
      <c r="I26" s="148">
        <f t="shared" si="20"/>
        <v>29</v>
      </c>
      <c r="J26" s="148">
        <f t="shared" si="21"/>
        <v>33</v>
      </c>
      <c r="K26" s="148">
        <v>40</v>
      </c>
      <c r="L26" s="148">
        <f t="shared" si="5"/>
        <v>31.34506743269986</v>
      </c>
      <c r="M26" s="7">
        <f t="shared" ref="M26:M27" si="25">E26*I26</f>
        <v>29000</v>
      </c>
      <c r="N26" s="7">
        <f t="shared" si="22"/>
        <v>2622.2956135103454</v>
      </c>
      <c r="O26" s="7">
        <f t="shared" si="22"/>
        <v>0</v>
      </c>
      <c r="P26" s="7">
        <f t="shared" ref="P26:P27" si="26">SUM(M26:O26)</f>
        <v>31622.295613510345</v>
      </c>
      <c r="Q26" s="7">
        <f>'Seasonal (WITHOUT)'!Q26</f>
        <v>88073.717086640623</v>
      </c>
      <c r="R26" s="7">
        <f>-'LOAD DATA and INPUT SEASONAL'!$A$60*U26</f>
        <v>0</v>
      </c>
      <c r="S26" s="7">
        <f t="shared" si="8"/>
        <v>88073.717086640623</v>
      </c>
      <c r="T26" s="8">
        <v>5.0442219786902216</v>
      </c>
      <c r="U26" s="7">
        <v>0</v>
      </c>
      <c r="V26" s="149">
        <f t="shared" si="9"/>
        <v>5.0442219786902216</v>
      </c>
      <c r="W26" s="7">
        <v>1003.8001737593542</v>
      </c>
      <c r="X26" s="148"/>
      <c r="Y26" s="148">
        <f t="shared" si="10"/>
        <v>1008.8443957380443</v>
      </c>
      <c r="Z26" s="148">
        <f t="shared" si="11"/>
        <v>1079.4635034397074</v>
      </c>
      <c r="AA26" s="148" t="b">
        <f t="shared" ref="AA26:AA27" si="27">Z26=H26</f>
        <v>1</v>
      </c>
      <c r="AB26" s="148">
        <f t="shared" ref="AB26:AB27" si="28">V26*L26</f>
        <v>158.1114780675517</v>
      </c>
      <c r="AC26" s="148">
        <f t="shared" ref="AC26:AD27" si="29">W26*$L26</f>
        <v>31464.184135442792</v>
      </c>
      <c r="AD26" s="148">
        <f t="shared" si="29"/>
        <v>0</v>
      </c>
      <c r="AE26" s="148">
        <f t="shared" ref="AE26:AE27" si="30">SUM(AB26:AD26)</f>
        <v>31622.295613510345</v>
      </c>
      <c r="AF26" s="148">
        <f t="shared" ref="AF26:AF27" si="31">$S26/$Y26*V26</f>
        <v>440.36858543320307</v>
      </c>
      <c r="AG26" s="148">
        <f t="shared" si="23"/>
        <v>87633.348501207423</v>
      </c>
      <c r="AH26" s="148">
        <f t="shared" si="23"/>
        <v>0</v>
      </c>
      <c r="AI26" s="148">
        <f t="shared" ref="AI26:AI27" si="32">SUM(AF26:AH26)</f>
        <v>88073.717086640623</v>
      </c>
      <c r="AJ26" s="148">
        <f t="shared" ref="AJ26:AL27" si="33">AB26+AF26</f>
        <v>598.4800635007548</v>
      </c>
      <c r="AK26" s="148">
        <f t="shared" si="33"/>
        <v>119097.53263665021</v>
      </c>
      <c r="AL26" s="148">
        <f t="shared" si="33"/>
        <v>0</v>
      </c>
      <c r="AM26" s="148">
        <f t="shared" ref="AM26:AM27" si="34">SUM(AJ26:AL26)</f>
        <v>119696.01270015097</v>
      </c>
    </row>
    <row r="27" spans="1:39" s="66" customFormat="1" x14ac:dyDescent="0.25">
      <c r="A27" s="66">
        <v>23</v>
      </c>
      <c r="B27" s="7">
        <v>1000</v>
      </c>
      <c r="C27" s="148">
        <v>500</v>
      </c>
      <c r="D27" s="148">
        <v>100</v>
      </c>
      <c r="E27" s="148">
        <f t="shared" si="1"/>
        <v>915.04505669255047</v>
      </c>
      <c r="F27" s="148">
        <f t="shared" si="2"/>
        <v>0</v>
      </c>
      <c r="G27" s="148">
        <f t="shared" si="3"/>
        <v>0</v>
      </c>
      <c r="H27" s="148">
        <f t="shared" si="24"/>
        <v>915.04505669255047</v>
      </c>
      <c r="I27" s="148">
        <f t="shared" si="20"/>
        <v>29</v>
      </c>
      <c r="J27" s="148">
        <f t="shared" si="21"/>
        <v>33</v>
      </c>
      <c r="K27" s="148">
        <v>40</v>
      </c>
      <c r="L27" s="148">
        <f t="shared" si="5"/>
        <v>31.030000000000005</v>
      </c>
      <c r="M27" s="7">
        <f t="shared" si="25"/>
        <v>26536.306644083965</v>
      </c>
      <c r="N27" s="7">
        <f t="shared" si="22"/>
        <v>0</v>
      </c>
      <c r="O27" s="7">
        <f t="shared" si="22"/>
        <v>0</v>
      </c>
      <c r="P27" s="7">
        <f t="shared" si="26"/>
        <v>26536.306644083965</v>
      </c>
      <c r="Q27" s="7">
        <f>'Seasonal (WITHOUT)'!Q27</f>
        <v>74658.771869418808</v>
      </c>
      <c r="R27" s="7">
        <f>-'LOAD DATA and INPUT SEASONAL'!$A$60*U27</f>
        <v>0</v>
      </c>
      <c r="S27" s="7">
        <f t="shared" si="8"/>
        <v>74658.771869418808</v>
      </c>
      <c r="T27" s="8">
        <v>4.2759114798717306</v>
      </c>
      <c r="U27" s="7">
        <v>0</v>
      </c>
      <c r="V27" s="149">
        <f t="shared" si="9"/>
        <v>4.2759114798717306</v>
      </c>
      <c r="W27" s="7">
        <v>850.90638449447442</v>
      </c>
      <c r="X27" s="148"/>
      <c r="Y27" s="148">
        <f t="shared" si="10"/>
        <v>855.18229597434618</v>
      </c>
      <c r="Z27" s="148">
        <f t="shared" si="11"/>
        <v>915.04505669255047</v>
      </c>
      <c r="AA27" s="148" t="b">
        <f t="shared" si="27"/>
        <v>1</v>
      </c>
      <c r="AB27" s="148">
        <f t="shared" si="28"/>
        <v>132.68153322041982</v>
      </c>
      <c r="AC27" s="148">
        <f t="shared" si="29"/>
        <v>26403.625110863544</v>
      </c>
      <c r="AD27" s="148">
        <f t="shared" si="29"/>
        <v>0</v>
      </c>
      <c r="AE27" s="148">
        <f t="shared" si="30"/>
        <v>26536.306644083965</v>
      </c>
      <c r="AF27" s="148">
        <f t="shared" si="31"/>
        <v>373.29385934709398</v>
      </c>
      <c r="AG27" s="148">
        <f t="shared" si="23"/>
        <v>74285.478010071703</v>
      </c>
      <c r="AH27" s="148">
        <f t="shared" si="23"/>
        <v>0</v>
      </c>
      <c r="AI27" s="148">
        <f t="shared" si="32"/>
        <v>74658.771869418793</v>
      </c>
      <c r="AJ27" s="148">
        <f t="shared" si="33"/>
        <v>505.97539256751384</v>
      </c>
      <c r="AK27" s="148">
        <f t="shared" si="33"/>
        <v>100689.10312093525</v>
      </c>
      <c r="AL27" s="148">
        <f t="shared" si="33"/>
        <v>0</v>
      </c>
      <c r="AM27" s="148">
        <f t="shared" si="34"/>
        <v>101195.07851350277</v>
      </c>
    </row>
    <row r="28" spans="1:39" s="66" customFormat="1" x14ac:dyDescent="0.25">
      <c r="A28" s="66">
        <v>24</v>
      </c>
      <c r="B28" s="7">
        <v>1000</v>
      </c>
      <c r="C28" s="148">
        <v>500</v>
      </c>
      <c r="D28" s="148">
        <v>100</v>
      </c>
      <c r="E28" s="148">
        <f t="shared" si="1"/>
        <v>731.34735307306721</v>
      </c>
      <c r="F28" s="148">
        <f t="shared" si="2"/>
        <v>0</v>
      </c>
      <c r="G28" s="148">
        <f t="shared" si="3"/>
        <v>0</v>
      </c>
      <c r="H28" s="148">
        <f>SUM(E28:G28)</f>
        <v>731.34735307306721</v>
      </c>
      <c r="I28" s="148">
        <f t="shared" si="20"/>
        <v>29</v>
      </c>
      <c r="J28" s="148">
        <f t="shared" si="21"/>
        <v>33</v>
      </c>
      <c r="K28" s="148">
        <v>40</v>
      </c>
      <c r="L28" s="148">
        <f>P28/Y28</f>
        <v>31.029999999999998</v>
      </c>
      <c r="M28" s="7">
        <f>E28*I28</f>
        <v>21209.073239118949</v>
      </c>
      <c r="N28" s="7">
        <f t="shared" si="22"/>
        <v>0</v>
      </c>
      <c r="O28" s="7">
        <f t="shared" si="22"/>
        <v>0</v>
      </c>
      <c r="P28" s="7">
        <f>SUM(M28:O28)</f>
        <v>21209.073239118949</v>
      </c>
      <c r="Q28" s="7">
        <f>'Seasonal (WITHOUT)'!Q28</f>
        <v>59670.826907413364</v>
      </c>
      <c r="R28" s="7">
        <f>-'LOAD DATA and INPUT SEASONAL'!$A$60*U28</f>
        <v>0</v>
      </c>
      <c r="S28" s="7">
        <f t="shared" si="8"/>
        <v>59670.826907413364</v>
      </c>
      <c r="T28" s="8">
        <v>3.4175109956685383</v>
      </c>
      <c r="U28" s="7">
        <v>0</v>
      </c>
      <c r="V28" s="149">
        <f>T28-U28</f>
        <v>3.4175109956685383</v>
      </c>
      <c r="W28" s="7">
        <v>680.08468813803916</v>
      </c>
      <c r="X28" s="148"/>
      <c r="Y28" s="148">
        <f>SUM(V28:X28)</f>
        <v>683.50219913370768</v>
      </c>
      <c r="Z28" s="148">
        <f>Y28*1.07</f>
        <v>731.34735307306721</v>
      </c>
      <c r="AA28" s="148" t="b">
        <f>Z28=H28</f>
        <v>1</v>
      </c>
      <c r="AB28" s="148">
        <f>V28*L28</f>
        <v>106.04536619559474</v>
      </c>
      <c r="AC28" s="148">
        <f>W28*$L28</f>
        <v>21103.027872923354</v>
      </c>
      <c r="AD28" s="148">
        <f>X28*$L28</f>
        <v>0</v>
      </c>
      <c r="AE28" s="148">
        <f>SUM(AB28:AD28)</f>
        <v>21209.073239118949</v>
      </c>
      <c r="AF28" s="148">
        <f>$S28/$Y28*V28</f>
        <v>298.35413453706678</v>
      </c>
      <c r="AG28" s="148">
        <f t="shared" si="23"/>
        <v>59372.472772876295</v>
      </c>
      <c r="AH28" s="148">
        <f t="shared" si="23"/>
        <v>0</v>
      </c>
      <c r="AI28" s="148">
        <f>SUM(AF28:AH28)</f>
        <v>59670.826907413364</v>
      </c>
      <c r="AJ28" s="148">
        <f>AB28+AF28</f>
        <v>404.39950073266152</v>
      </c>
      <c r="AK28" s="148">
        <f>AC28+AG28</f>
        <v>80475.50064579965</v>
      </c>
      <c r="AL28" s="148">
        <f>AD28+AH28</f>
        <v>0</v>
      </c>
      <c r="AM28" s="148">
        <f>SUM(AJ28:AL28)</f>
        <v>80879.900146532309</v>
      </c>
    </row>
    <row r="29" spans="1:39" s="66" customFormat="1" x14ac:dyDescent="0.25">
      <c r="A29" s="66" t="s">
        <v>30</v>
      </c>
      <c r="B29" s="147">
        <f t="shared" ref="B29:AA29" si="35">SUM(B5:B28)</f>
        <v>24000</v>
      </c>
      <c r="C29" s="147">
        <f t="shared" si="35"/>
        <v>12000</v>
      </c>
      <c r="D29" s="147">
        <f t="shared" si="35"/>
        <v>2400</v>
      </c>
      <c r="E29" s="147">
        <f t="shared" si="35"/>
        <v>18465.160298492821</v>
      </c>
      <c r="F29" s="147">
        <f t="shared" si="35"/>
        <v>490.99115219807788</v>
      </c>
      <c r="G29" s="147">
        <f t="shared" si="35"/>
        <v>0</v>
      </c>
      <c r="H29" s="147">
        <f t="shared" si="35"/>
        <v>18956.151450690901</v>
      </c>
      <c r="I29" s="147">
        <f t="shared" si="20"/>
        <v>29</v>
      </c>
      <c r="J29" s="147">
        <f t="shared" si="21"/>
        <v>33</v>
      </c>
      <c r="K29" s="147">
        <f t="shared" si="21"/>
        <v>40</v>
      </c>
      <c r="L29" s="147">
        <f t="shared" si="35"/>
        <v>746.59969967735071</v>
      </c>
      <c r="M29" s="147">
        <f t="shared" si="35"/>
        <v>535489.64865629177</v>
      </c>
      <c r="N29" s="147">
        <f t="shared" si="35"/>
        <v>16202.70802253657</v>
      </c>
      <c r="O29" s="147">
        <f t="shared" si="35"/>
        <v>0</v>
      </c>
      <c r="P29" s="147">
        <f t="shared" si="35"/>
        <v>551692.35667882836</v>
      </c>
      <c r="Q29" s="147">
        <f t="shared" si="35"/>
        <v>1550892.175546003</v>
      </c>
      <c r="R29" s="147">
        <f t="shared" si="35"/>
        <v>-487.35527044510297</v>
      </c>
      <c r="S29" s="147">
        <f t="shared" si="35"/>
        <v>1550404.8202755582</v>
      </c>
      <c r="T29" s="147">
        <f t="shared" si="35"/>
        <v>88.823824601067869</v>
      </c>
      <c r="U29" s="147">
        <f t="shared" si="35"/>
        <v>48.735527044510299</v>
      </c>
      <c r="V29" s="147">
        <f t="shared" si="35"/>
        <v>40.088297556557585</v>
      </c>
      <c r="W29" s="147">
        <f t="shared" si="35"/>
        <v>17675.941095612507</v>
      </c>
      <c r="X29" s="147">
        <f t="shared" si="35"/>
        <v>0</v>
      </c>
      <c r="Y29" s="147">
        <f t="shared" si="35"/>
        <v>17716.029393169068</v>
      </c>
      <c r="Z29" s="147">
        <f t="shared" si="35"/>
        <v>18956.151450690901</v>
      </c>
      <c r="AA29" s="147">
        <f t="shared" si="35"/>
        <v>0</v>
      </c>
      <c r="AB29" s="147">
        <f t="shared" ref="AB29:AL29" si="36">SUM(AB5:AB28)</f>
        <v>1253.7190309013649</v>
      </c>
      <c r="AC29" s="147">
        <f t="shared" si="36"/>
        <v>550438.63764792704</v>
      </c>
      <c r="AD29" s="147">
        <f t="shared" si="36"/>
        <v>0</v>
      </c>
      <c r="AE29" s="147">
        <f t="shared" si="36"/>
        <v>551692.35667882836</v>
      </c>
      <c r="AF29" s="147">
        <f t="shared" si="36"/>
        <v>3487.8886863692333</v>
      </c>
      <c r="AG29" s="147">
        <f t="shared" si="36"/>
        <v>1546916.9315891883</v>
      </c>
      <c r="AH29" s="147">
        <f t="shared" si="36"/>
        <v>0</v>
      </c>
      <c r="AI29" s="147">
        <f t="shared" si="36"/>
        <v>1550404.8202755579</v>
      </c>
      <c r="AJ29" s="147">
        <f t="shared" si="36"/>
        <v>4741.6077172705991</v>
      </c>
      <c r="AK29" s="147">
        <f t="shared" si="36"/>
        <v>2097355.5692371153</v>
      </c>
      <c r="AL29" s="147">
        <f t="shared" si="36"/>
        <v>0</v>
      </c>
      <c r="AM29" s="147">
        <f>SUM(AM5:AM28)</f>
        <v>2102097.1769543863</v>
      </c>
    </row>
    <row r="30" spans="1:39" x14ac:dyDescent="0.25"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2"/>
      <c r="S30" s="151"/>
    </row>
    <row r="31" spans="1:39" s="66" customFormat="1" x14ac:dyDescent="0.25">
      <c r="A31" s="66" t="s">
        <v>32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53"/>
      <c r="S31" s="148"/>
      <c r="T31" s="144"/>
      <c r="U31" s="144"/>
      <c r="V31" s="146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</row>
    <row r="32" spans="1:39" s="66" customFormat="1" x14ac:dyDescent="0.25">
      <c r="A32" s="66">
        <v>1</v>
      </c>
      <c r="B32" s="148">
        <f>B5</f>
        <v>1000</v>
      </c>
      <c r="C32" s="148">
        <f t="shared" ref="C32:D32" si="37">C5</f>
        <v>500</v>
      </c>
      <c r="D32" s="148">
        <f t="shared" si="37"/>
        <v>100</v>
      </c>
      <c r="E32" s="148">
        <f>IF(B32&lt;Z32,B32,Z32)</f>
        <v>497.37192071728452</v>
      </c>
      <c r="F32" s="148">
        <f>IF(C32&lt;Z32-E32,C32,Z32-E32)</f>
        <v>0</v>
      </c>
      <c r="G32" s="148">
        <f>IF(SUM(E32,F32)&lt;Z32,IF(SUM(E32,F32,D32)&lt;Z32,D32,Z32-E32-F32),0)</f>
        <v>0</v>
      </c>
      <c r="H32" s="148">
        <f>SUM(E32:G32)</f>
        <v>497.37192071728452</v>
      </c>
      <c r="I32" s="148">
        <f>I28</f>
        <v>29</v>
      </c>
      <c r="J32" s="148">
        <f>J28</f>
        <v>33</v>
      </c>
      <c r="K32" s="148">
        <v>40</v>
      </c>
      <c r="L32" s="148">
        <f t="shared" ref="L32:L54" si="38">P32/Y32</f>
        <v>31.029999999999998</v>
      </c>
      <c r="M32" s="148">
        <f>E32*I32</f>
        <v>14423.785700801251</v>
      </c>
      <c r="N32" s="148">
        <f t="shared" ref="N32:N55" si="39">F32*J32</f>
        <v>0</v>
      </c>
      <c r="O32" s="148">
        <f t="shared" ref="O32:O55" si="40">G32*K32</f>
        <v>0</v>
      </c>
      <c r="P32" s="148">
        <f>SUM(M32:O32)</f>
        <v>14423.785700801251</v>
      </c>
      <c r="Q32" s="7">
        <f>'Seasonal (WITHOUT)'!Q32</f>
        <v>40580.708558008126</v>
      </c>
      <c r="R32" s="7">
        <f>-'LOAD DATA and INPUT SEASONAL'!$A$60*U32</f>
        <v>0</v>
      </c>
      <c r="S32" s="7">
        <f>Q32+R32</f>
        <v>40580.708558008126</v>
      </c>
      <c r="T32" s="154">
        <f t="array" ref="T32:T55">TRANSPOSE('LOAD DATA and INPUT SEASONAL'!F23:AC23)</f>
        <v>2.3241678538190866</v>
      </c>
      <c r="U32" s="148">
        <f t="array" ref="U32:U55">TRANSPOSE('LOAD DATA and INPUT SEASONAL'!F55:AC55)</f>
        <v>0</v>
      </c>
      <c r="V32" s="148">
        <f>T32-U32</f>
        <v>2.3241678538190866</v>
      </c>
      <c r="W32" s="148">
        <f t="array" ref="W32:W55">TRANSPOSE('LOAD DATA and INPUT SEASONAL'!F32:AC32)</f>
        <v>462.50940290999824</v>
      </c>
      <c r="X32" s="148"/>
      <c r="Y32" s="148">
        <f t="shared" ref="Y32:Y54" si="41">SUM(V32:X32)</f>
        <v>464.83357076381731</v>
      </c>
      <c r="Z32" s="148">
        <f>Y32*1.07</f>
        <v>497.37192071728452</v>
      </c>
      <c r="AA32" s="148" t="b">
        <f>Z32=H32</f>
        <v>1</v>
      </c>
      <c r="AB32" s="148">
        <f>V32*L32</f>
        <v>72.118928504006249</v>
      </c>
      <c r="AC32" s="148">
        <f>W32*$L32</f>
        <v>14351.666772297245</v>
      </c>
      <c r="AD32" s="148">
        <f>X32*$L32</f>
        <v>0</v>
      </c>
      <c r="AE32" s="148">
        <f>SUM(AB32:AD32)</f>
        <v>14423.785700801251</v>
      </c>
      <c r="AF32" s="148">
        <f>$S32/$Y32*V32</f>
        <v>202.90354279004066</v>
      </c>
      <c r="AG32" s="148">
        <f>$S32/$Y32*W32</f>
        <v>40377.805015218088</v>
      </c>
      <c r="AH32" s="148">
        <f>$S32/$Y32*X32</f>
        <v>0</v>
      </c>
      <c r="AI32" s="148">
        <f>SUM(AF32:AH32)</f>
        <v>40580.708558008126</v>
      </c>
      <c r="AJ32" s="148">
        <f>AB32+AF32</f>
        <v>275.02247129404691</v>
      </c>
      <c r="AK32" s="148">
        <f>AC32+AG32</f>
        <v>54729.471787515329</v>
      </c>
      <c r="AL32" s="148">
        <f>AD32+AH32</f>
        <v>0</v>
      </c>
      <c r="AM32" s="148">
        <f>SUM(AJ32:AL32)</f>
        <v>55004.494258809376</v>
      </c>
    </row>
    <row r="33" spans="1:39" s="66" customFormat="1" x14ac:dyDescent="0.25">
      <c r="A33" s="66">
        <v>2</v>
      </c>
      <c r="B33" s="148">
        <f t="shared" ref="B33:D33" si="42">B6</f>
        <v>1000</v>
      </c>
      <c r="C33" s="148">
        <f t="shared" si="42"/>
        <v>500</v>
      </c>
      <c r="D33" s="148">
        <f t="shared" si="42"/>
        <v>100</v>
      </c>
      <c r="E33" s="148">
        <f t="shared" ref="E33:E55" si="43">IF(B33&lt;Z33,B33,Z33)</f>
        <v>447.86888320325966</v>
      </c>
      <c r="F33" s="148">
        <f t="shared" ref="F33:F55" si="44">IF(C33&lt;Z33-E33,C33,Z33-E33)</f>
        <v>0</v>
      </c>
      <c r="G33" s="148">
        <f t="shared" ref="G33:G55" si="45">IF(SUM(E33,F33)&lt;Z33,IF(SUM(E33,F33,D33)&lt;Z33,D33,Z33-E33-F33),0)</f>
        <v>0</v>
      </c>
      <c r="H33" s="148">
        <f t="shared" ref="H33:H51" si="46">SUM(E33:G33)</f>
        <v>447.86888320325966</v>
      </c>
      <c r="I33" s="148">
        <f t="shared" si="20"/>
        <v>29</v>
      </c>
      <c r="J33" s="148">
        <f t="shared" si="21"/>
        <v>33</v>
      </c>
      <c r="K33" s="148">
        <v>40</v>
      </c>
      <c r="L33" s="148">
        <f t="shared" si="38"/>
        <v>31.03</v>
      </c>
      <c r="M33" s="148">
        <f t="shared" ref="M33:M51" si="47">E33*I33</f>
        <v>12988.19761289453</v>
      </c>
      <c r="N33" s="148">
        <f t="shared" si="39"/>
        <v>0</v>
      </c>
      <c r="O33" s="148">
        <f t="shared" si="40"/>
        <v>0</v>
      </c>
      <c r="P33" s="148">
        <f t="shared" ref="P33:P51" si="48">SUM(M33:O33)</f>
        <v>12988.19761289453</v>
      </c>
      <c r="Q33" s="7">
        <f>'Seasonal (WITHOUT)'!Q33</f>
        <v>36541.742435441942</v>
      </c>
      <c r="R33" s="7">
        <f>-'LOAD DATA and INPUT SEASONAL'!$A$60*U33</f>
        <v>0</v>
      </c>
      <c r="S33" s="7">
        <f t="shared" ref="S33:S55" si="49">Q33+R33</f>
        <v>36541.742435441942</v>
      </c>
      <c r="T33" s="154">
        <v>2.0928452486133629</v>
      </c>
      <c r="U33" s="148">
        <v>0</v>
      </c>
      <c r="V33" s="148">
        <f t="shared" ref="V33:V54" si="50">T33-U33</f>
        <v>2.0928452486133629</v>
      </c>
      <c r="W33" s="148">
        <v>416.47620447405922</v>
      </c>
      <c r="X33" s="148"/>
      <c r="Y33" s="148">
        <f t="shared" si="41"/>
        <v>418.56904972267256</v>
      </c>
      <c r="Z33" s="148">
        <f t="shared" ref="Z33:Z54" si="51">Y33*1.07</f>
        <v>447.86888320325966</v>
      </c>
      <c r="AA33" s="148" t="b">
        <f t="shared" ref="AA33:AA51" si="52">Z33=H33</f>
        <v>1</v>
      </c>
      <c r="AB33" s="148">
        <f t="shared" ref="AB33:AB45" si="53">V33*L33</f>
        <v>64.940988064472648</v>
      </c>
      <c r="AC33" s="148">
        <f t="shared" ref="AC33:AC51" si="54">W33*$L33</f>
        <v>12923.256624830057</v>
      </c>
      <c r="AD33" s="148">
        <f t="shared" ref="AD33:AD51" si="55">X33*$L33</f>
        <v>0</v>
      </c>
      <c r="AE33" s="148">
        <f t="shared" ref="AE33:AE51" si="56">SUM(AB33:AD33)</f>
        <v>12988.19761289453</v>
      </c>
      <c r="AF33" s="148">
        <f t="shared" ref="AF33:AF51" si="57">$S33/$Y33*V33</f>
        <v>182.70871217720972</v>
      </c>
      <c r="AG33" s="148">
        <f t="shared" ref="AG33:AG55" si="58">$S33/$Y33*W33</f>
        <v>36359.033723264736</v>
      </c>
      <c r="AH33" s="148">
        <f t="shared" ref="AH33:AH55" si="59">$S33/$Y33*X33</f>
        <v>0</v>
      </c>
      <c r="AI33" s="148">
        <f t="shared" ref="AI33:AI51" si="60">SUM(AF33:AH33)</f>
        <v>36541.742435441949</v>
      </c>
      <c r="AJ33" s="148">
        <f t="shared" ref="AJ33:AJ51" si="61">AB33+AF33</f>
        <v>247.64970024168235</v>
      </c>
      <c r="AK33" s="148">
        <f t="shared" ref="AK33:AK51" si="62">AC33+AG33</f>
        <v>49282.290348094793</v>
      </c>
      <c r="AL33" s="148">
        <f t="shared" ref="AL33:AL51" si="63">AD33+AH33</f>
        <v>0</v>
      </c>
      <c r="AM33" s="148">
        <f t="shared" ref="AM33:AM51" si="64">SUM(AJ33:AL33)</f>
        <v>49529.940048336473</v>
      </c>
    </row>
    <row r="34" spans="1:39" s="66" customFormat="1" x14ac:dyDescent="0.25">
      <c r="A34" s="66">
        <v>3</v>
      </c>
      <c r="B34" s="148">
        <f t="shared" ref="B34:D34" si="65">B7</f>
        <v>1000</v>
      </c>
      <c r="C34" s="148">
        <f t="shared" si="65"/>
        <v>500</v>
      </c>
      <c r="D34" s="148">
        <f t="shared" si="65"/>
        <v>100</v>
      </c>
      <c r="E34" s="148">
        <f t="shared" si="43"/>
        <v>422.20314039359914</v>
      </c>
      <c r="F34" s="148">
        <f t="shared" si="44"/>
        <v>0</v>
      </c>
      <c r="G34" s="148">
        <f t="shared" si="45"/>
        <v>0</v>
      </c>
      <c r="H34" s="148">
        <f t="shared" si="46"/>
        <v>422.20314039359914</v>
      </c>
      <c r="I34" s="148">
        <f t="shared" si="20"/>
        <v>29</v>
      </c>
      <c r="J34" s="148">
        <f t="shared" si="21"/>
        <v>33</v>
      </c>
      <c r="K34" s="148">
        <v>40</v>
      </c>
      <c r="L34" s="148">
        <f t="shared" si="38"/>
        <v>31.03</v>
      </c>
      <c r="M34" s="148">
        <f t="shared" si="47"/>
        <v>12243.891071414375</v>
      </c>
      <c r="N34" s="148">
        <f t="shared" si="39"/>
        <v>0</v>
      </c>
      <c r="O34" s="148">
        <f t="shared" si="40"/>
        <v>0</v>
      </c>
      <c r="P34" s="148">
        <f t="shared" si="48"/>
        <v>12243.891071414375</v>
      </c>
      <c r="Q34" s="7">
        <f>'Seasonal (WITHOUT)'!Q34</f>
        <v>34447.667588229859</v>
      </c>
      <c r="R34" s="7">
        <f>-'LOAD DATA and INPUT SEASONAL'!$A$60*U34</f>
        <v>0</v>
      </c>
      <c r="S34" s="7">
        <f t="shared" si="49"/>
        <v>34447.667588229859</v>
      </c>
      <c r="T34" s="154">
        <v>1.9729118709981268</v>
      </c>
      <c r="U34" s="148">
        <v>0</v>
      </c>
      <c r="V34" s="148">
        <f t="shared" si="50"/>
        <v>1.9729118709981268</v>
      </c>
      <c r="W34" s="148">
        <v>392.60946232862722</v>
      </c>
      <c r="X34" s="148"/>
      <c r="Y34" s="148">
        <f t="shared" si="41"/>
        <v>394.58237419962535</v>
      </c>
      <c r="Z34" s="148">
        <f t="shared" si="51"/>
        <v>422.20314039359914</v>
      </c>
      <c r="AA34" s="148" t="b">
        <f t="shared" si="52"/>
        <v>1</v>
      </c>
      <c r="AB34" s="148">
        <f t="shared" si="53"/>
        <v>61.21945535707188</v>
      </c>
      <c r="AC34" s="148">
        <f t="shared" si="54"/>
        <v>12182.671616057303</v>
      </c>
      <c r="AD34" s="148">
        <f t="shared" si="55"/>
        <v>0</v>
      </c>
      <c r="AE34" s="148">
        <f t="shared" si="56"/>
        <v>12243.891071414375</v>
      </c>
      <c r="AF34" s="148">
        <f t="shared" si="57"/>
        <v>172.2383379411493</v>
      </c>
      <c r="AG34" s="148">
        <f t="shared" si="58"/>
        <v>34275.429250288711</v>
      </c>
      <c r="AH34" s="148">
        <f t="shared" si="59"/>
        <v>0</v>
      </c>
      <c r="AI34" s="148">
        <f t="shared" si="60"/>
        <v>34447.667588229859</v>
      </c>
      <c r="AJ34" s="148">
        <f t="shared" si="61"/>
        <v>233.45779329822119</v>
      </c>
      <c r="AK34" s="148">
        <f t="shared" si="62"/>
        <v>46458.100866346016</v>
      </c>
      <c r="AL34" s="148">
        <f t="shared" si="63"/>
        <v>0</v>
      </c>
      <c r="AM34" s="148">
        <f t="shared" si="64"/>
        <v>46691.558659644237</v>
      </c>
    </row>
    <row r="35" spans="1:39" s="66" customFormat="1" x14ac:dyDescent="0.25">
      <c r="A35" s="66">
        <v>4</v>
      </c>
      <c r="B35" s="148">
        <f t="shared" ref="B35:D35" si="66">B8</f>
        <v>1000</v>
      </c>
      <c r="C35" s="148">
        <f t="shared" si="66"/>
        <v>500</v>
      </c>
      <c r="D35" s="148">
        <f t="shared" si="66"/>
        <v>100</v>
      </c>
      <c r="E35" s="148">
        <f t="shared" si="43"/>
        <v>420.90310106921379</v>
      </c>
      <c r="F35" s="148">
        <f t="shared" si="44"/>
        <v>0</v>
      </c>
      <c r="G35" s="148">
        <f t="shared" si="45"/>
        <v>0</v>
      </c>
      <c r="H35" s="148">
        <f t="shared" si="46"/>
        <v>420.90310106921379</v>
      </c>
      <c r="I35" s="148">
        <f t="shared" si="20"/>
        <v>29</v>
      </c>
      <c r="J35" s="148">
        <f t="shared" si="21"/>
        <v>33</v>
      </c>
      <c r="K35" s="148">
        <v>40</v>
      </c>
      <c r="L35" s="148">
        <f t="shared" si="38"/>
        <v>31.030000000000005</v>
      </c>
      <c r="M35" s="148">
        <f t="shared" si="47"/>
        <v>12206.1899310072</v>
      </c>
      <c r="N35" s="148">
        <f t="shared" si="39"/>
        <v>0</v>
      </c>
      <c r="O35" s="148">
        <f t="shared" si="40"/>
        <v>0</v>
      </c>
      <c r="P35" s="148">
        <f t="shared" si="48"/>
        <v>12206.1899310072</v>
      </c>
      <c r="Q35" s="7">
        <f>'Seasonal (WITHOUT)'!Q35</f>
        <v>34341.597030686622</v>
      </c>
      <c r="R35" s="7">
        <f>-'LOAD DATA and INPUT SEASONAL'!$A$60*U35</f>
        <v>0</v>
      </c>
      <c r="S35" s="7">
        <f t="shared" si="49"/>
        <v>34341.597030686622</v>
      </c>
      <c r="T35" s="154">
        <v>1.9668369208841765</v>
      </c>
      <c r="U35" s="148">
        <v>0</v>
      </c>
      <c r="V35" s="148">
        <f t="shared" si="50"/>
        <v>1.9668369208841765</v>
      </c>
      <c r="W35" s="148">
        <v>391.4005472559511</v>
      </c>
      <c r="X35" s="148"/>
      <c r="Y35" s="148">
        <f t="shared" si="41"/>
        <v>393.36738417683529</v>
      </c>
      <c r="Z35" s="148">
        <f t="shared" si="51"/>
        <v>420.90310106921379</v>
      </c>
      <c r="AA35" s="148" t="b">
        <f t="shared" si="52"/>
        <v>1</v>
      </c>
      <c r="AB35" s="148">
        <f t="shared" si="53"/>
        <v>61.030949655036004</v>
      </c>
      <c r="AC35" s="148">
        <f t="shared" si="54"/>
        <v>12145.158981352164</v>
      </c>
      <c r="AD35" s="148">
        <f t="shared" si="55"/>
        <v>0</v>
      </c>
      <c r="AE35" s="148">
        <f t="shared" si="56"/>
        <v>12206.1899310072</v>
      </c>
      <c r="AF35" s="148">
        <f t="shared" si="57"/>
        <v>171.70798515343313</v>
      </c>
      <c r="AG35" s="148">
        <f t="shared" si="58"/>
        <v>34169.889045533186</v>
      </c>
      <c r="AH35" s="148">
        <f t="shared" si="59"/>
        <v>0</v>
      </c>
      <c r="AI35" s="148">
        <f t="shared" si="60"/>
        <v>34341.597030686622</v>
      </c>
      <c r="AJ35" s="148">
        <f t="shared" si="61"/>
        <v>232.73893480846914</v>
      </c>
      <c r="AK35" s="148">
        <f t="shared" si="62"/>
        <v>46315.04802688535</v>
      </c>
      <c r="AL35" s="148">
        <f t="shared" si="63"/>
        <v>0</v>
      </c>
      <c r="AM35" s="148">
        <f t="shared" si="64"/>
        <v>46547.786961693819</v>
      </c>
    </row>
    <row r="36" spans="1:39" s="66" customFormat="1" x14ac:dyDescent="0.25">
      <c r="A36" s="66">
        <v>5</v>
      </c>
      <c r="B36" s="148">
        <f t="shared" ref="B36:D36" si="67">B9</f>
        <v>1000</v>
      </c>
      <c r="C36" s="148">
        <f t="shared" si="67"/>
        <v>500</v>
      </c>
      <c r="D36" s="148">
        <f t="shared" si="67"/>
        <v>100</v>
      </c>
      <c r="E36" s="148">
        <f t="shared" si="43"/>
        <v>445.0074549140262</v>
      </c>
      <c r="F36" s="148">
        <f t="shared" si="44"/>
        <v>0</v>
      </c>
      <c r="G36" s="148">
        <f t="shared" si="45"/>
        <v>0</v>
      </c>
      <c r="H36" s="148">
        <f t="shared" si="46"/>
        <v>445.0074549140262</v>
      </c>
      <c r="I36" s="148">
        <f t="shared" si="20"/>
        <v>29</v>
      </c>
      <c r="J36" s="148">
        <f t="shared" si="21"/>
        <v>33</v>
      </c>
      <c r="K36" s="148">
        <v>40</v>
      </c>
      <c r="L36" s="148">
        <f t="shared" si="38"/>
        <v>31.03</v>
      </c>
      <c r="M36" s="148">
        <f t="shared" si="47"/>
        <v>12905.216192506759</v>
      </c>
      <c r="N36" s="148">
        <f t="shared" si="39"/>
        <v>0</v>
      </c>
      <c r="O36" s="148">
        <f t="shared" si="40"/>
        <v>0</v>
      </c>
      <c r="P36" s="148">
        <f t="shared" si="48"/>
        <v>12905.216192506759</v>
      </c>
      <c r="Q36" s="7">
        <f>'Seasonal (WITHOUT)'!Q36</f>
        <v>36308.277733016512</v>
      </c>
      <c r="R36" s="7">
        <f>-'LOAD DATA and INPUT SEASONAL'!$A$60*U36</f>
        <v>0</v>
      </c>
      <c r="S36" s="7">
        <f t="shared" si="49"/>
        <v>36308.277733016512</v>
      </c>
      <c r="T36" s="154">
        <v>2.0794740883832996</v>
      </c>
      <c r="U36" s="148">
        <v>0</v>
      </c>
      <c r="V36" s="148">
        <f t="shared" si="50"/>
        <v>2.0794740883832996</v>
      </c>
      <c r="W36" s="148">
        <v>413.81534358827668</v>
      </c>
      <c r="X36" s="148"/>
      <c r="Y36" s="148">
        <f t="shared" si="41"/>
        <v>415.89481767665995</v>
      </c>
      <c r="Z36" s="148">
        <f t="shared" si="51"/>
        <v>445.0074549140262</v>
      </c>
      <c r="AA36" s="148" t="b">
        <f t="shared" si="52"/>
        <v>1</v>
      </c>
      <c r="AB36" s="148">
        <f t="shared" si="53"/>
        <v>64.526080962533783</v>
      </c>
      <c r="AC36" s="148">
        <f t="shared" si="54"/>
        <v>12840.690111544225</v>
      </c>
      <c r="AD36" s="148">
        <f t="shared" si="55"/>
        <v>0</v>
      </c>
      <c r="AE36" s="148">
        <f t="shared" si="56"/>
        <v>12905.216192506759</v>
      </c>
      <c r="AF36" s="148">
        <f t="shared" si="57"/>
        <v>181.54138866508254</v>
      </c>
      <c r="AG36" s="148">
        <f t="shared" si="58"/>
        <v>36126.736344351426</v>
      </c>
      <c r="AH36" s="148">
        <f t="shared" si="59"/>
        <v>0</v>
      </c>
      <c r="AI36" s="148">
        <f t="shared" si="60"/>
        <v>36308.277733016512</v>
      </c>
      <c r="AJ36" s="148">
        <f t="shared" si="61"/>
        <v>246.06746962761633</v>
      </c>
      <c r="AK36" s="148">
        <f t="shared" si="62"/>
        <v>48967.426455895649</v>
      </c>
      <c r="AL36" s="148">
        <f t="shared" si="63"/>
        <v>0</v>
      </c>
      <c r="AM36" s="148">
        <f t="shared" si="64"/>
        <v>49213.493925523268</v>
      </c>
    </row>
    <row r="37" spans="1:39" s="66" customFormat="1" x14ac:dyDescent="0.25">
      <c r="A37" s="66">
        <v>6</v>
      </c>
      <c r="B37" s="148">
        <f t="shared" ref="B37:D37" si="68">B10</f>
        <v>1000</v>
      </c>
      <c r="C37" s="148">
        <f t="shared" si="68"/>
        <v>500</v>
      </c>
      <c r="D37" s="148">
        <f t="shared" si="68"/>
        <v>100</v>
      </c>
      <c r="E37" s="148">
        <f t="shared" si="43"/>
        <v>489.94809493635188</v>
      </c>
      <c r="F37" s="148">
        <f t="shared" si="44"/>
        <v>0</v>
      </c>
      <c r="G37" s="148">
        <f t="shared" si="45"/>
        <v>0</v>
      </c>
      <c r="H37" s="148">
        <f t="shared" si="46"/>
        <v>489.94809493635188</v>
      </c>
      <c r="I37" s="148">
        <f t="shared" si="20"/>
        <v>29</v>
      </c>
      <c r="J37" s="148">
        <f t="shared" si="21"/>
        <v>33</v>
      </c>
      <c r="K37" s="148">
        <v>40</v>
      </c>
      <c r="L37" s="148">
        <f t="shared" si="38"/>
        <v>31.03</v>
      </c>
      <c r="M37" s="148">
        <f t="shared" si="47"/>
        <v>14208.494753154204</v>
      </c>
      <c r="N37" s="148">
        <f t="shared" si="39"/>
        <v>0</v>
      </c>
      <c r="O37" s="148">
        <f t="shared" si="40"/>
        <v>0</v>
      </c>
      <c r="P37" s="148">
        <f t="shared" si="48"/>
        <v>14208.494753154204</v>
      </c>
      <c r="Q37" s="7">
        <f>'Seasonal (WITHOUT)'!Q37</f>
        <v>39975.069397156847</v>
      </c>
      <c r="R37" s="7">
        <f>-'LOAD DATA and INPUT SEASONAL'!$A$60*U37</f>
        <v>-8.336383012371008E-3</v>
      </c>
      <c r="S37" s="7">
        <f t="shared" si="49"/>
        <v>39975.061060773834</v>
      </c>
      <c r="T37" s="154">
        <v>2.2894812473333372</v>
      </c>
      <c r="U37" s="148">
        <v>8.3363830123710085E-4</v>
      </c>
      <c r="V37" s="148">
        <f t="shared" si="50"/>
        <v>2.2886476090321</v>
      </c>
      <c r="W37" s="148">
        <v>455.60676821933407</v>
      </c>
      <c r="X37" s="148"/>
      <c r="Y37" s="148">
        <f t="shared" si="41"/>
        <v>457.8954158283662</v>
      </c>
      <c r="Z37" s="148">
        <f t="shared" si="51"/>
        <v>489.94809493635188</v>
      </c>
      <c r="AA37" s="148" t="b">
        <f t="shared" si="52"/>
        <v>1</v>
      </c>
      <c r="AB37" s="148">
        <f t="shared" si="53"/>
        <v>71.016735308266064</v>
      </c>
      <c r="AC37" s="148">
        <f t="shared" si="54"/>
        <v>14137.478017845937</v>
      </c>
      <c r="AD37" s="148">
        <f t="shared" si="55"/>
        <v>0</v>
      </c>
      <c r="AE37" s="148">
        <f t="shared" si="56"/>
        <v>14208.494753154202</v>
      </c>
      <c r="AF37" s="148">
        <f t="shared" si="57"/>
        <v>199.80289112993688</v>
      </c>
      <c r="AG37" s="148">
        <f t="shared" si="58"/>
        <v>39775.258169643894</v>
      </c>
      <c r="AH37" s="148">
        <f t="shared" si="59"/>
        <v>0</v>
      </c>
      <c r="AI37" s="148">
        <f t="shared" si="60"/>
        <v>39975.061060773827</v>
      </c>
      <c r="AJ37" s="148">
        <f t="shared" si="61"/>
        <v>270.81962643820293</v>
      </c>
      <c r="AK37" s="148">
        <f t="shared" si="62"/>
        <v>53912.736187489834</v>
      </c>
      <c r="AL37" s="148">
        <f t="shared" si="63"/>
        <v>0</v>
      </c>
      <c r="AM37" s="148">
        <f t="shared" si="64"/>
        <v>54183.55581392804</v>
      </c>
    </row>
    <row r="38" spans="1:39" s="66" customFormat="1" x14ac:dyDescent="0.25">
      <c r="A38" s="66">
        <v>7</v>
      </c>
      <c r="B38" s="148">
        <f t="shared" ref="B38:D38" si="69">B11</f>
        <v>1000</v>
      </c>
      <c r="C38" s="148">
        <f t="shared" si="69"/>
        <v>500</v>
      </c>
      <c r="D38" s="148">
        <f t="shared" si="69"/>
        <v>100</v>
      </c>
      <c r="E38" s="148">
        <f t="shared" si="43"/>
        <v>574.22547884699179</v>
      </c>
      <c r="F38" s="148">
        <f t="shared" si="44"/>
        <v>0</v>
      </c>
      <c r="G38" s="148">
        <f t="shared" si="45"/>
        <v>0</v>
      </c>
      <c r="H38" s="148">
        <f t="shared" si="46"/>
        <v>574.22547884699179</v>
      </c>
      <c r="I38" s="148">
        <f t="shared" si="20"/>
        <v>29</v>
      </c>
      <c r="J38" s="148">
        <f t="shared" si="21"/>
        <v>33</v>
      </c>
      <c r="K38" s="148">
        <v>40</v>
      </c>
      <c r="L38" s="148">
        <f t="shared" si="38"/>
        <v>31.03</v>
      </c>
      <c r="M38" s="148">
        <f t="shared" si="47"/>
        <v>16652.538886562761</v>
      </c>
      <c r="N38" s="148">
        <f t="shared" si="39"/>
        <v>0</v>
      </c>
      <c r="O38" s="148">
        <f t="shared" si="40"/>
        <v>0</v>
      </c>
      <c r="P38" s="148">
        <f t="shared" si="48"/>
        <v>16652.538886562761</v>
      </c>
      <c r="Q38" s="7">
        <f>'Seasonal (WITHOUT)'!Q38</f>
        <v>46870.108047266709</v>
      </c>
      <c r="R38" s="7">
        <f>-'LOAD DATA and INPUT SEASONAL'!$A$60*U38</f>
        <v>-2.1645707140876693</v>
      </c>
      <c r="S38" s="7">
        <f t="shared" si="49"/>
        <v>46867.943476552624</v>
      </c>
      <c r="T38" s="154">
        <v>2.6843789154831734</v>
      </c>
      <c r="U38" s="148">
        <v>0.21645707140876694</v>
      </c>
      <c r="V38" s="148">
        <f t="shared" si="50"/>
        <v>2.4679218440744064</v>
      </c>
      <c r="W38" s="148">
        <v>534.19140418115148</v>
      </c>
      <c r="X38" s="148"/>
      <c r="Y38" s="148">
        <f t="shared" si="41"/>
        <v>536.65932602522594</v>
      </c>
      <c r="Z38" s="148">
        <f t="shared" si="51"/>
        <v>574.22547884699179</v>
      </c>
      <c r="AA38" s="148" t="b">
        <f t="shared" si="52"/>
        <v>1</v>
      </c>
      <c r="AB38" s="148">
        <f t="shared" si="53"/>
        <v>76.579614821628837</v>
      </c>
      <c r="AC38" s="148">
        <f t="shared" si="54"/>
        <v>16575.959271741132</v>
      </c>
      <c r="AD38" s="148">
        <f t="shared" si="55"/>
        <v>0</v>
      </c>
      <c r="AE38" s="148">
        <f t="shared" si="56"/>
        <v>16652.538886562761</v>
      </c>
      <c r="AF38" s="148">
        <f t="shared" si="57"/>
        <v>215.53044153599939</v>
      </c>
      <c r="AG38" s="148">
        <f t="shared" si="58"/>
        <v>46652.413035016616</v>
      </c>
      <c r="AH38" s="148">
        <f t="shared" si="59"/>
        <v>0</v>
      </c>
      <c r="AI38" s="148">
        <f t="shared" si="60"/>
        <v>46867.943476552617</v>
      </c>
      <c r="AJ38" s="148">
        <f t="shared" si="61"/>
        <v>292.1100563576282</v>
      </c>
      <c r="AK38" s="148">
        <f t="shared" si="62"/>
        <v>63228.372306757752</v>
      </c>
      <c r="AL38" s="148">
        <f t="shared" si="63"/>
        <v>0</v>
      </c>
      <c r="AM38" s="148">
        <f t="shared" si="64"/>
        <v>63520.482363115378</v>
      </c>
    </row>
    <row r="39" spans="1:39" s="66" customFormat="1" x14ac:dyDescent="0.25">
      <c r="A39" s="66">
        <v>8</v>
      </c>
      <c r="B39" s="148">
        <f t="shared" ref="B39:D39" si="70">B12</f>
        <v>1000</v>
      </c>
      <c r="C39" s="148">
        <f t="shared" si="70"/>
        <v>500</v>
      </c>
      <c r="D39" s="148">
        <f t="shared" si="70"/>
        <v>100</v>
      </c>
      <c r="E39" s="148">
        <f t="shared" si="43"/>
        <v>611.58409735946248</v>
      </c>
      <c r="F39" s="148">
        <f t="shared" si="44"/>
        <v>0</v>
      </c>
      <c r="G39" s="148">
        <f t="shared" si="45"/>
        <v>0</v>
      </c>
      <c r="H39" s="148">
        <f t="shared" si="46"/>
        <v>611.58409735946248</v>
      </c>
      <c r="I39" s="148">
        <f t="shared" si="20"/>
        <v>29</v>
      </c>
      <c r="J39" s="148">
        <f t="shared" si="21"/>
        <v>33</v>
      </c>
      <c r="K39" s="148">
        <v>40</v>
      </c>
      <c r="L39" s="148">
        <f t="shared" si="38"/>
        <v>31.029999999999998</v>
      </c>
      <c r="M39" s="148">
        <f t="shared" si="47"/>
        <v>17735.938823424411</v>
      </c>
      <c r="N39" s="148">
        <f t="shared" si="39"/>
        <v>0</v>
      </c>
      <c r="O39" s="148">
        <f t="shared" si="40"/>
        <v>0</v>
      </c>
      <c r="P39" s="148">
        <f t="shared" si="48"/>
        <v>17735.938823424411</v>
      </c>
      <c r="Q39" s="7">
        <f>'Seasonal (WITHOUT)'!Q39</f>
        <v>50109.428607989576</v>
      </c>
      <c r="R39" s="7">
        <f>-'LOAD DATA and INPUT SEASONAL'!$A$60*U39</f>
        <v>-24.068049361002721</v>
      </c>
      <c r="S39" s="7">
        <f t="shared" si="49"/>
        <v>50085.36055862857</v>
      </c>
      <c r="T39" s="154">
        <v>2.8699036385097649</v>
      </c>
      <c r="U39" s="148">
        <v>2.4068049361002721</v>
      </c>
      <c r="V39" s="148">
        <f t="shared" si="50"/>
        <v>0.4630987024094928</v>
      </c>
      <c r="W39" s="148">
        <v>571.11082406344326</v>
      </c>
      <c r="X39" s="148"/>
      <c r="Y39" s="148">
        <f t="shared" si="41"/>
        <v>571.57392276585279</v>
      </c>
      <c r="Z39" s="148">
        <f t="shared" si="51"/>
        <v>611.58409735946248</v>
      </c>
      <c r="AA39" s="148" t="b">
        <f t="shared" si="52"/>
        <v>1</v>
      </c>
      <c r="AB39" s="148">
        <f t="shared" si="53"/>
        <v>14.36995273576656</v>
      </c>
      <c r="AC39" s="148">
        <f t="shared" si="54"/>
        <v>17721.568870688643</v>
      </c>
      <c r="AD39" s="148">
        <f t="shared" si="55"/>
        <v>0</v>
      </c>
      <c r="AE39" s="148">
        <f t="shared" si="56"/>
        <v>17735.938823424411</v>
      </c>
      <c r="AF39" s="148">
        <f t="shared" si="57"/>
        <v>40.579992474419051</v>
      </c>
      <c r="AG39" s="148">
        <f t="shared" si="58"/>
        <v>50044.78056615415</v>
      </c>
      <c r="AH39" s="148">
        <f t="shared" si="59"/>
        <v>0</v>
      </c>
      <c r="AI39" s="148">
        <f t="shared" si="60"/>
        <v>50085.36055862857</v>
      </c>
      <c r="AJ39" s="148">
        <f t="shared" si="61"/>
        <v>54.949945210185611</v>
      </c>
      <c r="AK39" s="148">
        <f t="shared" si="62"/>
        <v>67766.349436842793</v>
      </c>
      <c r="AL39" s="148">
        <f t="shared" si="63"/>
        <v>0</v>
      </c>
      <c r="AM39" s="148">
        <f t="shared" si="64"/>
        <v>67821.299382052981</v>
      </c>
    </row>
    <row r="40" spans="1:39" s="66" customFormat="1" x14ac:dyDescent="0.25">
      <c r="A40" s="66">
        <v>9</v>
      </c>
      <c r="B40" s="148">
        <f t="shared" ref="B40:D40" si="71">B13</f>
        <v>1000</v>
      </c>
      <c r="C40" s="148">
        <f t="shared" si="71"/>
        <v>500</v>
      </c>
      <c r="D40" s="148">
        <f t="shared" si="71"/>
        <v>100</v>
      </c>
      <c r="E40" s="148">
        <f t="shared" si="43"/>
        <v>599.25419027939665</v>
      </c>
      <c r="F40" s="148">
        <f t="shared" si="44"/>
        <v>0</v>
      </c>
      <c r="G40" s="148">
        <f t="shared" si="45"/>
        <v>0</v>
      </c>
      <c r="H40" s="148">
        <f t="shared" si="46"/>
        <v>599.25419027939665</v>
      </c>
      <c r="I40" s="148">
        <f t="shared" si="20"/>
        <v>29</v>
      </c>
      <c r="J40" s="148">
        <f t="shared" si="21"/>
        <v>33</v>
      </c>
      <c r="K40" s="148">
        <v>40</v>
      </c>
      <c r="L40" s="148">
        <f t="shared" si="38"/>
        <v>31.03</v>
      </c>
      <c r="M40" s="148">
        <f t="shared" si="47"/>
        <v>17378.371518102504</v>
      </c>
      <c r="N40" s="148">
        <f t="shared" si="39"/>
        <v>0</v>
      </c>
      <c r="O40" s="148">
        <f t="shared" si="40"/>
        <v>0</v>
      </c>
      <c r="P40" s="148">
        <f t="shared" si="48"/>
        <v>17378.371518102504</v>
      </c>
      <c r="Q40" s="7">
        <f>'Seasonal (WITHOUT)'!Q40</f>
        <v>49357.439287223991</v>
      </c>
      <c r="R40" s="7">
        <f>-'LOAD DATA and INPUT SEASONAL'!$A$60*U40</f>
        <v>-53.163867248228286</v>
      </c>
      <c r="S40" s="7">
        <f t="shared" si="49"/>
        <v>49304.275419975762</v>
      </c>
      <c r="T40" s="154">
        <v>2.826835159228771</v>
      </c>
      <c r="U40" s="148">
        <v>5.3163867248228289</v>
      </c>
      <c r="V40" s="148">
        <f t="shared" si="50"/>
        <v>-2.4895515655940579</v>
      </c>
      <c r="W40" s="148">
        <v>562.54019668652552</v>
      </c>
      <c r="X40" s="148"/>
      <c r="Y40" s="148">
        <f t="shared" si="41"/>
        <v>560.05064512093145</v>
      </c>
      <c r="Z40" s="148">
        <f t="shared" si="51"/>
        <v>599.25419027939665</v>
      </c>
      <c r="AA40" s="148" t="b">
        <f t="shared" si="52"/>
        <v>1</v>
      </c>
      <c r="AB40" s="148">
        <f t="shared" si="53"/>
        <v>-77.250785080383622</v>
      </c>
      <c r="AC40" s="148">
        <f t="shared" si="54"/>
        <v>17455.622303182889</v>
      </c>
      <c r="AD40" s="148">
        <f t="shared" si="55"/>
        <v>0</v>
      </c>
      <c r="AE40" s="148">
        <f t="shared" si="56"/>
        <v>17378.371518102504</v>
      </c>
      <c r="AF40" s="148">
        <f t="shared" si="57"/>
        <v>-219.16863614321329</v>
      </c>
      <c r="AG40" s="148">
        <f t="shared" si="58"/>
        <v>49523.444056118977</v>
      </c>
      <c r="AH40" s="148">
        <f t="shared" si="59"/>
        <v>0</v>
      </c>
      <c r="AI40" s="148">
        <f t="shared" si="60"/>
        <v>49304.275419975762</v>
      </c>
      <c r="AJ40" s="148">
        <f t="shared" si="61"/>
        <v>-296.41942122359694</v>
      </c>
      <c r="AK40" s="148">
        <f t="shared" si="62"/>
        <v>66979.066359301869</v>
      </c>
      <c r="AL40" s="148">
        <f t="shared" si="63"/>
        <v>0</v>
      </c>
      <c r="AM40" s="148">
        <f t="shared" si="64"/>
        <v>66682.646938078266</v>
      </c>
    </row>
    <row r="41" spans="1:39" s="66" customFormat="1" ht="17.25" customHeight="1" x14ac:dyDescent="0.25">
      <c r="A41" s="66">
        <v>10</v>
      </c>
      <c r="B41" s="148">
        <f t="shared" ref="B41:D41" si="72">B14</f>
        <v>1000</v>
      </c>
      <c r="C41" s="148">
        <f t="shared" si="72"/>
        <v>500</v>
      </c>
      <c r="D41" s="148">
        <f t="shared" si="72"/>
        <v>100</v>
      </c>
      <c r="E41" s="148">
        <f t="shared" si="43"/>
        <v>616.41418842443102</v>
      </c>
      <c r="F41" s="148">
        <f t="shared" si="44"/>
        <v>0</v>
      </c>
      <c r="G41" s="148">
        <f t="shared" si="45"/>
        <v>0</v>
      </c>
      <c r="H41" s="148">
        <f t="shared" si="46"/>
        <v>616.41418842443102</v>
      </c>
      <c r="I41" s="148">
        <f t="shared" si="20"/>
        <v>29</v>
      </c>
      <c r="J41" s="148">
        <f t="shared" si="21"/>
        <v>33</v>
      </c>
      <c r="K41" s="148">
        <v>40</v>
      </c>
      <c r="L41" s="148">
        <f t="shared" si="38"/>
        <v>31.03</v>
      </c>
      <c r="M41" s="148">
        <f t="shared" si="47"/>
        <v>17876.0114643085</v>
      </c>
      <c r="N41" s="148">
        <f t="shared" si="39"/>
        <v>0</v>
      </c>
      <c r="O41" s="148">
        <f t="shared" si="40"/>
        <v>0</v>
      </c>
      <c r="P41" s="148">
        <f t="shared" si="48"/>
        <v>17876.0114643085</v>
      </c>
      <c r="Q41" s="7">
        <f>'Seasonal (WITHOUT)'!Q41</f>
        <v>50990.645752241253</v>
      </c>
      <c r="R41" s="7">
        <f>-'LOAD DATA and INPUT SEASONAL'!$A$60*U41</f>
        <v>-79.866429714033103</v>
      </c>
      <c r="S41" s="7">
        <f t="shared" si="49"/>
        <v>50910.779322527218</v>
      </c>
      <c r="T41" s="154">
        <v>2.9203733476814602</v>
      </c>
      <c r="U41" s="148">
        <v>7.9866429714033096</v>
      </c>
      <c r="V41" s="148">
        <f t="shared" si="50"/>
        <v>-5.0662696237218494</v>
      </c>
      <c r="W41" s="148">
        <v>581.1542961886106</v>
      </c>
      <c r="X41" s="148"/>
      <c r="Y41" s="148">
        <f t="shared" si="41"/>
        <v>576.08802656488876</v>
      </c>
      <c r="Z41" s="148">
        <f t="shared" si="51"/>
        <v>616.41418842443102</v>
      </c>
      <c r="AA41" s="148" t="b">
        <f t="shared" si="52"/>
        <v>1</v>
      </c>
      <c r="AB41" s="148">
        <f t="shared" si="53"/>
        <v>-157.20634642408899</v>
      </c>
      <c r="AC41" s="148">
        <f t="shared" si="54"/>
        <v>18033.217810732589</v>
      </c>
      <c r="AD41" s="148">
        <f t="shared" si="55"/>
        <v>0</v>
      </c>
      <c r="AE41" s="148">
        <f t="shared" si="56"/>
        <v>17876.0114643085</v>
      </c>
      <c r="AF41" s="148">
        <f t="shared" si="57"/>
        <v>-447.72278351227612</v>
      </c>
      <c r="AG41" s="148">
        <f t="shared" si="58"/>
        <v>51358.502106039494</v>
      </c>
      <c r="AH41" s="148">
        <f t="shared" si="59"/>
        <v>0</v>
      </c>
      <c r="AI41" s="148">
        <f t="shared" si="60"/>
        <v>50910.779322527218</v>
      </c>
      <c r="AJ41" s="148">
        <f t="shared" si="61"/>
        <v>-604.92912993636514</v>
      </c>
      <c r="AK41" s="148">
        <f t="shared" si="62"/>
        <v>69391.719916772083</v>
      </c>
      <c r="AL41" s="148">
        <f t="shared" si="63"/>
        <v>0</v>
      </c>
      <c r="AM41" s="148">
        <f t="shared" si="64"/>
        <v>68786.790786835714</v>
      </c>
    </row>
    <row r="42" spans="1:39" s="66" customFormat="1" x14ac:dyDescent="0.25">
      <c r="A42" s="66">
        <v>11</v>
      </c>
      <c r="B42" s="148">
        <f t="shared" ref="B42:D42" si="73">B15</f>
        <v>1000</v>
      </c>
      <c r="C42" s="148">
        <f t="shared" si="73"/>
        <v>500</v>
      </c>
      <c r="D42" s="148">
        <f t="shared" si="73"/>
        <v>100</v>
      </c>
      <c r="E42" s="148">
        <f t="shared" si="43"/>
        <v>628.03491809505397</v>
      </c>
      <c r="F42" s="148">
        <f t="shared" si="44"/>
        <v>0</v>
      </c>
      <c r="G42" s="148">
        <f t="shared" si="45"/>
        <v>0</v>
      </c>
      <c r="H42" s="148">
        <f t="shared" si="46"/>
        <v>628.03491809505397</v>
      </c>
      <c r="I42" s="148">
        <f t="shared" si="20"/>
        <v>29</v>
      </c>
      <c r="J42" s="148">
        <f t="shared" si="21"/>
        <v>33</v>
      </c>
      <c r="K42" s="148">
        <v>40</v>
      </c>
      <c r="L42" s="148">
        <f t="shared" si="38"/>
        <v>31.03</v>
      </c>
      <c r="M42" s="148">
        <f t="shared" si="47"/>
        <v>18213.012624756564</v>
      </c>
      <c r="N42" s="148">
        <f t="shared" si="39"/>
        <v>0</v>
      </c>
      <c r="O42" s="148">
        <f t="shared" si="40"/>
        <v>0</v>
      </c>
      <c r="P42" s="148">
        <f t="shared" si="48"/>
        <v>18213.012624756564</v>
      </c>
      <c r="Q42" s="7">
        <f>'Seasonal (WITHOUT)'!Q42</f>
        <v>52047.310000527978</v>
      </c>
      <c r="R42" s="7">
        <f>-'LOAD DATA and INPUT SEASONAL'!$A$60*U42</f>
        <v>-92.297566145430579</v>
      </c>
      <c r="S42" s="7">
        <f t="shared" si="49"/>
        <v>51955.012434382545</v>
      </c>
      <c r="T42" s="154">
        <v>2.980891390993528</v>
      </c>
      <c r="U42" s="150">
        <v>9.2297566145430583</v>
      </c>
      <c r="V42" s="148">
        <f t="shared" si="50"/>
        <v>-6.2488652235495303</v>
      </c>
      <c r="W42" s="148">
        <v>593.19738680771206</v>
      </c>
      <c r="X42" s="148"/>
      <c r="Y42" s="148">
        <f t="shared" si="41"/>
        <v>586.94852158416256</v>
      </c>
      <c r="Z42" s="148">
        <f t="shared" si="51"/>
        <v>628.03491809505397</v>
      </c>
      <c r="AA42" s="148" t="b">
        <f t="shared" si="52"/>
        <v>1</v>
      </c>
      <c r="AB42" s="148">
        <f t="shared" si="53"/>
        <v>-193.90228788674193</v>
      </c>
      <c r="AC42" s="148">
        <f t="shared" si="54"/>
        <v>18406.914912643308</v>
      </c>
      <c r="AD42" s="148">
        <f t="shared" si="55"/>
        <v>0</v>
      </c>
      <c r="AE42" s="148">
        <f t="shared" si="56"/>
        <v>18213.012624756564</v>
      </c>
      <c r="AF42" s="148">
        <f t="shared" si="57"/>
        <v>-553.1317627550128</v>
      </c>
      <c r="AG42" s="148">
        <f t="shared" si="58"/>
        <v>52508.144197137553</v>
      </c>
      <c r="AH42" s="148">
        <f t="shared" si="59"/>
        <v>0</v>
      </c>
      <c r="AI42" s="148">
        <f t="shared" si="60"/>
        <v>51955.012434382537</v>
      </c>
      <c r="AJ42" s="148">
        <f t="shared" si="61"/>
        <v>-747.03405064175467</v>
      </c>
      <c r="AK42" s="148">
        <f t="shared" si="62"/>
        <v>70915.059109780865</v>
      </c>
      <c r="AL42" s="148">
        <f t="shared" si="63"/>
        <v>0</v>
      </c>
      <c r="AM42" s="148">
        <f t="shared" si="64"/>
        <v>70168.025059139109</v>
      </c>
    </row>
    <row r="43" spans="1:39" s="66" customFormat="1" x14ac:dyDescent="0.25">
      <c r="A43" s="66">
        <v>12</v>
      </c>
      <c r="B43" s="148">
        <f t="shared" ref="B43:D43" si="74">B16</f>
        <v>1000</v>
      </c>
      <c r="C43" s="148">
        <f t="shared" si="74"/>
        <v>500</v>
      </c>
      <c r="D43" s="148">
        <f t="shared" si="74"/>
        <v>100</v>
      </c>
      <c r="E43" s="148">
        <f t="shared" si="43"/>
        <v>623.70794663814934</v>
      </c>
      <c r="F43" s="148">
        <f t="shared" si="44"/>
        <v>0</v>
      </c>
      <c r="G43" s="148">
        <f t="shared" si="45"/>
        <v>0</v>
      </c>
      <c r="H43" s="148">
        <f t="shared" si="46"/>
        <v>623.70794663814934</v>
      </c>
      <c r="I43" s="148">
        <f t="shared" si="20"/>
        <v>29</v>
      </c>
      <c r="J43" s="148">
        <f t="shared" si="21"/>
        <v>33</v>
      </c>
      <c r="K43" s="148">
        <v>40</v>
      </c>
      <c r="L43" s="148">
        <f t="shared" si="38"/>
        <v>31.03</v>
      </c>
      <c r="M43" s="148">
        <f t="shared" si="47"/>
        <v>18087.530452506329</v>
      </c>
      <c r="N43" s="148">
        <f t="shared" si="39"/>
        <v>0</v>
      </c>
      <c r="O43" s="148">
        <f t="shared" si="40"/>
        <v>0</v>
      </c>
      <c r="P43" s="148">
        <f t="shared" si="48"/>
        <v>18087.530452506329</v>
      </c>
      <c r="Q43" s="7">
        <f>'Seasonal (WITHOUT)'!Q43</f>
        <v>51689.557465529128</v>
      </c>
      <c r="R43" s="7">
        <f>-'LOAD DATA and INPUT SEASONAL'!$A$60*U43</f>
        <v>-91.757624987001009</v>
      </c>
      <c r="S43" s="7">
        <f t="shared" si="49"/>
        <v>51597.799840542124</v>
      </c>
      <c r="T43" s="154">
        <v>2.9604019276250391</v>
      </c>
      <c r="U43" s="148">
        <v>9.1757624987001005</v>
      </c>
      <c r="V43" s="148">
        <f t="shared" si="50"/>
        <v>-6.2153605710750615</v>
      </c>
      <c r="W43" s="148">
        <v>589.11998359738277</v>
      </c>
      <c r="X43" s="148"/>
      <c r="Y43" s="148">
        <f t="shared" si="41"/>
        <v>582.90462302630772</v>
      </c>
      <c r="Z43" s="148">
        <f t="shared" si="51"/>
        <v>623.70794663814934</v>
      </c>
      <c r="AA43" s="148" t="b">
        <f t="shared" si="52"/>
        <v>1</v>
      </c>
      <c r="AB43" s="148">
        <f t="shared" si="53"/>
        <v>-192.86263852045917</v>
      </c>
      <c r="AC43" s="148">
        <f t="shared" si="54"/>
        <v>18280.393091026788</v>
      </c>
      <c r="AD43" s="148">
        <f t="shared" si="55"/>
        <v>0</v>
      </c>
      <c r="AE43" s="148">
        <f t="shared" si="56"/>
        <v>18087.530452506329</v>
      </c>
      <c r="AF43" s="148">
        <f t="shared" si="57"/>
        <v>-550.17393586301137</v>
      </c>
      <c r="AG43" s="148">
        <f t="shared" si="58"/>
        <v>52147.973776405139</v>
      </c>
      <c r="AH43" s="148">
        <f t="shared" si="59"/>
        <v>0</v>
      </c>
      <c r="AI43" s="148">
        <f t="shared" si="60"/>
        <v>51597.799840542124</v>
      </c>
      <c r="AJ43" s="148">
        <f t="shared" si="61"/>
        <v>-743.03657438347057</v>
      </c>
      <c r="AK43" s="148">
        <f t="shared" si="62"/>
        <v>70428.366867431934</v>
      </c>
      <c r="AL43" s="148">
        <f t="shared" si="63"/>
        <v>0</v>
      </c>
      <c r="AM43" s="148">
        <f t="shared" si="64"/>
        <v>69685.330293048464</v>
      </c>
    </row>
    <row r="44" spans="1:39" s="66" customFormat="1" x14ac:dyDescent="0.25">
      <c r="A44" s="66">
        <v>13</v>
      </c>
      <c r="B44" s="148">
        <f t="shared" ref="B44:D44" si="75">B17</f>
        <v>1000</v>
      </c>
      <c r="C44" s="148">
        <f t="shared" si="75"/>
        <v>500</v>
      </c>
      <c r="D44" s="148">
        <f t="shared" si="75"/>
        <v>100</v>
      </c>
      <c r="E44" s="148">
        <f t="shared" si="43"/>
        <v>618.50027578563049</v>
      </c>
      <c r="F44" s="148">
        <f t="shared" si="44"/>
        <v>0</v>
      </c>
      <c r="G44" s="148">
        <f t="shared" si="45"/>
        <v>0</v>
      </c>
      <c r="H44" s="148">
        <f t="shared" si="46"/>
        <v>618.50027578563049</v>
      </c>
      <c r="I44" s="148">
        <f t="shared" si="20"/>
        <v>29</v>
      </c>
      <c r="J44" s="148">
        <f t="shared" si="21"/>
        <v>33</v>
      </c>
      <c r="K44" s="148">
        <v>40</v>
      </c>
      <c r="L44" s="148">
        <f t="shared" si="38"/>
        <v>31.029999999999998</v>
      </c>
      <c r="M44" s="148">
        <f t="shared" si="47"/>
        <v>17936.507997783283</v>
      </c>
      <c r="N44" s="148">
        <f t="shared" si="39"/>
        <v>0</v>
      </c>
      <c r="O44" s="148">
        <f t="shared" si="40"/>
        <v>0</v>
      </c>
      <c r="P44" s="148">
        <f t="shared" si="48"/>
        <v>17936.507997783283</v>
      </c>
      <c r="Q44" s="7">
        <f>'Seasonal (WITHOUT)'!Q44</f>
        <v>51251.794328749187</v>
      </c>
      <c r="R44" s="7">
        <f>-'LOAD DATA and INPUT SEASONAL'!$A$60*U44</f>
        <v>-90.283668551964368</v>
      </c>
      <c r="S44" s="7">
        <f t="shared" si="49"/>
        <v>51161.510660197222</v>
      </c>
      <c r="T44" s="154">
        <v>2.9353300388817321</v>
      </c>
      <c r="U44" s="148">
        <v>9.0283668551964364</v>
      </c>
      <c r="V44" s="148">
        <f t="shared" si="50"/>
        <v>-6.0930368163147044</v>
      </c>
      <c r="W44" s="148">
        <v>584.13067773746468</v>
      </c>
      <c r="X44" s="148"/>
      <c r="Y44" s="148">
        <f t="shared" si="41"/>
        <v>578.03764092115</v>
      </c>
      <c r="Z44" s="148">
        <f t="shared" si="51"/>
        <v>618.50027578563049</v>
      </c>
      <c r="AA44" s="148" t="b">
        <f t="shared" si="52"/>
        <v>1</v>
      </c>
      <c r="AB44" s="148">
        <f t="shared" si="53"/>
        <v>-189.06693241024527</v>
      </c>
      <c r="AC44" s="148">
        <f t="shared" si="54"/>
        <v>18125.574930193528</v>
      </c>
      <c r="AD44" s="148">
        <f t="shared" si="55"/>
        <v>0</v>
      </c>
      <c r="AE44" s="148">
        <f t="shared" si="56"/>
        <v>17936.507997783283</v>
      </c>
      <c r="AF44" s="148">
        <f t="shared" si="57"/>
        <v>-539.28835418761548</v>
      </c>
      <c r="AG44" s="148">
        <f t="shared" si="58"/>
        <v>51700.799014384829</v>
      </c>
      <c r="AH44" s="148">
        <f t="shared" si="59"/>
        <v>0</v>
      </c>
      <c r="AI44" s="148">
        <f t="shared" si="60"/>
        <v>51161.510660197215</v>
      </c>
      <c r="AJ44" s="148">
        <f t="shared" si="61"/>
        <v>-728.35528659786075</v>
      </c>
      <c r="AK44" s="148">
        <f t="shared" si="62"/>
        <v>69826.373944578358</v>
      </c>
      <c r="AL44" s="148">
        <f t="shared" si="63"/>
        <v>0</v>
      </c>
      <c r="AM44" s="148">
        <f t="shared" si="64"/>
        <v>69098.018657980501</v>
      </c>
    </row>
    <row r="45" spans="1:39" s="66" customFormat="1" x14ac:dyDescent="0.25">
      <c r="A45" s="66">
        <v>14</v>
      </c>
      <c r="B45" s="148">
        <f t="shared" ref="B45:D45" si="76">B18</f>
        <v>1000</v>
      </c>
      <c r="C45" s="148">
        <f t="shared" si="76"/>
        <v>500</v>
      </c>
      <c r="D45" s="148">
        <f t="shared" si="76"/>
        <v>100</v>
      </c>
      <c r="E45" s="148">
        <f t="shared" si="43"/>
        <v>618.9001955144372</v>
      </c>
      <c r="F45" s="148">
        <f t="shared" si="44"/>
        <v>0</v>
      </c>
      <c r="G45" s="148">
        <f t="shared" si="45"/>
        <v>0</v>
      </c>
      <c r="H45" s="148">
        <f t="shared" si="46"/>
        <v>618.9001955144372</v>
      </c>
      <c r="I45" s="148">
        <f t="shared" si="20"/>
        <v>29</v>
      </c>
      <c r="J45" s="148">
        <f t="shared" si="21"/>
        <v>33</v>
      </c>
      <c r="K45" s="148">
        <v>40</v>
      </c>
      <c r="L45" s="148">
        <f t="shared" si="38"/>
        <v>31.03</v>
      </c>
      <c r="M45" s="148">
        <f t="shared" si="47"/>
        <v>17948.105669918677</v>
      </c>
      <c r="N45" s="148">
        <f t="shared" si="39"/>
        <v>0</v>
      </c>
      <c r="O45" s="148">
        <f t="shared" si="40"/>
        <v>0</v>
      </c>
      <c r="P45" s="148">
        <f t="shared" si="48"/>
        <v>17948.105669918677</v>
      </c>
      <c r="Q45" s="7">
        <f>'Seasonal (WITHOUT)'!Q45</f>
        <v>51274.697765266676</v>
      </c>
      <c r="R45" s="7">
        <f>-'LOAD DATA and INPUT SEASONAL'!$A$60*U45</f>
        <v>-89.169585539620044</v>
      </c>
      <c r="S45" s="7">
        <f t="shared" si="49"/>
        <v>51185.528179727058</v>
      </c>
      <c r="T45" s="154">
        <v>2.9366417811550303</v>
      </c>
      <c r="U45" s="148">
        <v>8.9169585539620044</v>
      </c>
      <c r="V45" s="148">
        <f t="shared" si="50"/>
        <v>-5.9803167728069742</v>
      </c>
      <c r="W45" s="148">
        <v>584.39171444985107</v>
      </c>
      <c r="X45" s="148"/>
      <c r="Y45" s="148">
        <f t="shared" si="41"/>
        <v>578.41139767704408</v>
      </c>
      <c r="Z45" s="148">
        <f t="shared" si="51"/>
        <v>618.9001955144372</v>
      </c>
      <c r="AA45" s="148" t="b">
        <f t="shared" si="52"/>
        <v>1</v>
      </c>
      <c r="AB45" s="148">
        <f t="shared" si="53"/>
        <v>-185.5692294602004</v>
      </c>
      <c r="AC45" s="148">
        <f t="shared" si="54"/>
        <v>18133.674899378879</v>
      </c>
      <c r="AD45" s="148">
        <f t="shared" si="55"/>
        <v>0</v>
      </c>
      <c r="AE45" s="148">
        <f t="shared" si="56"/>
        <v>17948.105669918677</v>
      </c>
      <c r="AF45" s="148">
        <f t="shared" si="57"/>
        <v>-529.2179129380155</v>
      </c>
      <c r="AG45" s="148">
        <f t="shared" si="58"/>
        <v>51714.746092665075</v>
      </c>
      <c r="AH45" s="148">
        <f t="shared" si="59"/>
        <v>0</v>
      </c>
      <c r="AI45" s="148">
        <f t="shared" si="60"/>
        <v>51185.528179727058</v>
      </c>
      <c r="AJ45" s="148">
        <f t="shared" si="61"/>
        <v>-714.78714239821591</v>
      </c>
      <c r="AK45" s="148">
        <f t="shared" si="62"/>
        <v>69848.420992043946</v>
      </c>
      <c r="AL45" s="148">
        <f t="shared" si="63"/>
        <v>0</v>
      </c>
      <c r="AM45" s="148">
        <f t="shared" si="64"/>
        <v>69133.633849645732</v>
      </c>
    </row>
    <row r="46" spans="1:39" s="66" customFormat="1" x14ac:dyDescent="0.25">
      <c r="A46" s="66">
        <v>15</v>
      </c>
      <c r="B46" s="148">
        <f t="shared" ref="B46:D46" si="77">B19</f>
        <v>1000</v>
      </c>
      <c r="C46" s="148">
        <f t="shared" si="77"/>
        <v>500</v>
      </c>
      <c r="D46" s="148">
        <f t="shared" si="77"/>
        <v>100</v>
      </c>
      <c r="E46" s="148">
        <f t="shared" si="43"/>
        <v>627.08079034177842</v>
      </c>
      <c r="F46" s="148">
        <f t="shared" si="44"/>
        <v>0</v>
      </c>
      <c r="G46" s="148">
        <f t="shared" si="45"/>
        <v>0</v>
      </c>
      <c r="H46" s="148">
        <f t="shared" si="46"/>
        <v>627.08079034177842</v>
      </c>
      <c r="I46" s="148">
        <f t="shared" si="20"/>
        <v>29</v>
      </c>
      <c r="J46" s="148">
        <f t="shared" si="21"/>
        <v>33</v>
      </c>
      <c r="K46" s="148">
        <v>40</v>
      </c>
      <c r="L46" s="148">
        <f t="shared" si="38"/>
        <v>31.03</v>
      </c>
      <c r="M46" s="148">
        <f t="shared" si="47"/>
        <v>18185.342919911574</v>
      </c>
      <c r="N46" s="148">
        <f t="shared" si="39"/>
        <v>0</v>
      </c>
      <c r="O46" s="148">
        <f t="shared" si="40"/>
        <v>0</v>
      </c>
      <c r="P46" s="148">
        <f t="shared" si="48"/>
        <v>18185.342919911574</v>
      </c>
      <c r="Q46" s="7">
        <f>'Seasonal (WITHOUT)'!Q46</f>
        <v>51927.93072406554</v>
      </c>
      <c r="R46" s="7">
        <f>-'LOAD DATA and INPUT SEASONAL'!$A$60*U46</f>
        <v>-87.540294465796649</v>
      </c>
      <c r="S46" s="7">
        <f t="shared" si="49"/>
        <v>51840.390429599742</v>
      </c>
      <c r="T46" s="154">
        <v>2.9740542142505548</v>
      </c>
      <c r="U46" s="148">
        <v>8.7540294465796649</v>
      </c>
      <c r="V46" s="148">
        <f t="shared" si="50"/>
        <v>-5.77997523232911</v>
      </c>
      <c r="W46" s="148">
        <v>591.83678863586033</v>
      </c>
      <c r="X46" s="148"/>
      <c r="Y46" s="148">
        <f t="shared" si="41"/>
        <v>586.05681340353124</v>
      </c>
      <c r="Z46" s="148">
        <f t="shared" si="51"/>
        <v>627.08079034177842</v>
      </c>
      <c r="AA46" s="148" t="b">
        <f t="shared" si="52"/>
        <v>1</v>
      </c>
      <c r="AB46" s="148">
        <f>V46*L46</f>
        <v>-179.3526314591723</v>
      </c>
      <c r="AC46" s="148">
        <f t="shared" si="54"/>
        <v>18364.695551370747</v>
      </c>
      <c r="AD46" s="148">
        <f t="shared" si="55"/>
        <v>0</v>
      </c>
      <c r="AE46" s="148">
        <f t="shared" si="56"/>
        <v>18185.342919911574</v>
      </c>
      <c r="AF46" s="148">
        <f t="shared" si="57"/>
        <v>-511.27495810042245</v>
      </c>
      <c r="AG46" s="148">
        <f t="shared" si="58"/>
        <v>52351.665387700159</v>
      </c>
      <c r="AH46" s="148">
        <f t="shared" si="59"/>
        <v>0</v>
      </c>
      <c r="AI46" s="148">
        <f t="shared" si="60"/>
        <v>51840.390429599734</v>
      </c>
      <c r="AJ46" s="148">
        <f t="shared" si="61"/>
        <v>-690.62758955959475</v>
      </c>
      <c r="AK46" s="148">
        <f t="shared" si="62"/>
        <v>70716.360939070903</v>
      </c>
      <c r="AL46" s="148">
        <f t="shared" si="63"/>
        <v>0</v>
      </c>
      <c r="AM46" s="148">
        <f t="shared" si="64"/>
        <v>70025.733349511313</v>
      </c>
    </row>
    <row r="47" spans="1:39" s="66" customFormat="1" x14ac:dyDescent="0.25">
      <c r="A47" s="66">
        <v>16</v>
      </c>
      <c r="B47" s="148">
        <f t="shared" ref="B47:D47" si="78">B20</f>
        <v>1000</v>
      </c>
      <c r="C47" s="148">
        <f t="shared" si="78"/>
        <v>500</v>
      </c>
      <c r="D47" s="148">
        <f t="shared" si="78"/>
        <v>100</v>
      </c>
      <c r="E47" s="148">
        <f t="shared" si="43"/>
        <v>655.59181645012632</v>
      </c>
      <c r="F47" s="148">
        <f t="shared" si="44"/>
        <v>0</v>
      </c>
      <c r="G47" s="148">
        <f t="shared" si="45"/>
        <v>0</v>
      </c>
      <c r="H47" s="148">
        <f t="shared" si="46"/>
        <v>655.59181645012632</v>
      </c>
      <c r="I47" s="148">
        <f t="shared" si="20"/>
        <v>29</v>
      </c>
      <c r="J47" s="148">
        <f t="shared" si="21"/>
        <v>33</v>
      </c>
      <c r="K47" s="148">
        <v>40</v>
      </c>
      <c r="L47" s="148">
        <f t="shared" si="38"/>
        <v>31.030000000000005</v>
      </c>
      <c r="M47" s="148">
        <f t="shared" si="47"/>
        <v>19012.162677053664</v>
      </c>
      <c r="N47" s="148">
        <f t="shared" si="39"/>
        <v>0</v>
      </c>
      <c r="O47" s="148">
        <f t="shared" si="40"/>
        <v>0</v>
      </c>
      <c r="P47" s="148">
        <f t="shared" si="48"/>
        <v>19012.162677053664</v>
      </c>
      <c r="Q47" s="7">
        <f>'Seasonal (WITHOUT)'!Q47</f>
        <v>54166.895120728848</v>
      </c>
      <c r="R47" s="7">
        <f>-'LOAD DATA and INPUT SEASONAL'!$A$60*U47</f>
        <v>-77.545301068862841</v>
      </c>
      <c r="S47" s="7">
        <f t="shared" si="49"/>
        <v>54089.349819659983</v>
      </c>
      <c r="T47" s="154">
        <v>3.1022858115163303</v>
      </c>
      <c r="U47" s="148">
        <v>7.7545301068862846</v>
      </c>
      <c r="V47" s="148">
        <f t="shared" si="50"/>
        <v>-4.6522442953699539</v>
      </c>
      <c r="W47" s="148">
        <v>617.35487649174968</v>
      </c>
      <c r="X47" s="148"/>
      <c r="Y47" s="148">
        <f t="shared" si="41"/>
        <v>612.70263219637968</v>
      </c>
      <c r="Z47" s="148">
        <f t="shared" si="51"/>
        <v>655.59181645012632</v>
      </c>
      <c r="AA47" s="148" t="b">
        <f t="shared" si="52"/>
        <v>1</v>
      </c>
      <c r="AB47" s="148">
        <f t="shared" ref="AB47:AB51" si="79">V47*L47</f>
        <v>-144.3591404853297</v>
      </c>
      <c r="AC47" s="148">
        <f t="shared" si="54"/>
        <v>19156.521817538996</v>
      </c>
      <c r="AD47" s="148">
        <f t="shared" si="55"/>
        <v>0</v>
      </c>
      <c r="AE47" s="148">
        <f t="shared" si="56"/>
        <v>19012.162677053668</v>
      </c>
      <c r="AF47" s="148">
        <f t="shared" si="57"/>
        <v>-410.6998336807045</v>
      </c>
      <c r="AG47" s="148">
        <f t="shared" si="58"/>
        <v>54500.049653340684</v>
      </c>
      <c r="AH47" s="148">
        <f t="shared" si="59"/>
        <v>0</v>
      </c>
      <c r="AI47" s="148">
        <f t="shared" si="60"/>
        <v>54089.349819659983</v>
      </c>
      <c r="AJ47" s="148">
        <f t="shared" si="61"/>
        <v>-555.0589741660342</v>
      </c>
      <c r="AK47" s="148">
        <f t="shared" si="62"/>
        <v>73656.571470879688</v>
      </c>
      <c r="AL47" s="148">
        <f t="shared" si="63"/>
        <v>0</v>
      </c>
      <c r="AM47" s="148">
        <f t="shared" si="64"/>
        <v>73101.512496713651</v>
      </c>
    </row>
    <row r="48" spans="1:39" s="66" customFormat="1" x14ac:dyDescent="0.25">
      <c r="A48" s="66">
        <v>17</v>
      </c>
      <c r="B48" s="148">
        <f t="shared" ref="B48:D48" si="80">B21</f>
        <v>1000</v>
      </c>
      <c r="C48" s="148">
        <f t="shared" si="80"/>
        <v>500</v>
      </c>
      <c r="D48" s="148">
        <f t="shared" si="80"/>
        <v>100</v>
      </c>
      <c r="E48" s="148">
        <f t="shared" si="43"/>
        <v>719.02128725100454</v>
      </c>
      <c r="F48" s="148">
        <f t="shared" si="44"/>
        <v>0</v>
      </c>
      <c r="G48" s="148">
        <f t="shared" si="45"/>
        <v>0</v>
      </c>
      <c r="H48" s="148">
        <f t="shared" si="46"/>
        <v>719.02128725100454</v>
      </c>
      <c r="I48" s="148">
        <f t="shared" si="20"/>
        <v>29</v>
      </c>
      <c r="J48" s="148">
        <f t="shared" si="21"/>
        <v>33</v>
      </c>
      <c r="K48" s="148">
        <v>40</v>
      </c>
      <c r="L48" s="148">
        <f t="shared" si="38"/>
        <v>31.030000000000005</v>
      </c>
      <c r="M48" s="148">
        <f t="shared" si="47"/>
        <v>20851.617330279132</v>
      </c>
      <c r="N48" s="148">
        <f t="shared" si="39"/>
        <v>0</v>
      </c>
      <c r="O48" s="148">
        <f t="shared" si="40"/>
        <v>0</v>
      </c>
      <c r="P48" s="148">
        <f t="shared" si="48"/>
        <v>20851.617330279132</v>
      </c>
      <c r="Q48" s="7">
        <f>'Seasonal (WITHOUT)'!Q48</f>
        <v>59112.513259032508</v>
      </c>
      <c r="R48" s="7">
        <f>-'LOAD DATA and INPUT SEASONAL'!$A$60*U48</f>
        <v>-51.244586207828334</v>
      </c>
      <c r="S48" s="7">
        <f t="shared" si="49"/>
        <v>59061.268672824677</v>
      </c>
      <c r="T48" s="154">
        <v>3.3855348503515992</v>
      </c>
      <c r="U48" s="148">
        <v>5.1244586207828338</v>
      </c>
      <c r="V48" s="148">
        <f t="shared" si="50"/>
        <v>-1.7389237704312346</v>
      </c>
      <c r="W48" s="148">
        <v>673.72143521996816</v>
      </c>
      <c r="X48" s="148"/>
      <c r="Y48" s="148">
        <f t="shared" si="41"/>
        <v>671.9825114495369</v>
      </c>
      <c r="Z48" s="148">
        <f t="shared" si="51"/>
        <v>719.02128725100454</v>
      </c>
      <c r="AA48" s="148" t="b">
        <f t="shared" si="52"/>
        <v>1</v>
      </c>
      <c r="AB48" s="148">
        <f t="shared" si="79"/>
        <v>-53.958804596481215</v>
      </c>
      <c r="AC48" s="148">
        <f t="shared" si="54"/>
        <v>20905.576134875617</v>
      </c>
      <c r="AD48" s="148">
        <f t="shared" si="55"/>
        <v>0</v>
      </c>
      <c r="AE48" s="148">
        <f t="shared" si="56"/>
        <v>20851.617330279136</v>
      </c>
      <c r="AF48" s="148">
        <f t="shared" si="57"/>
        <v>-152.83588822194073</v>
      </c>
      <c r="AG48" s="148">
        <f t="shared" si="58"/>
        <v>59214.104561046617</v>
      </c>
      <c r="AH48" s="148">
        <f t="shared" si="59"/>
        <v>0</v>
      </c>
      <c r="AI48" s="148">
        <f t="shared" si="60"/>
        <v>59061.268672824677</v>
      </c>
      <c r="AJ48" s="148">
        <f t="shared" si="61"/>
        <v>-206.79469281842194</v>
      </c>
      <c r="AK48" s="148">
        <f t="shared" si="62"/>
        <v>80119.68069592223</v>
      </c>
      <c r="AL48" s="148">
        <f t="shared" si="63"/>
        <v>0</v>
      </c>
      <c r="AM48" s="148">
        <f t="shared" si="64"/>
        <v>79912.886003103806</v>
      </c>
    </row>
    <row r="49" spans="1:39" s="66" customFormat="1" x14ac:dyDescent="0.25">
      <c r="A49" s="66">
        <v>18</v>
      </c>
      <c r="B49" s="148">
        <f t="shared" ref="B49:D49" si="81">B22</f>
        <v>1000</v>
      </c>
      <c r="C49" s="148">
        <f t="shared" si="81"/>
        <v>500</v>
      </c>
      <c r="D49" s="148">
        <f t="shared" si="81"/>
        <v>100</v>
      </c>
      <c r="E49" s="148">
        <f t="shared" si="43"/>
        <v>787.93265600739039</v>
      </c>
      <c r="F49" s="148">
        <f t="shared" si="44"/>
        <v>0</v>
      </c>
      <c r="G49" s="148">
        <f t="shared" si="45"/>
        <v>0</v>
      </c>
      <c r="H49" s="148">
        <f t="shared" si="46"/>
        <v>787.93265600739039</v>
      </c>
      <c r="I49" s="148">
        <f t="shared" si="20"/>
        <v>29</v>
      </c>
      <c r="J49" s="148">
        <f t="shared" si="21"/>
        <v>33</v>
      </c>
      <c r="K49" s="148">
        <v>40</v>
      </c>
      <c r="L49" s="148">
        <f t="shared" si="38"/>
        <v>31.029999999999998</v>
      </c>
      <c r="M49" s="148">
        <f t="shared" si="47"/>
        <v>22850.04702421432</v>
      </c>
      <c r="N49" s="148">
        <f t="shared" si="39"/>
        <v>0</v>
      </c>
      <c r="O49" s="148">
        <f t="shared" si="40"/>
        <v>0</v>
      </c>
      <c r="P49" s="148">
        <f t="shared" si="48"/>
        <v>22850.04702421432</v>
      </c>
      <c r="Q49" s="7">
        <f>'Seasonal (WITHOUT)'!Q49</f>
        <v>64505.858748556122</v>
      </c>
      <c r="R49" s="7">
        <f>-'LOAD DATA and INPUT SEASONAL'!$A$60*U49</f>
        <v>-24.996313132679226</v>
      </c>
      <c r="S49" s="7">
        <f t="shared" si="49"/>
        <v>64480.862435423442</v>
      </c>
      <c r="T49" s="154">
        <v>3.6944264556662949</v>
      </c>
      <c r="U49" s="148">
        <v>2.4996313132679226</v>
      </c>
      <c r="V49" s="148">
        <f t="shared" si="50"/>
        <v>1.1947951423983723</v>
      </c>
      <c r="W49" s="148">
        <v>735.19086467759269</v>
      </c>
      <c r="X49" s="148"/>
      <c r="Y49" s="148">
        <f t="shared" si="41"/>
        <v>736.38565981999102</v>
      </c>
      <c r="Z49" s="148">
        <f t="shared" si="51"/>
        <v>787.93265600739039</v>
      </c>
      <c r="AA49" s="148" t="b">
        <f t="shared" si="52"/>
        <v>1</v>
      </c>
      <c r="AB49" s="148">
        <f t="shared" si="79"/>
        <v>37.074493268621488</v>
      </c>
      <c r="AC49" s="148">
        <f t="shared" si="54"/>
        <v>22812.972530945699</v>
      </c>
      <c r="AD49" s="148">
        <f t="shared" si="55"/>
        <v>0</v>
      </c>
      <c r="AE49" s="148">
        <f t="shared" si="56"/>
        <v>22850.04702421432</v>
      </c>
      <c r="AF49" s="148">
        <f t="shared" si="57"/>
        <v>104.62102322081385</v>
      </c>
      <c r="AG49" s="148">
        <f t="shared" si="58"/>
        <v>64376.241412202638</v>
      </c>
      <c r="AH49" s="148">
        <f t="shared" si="59"/>
        <v>0</v>
      </c>
      <c r="AI49" s="148">
        <f t="shared" si="60"/>
        <v>64480.862435423449</v>
      </c>
      <c r="AJ49" s="148">
        <f t="shared" si="61"/>
        <v>141.69551648943533</v>
      </c>
      <c r="AK49" s="148">
        <f t="shared" si="62"/>
        <v>87189.213943148337</v>
      </c>
      <c r="AL49" s="148">
        <f t="shared" si="63"/>
        <v>0</v>
      </c>
      <c r="AM49" s="148">
        <f t="shared" si="64"/>
        <v>87330.909459637769</v>
      </c>
    </row>
    <row r="50" spans="1:39" s="66" customFormat="1" x14ac:dyDescent="0.25">
      <c r="A50" s="66">
        <v>19</v>
      </c>
      <c r="B50" s="148">
        <f t="shared" ref="B50:D50" si="82">B23</f>
        <v>1000</v>
      </c>
      <c r="C50" s="148">
        <f t="shared" si="82"/>
        <v>500</v>
      </c>
      <c r="D50" s="148">
        <f t="shared" si="82"/>
        <v>100</v>
      </c>
      <c r="E50" s="148">
        <f t="shared" si="43"/>
        <v>846.95047027157887</v>
      </c>
      <c r="F50" s="148">
        <f t="shared" si="44"/>
        <v>0</v>
      </c>
      <c r="G50" s="148">
        <f t="shared" si="45"/>
        <v>0</v>
      </c>
      <c r="H50" s="148">
        <f t="shared" si="46"/>
        <v>846.95047027157887</v>
      </c>
      <c r="I50" s="148">
        <f t="shared" si="20"/>
        <v>29</v>
      </c>
      <c r="J50" s="148">
        <f t="shared" si="21"/>
        <v>33</v>
      </c>
      <c r="K50" s="148">
        <v>40</v>
      </c>
      <c r="L50" s="148">
        <f t="shared" si="38"/>
        <v>31.030000000000005</v>
      </c>
      <c r="M50" s="148">
        <f t="shared" si="47"/>
        <v>24561.563637875788</v>
      </c>
      <c r="N50" s="148">
        <f t="shared" si="39"/>
        <v>0</v>
      </c>
      <c r="O50" s="148">
        <f t="shared" si="40"/>
        <v>0</v>
      </c>
      <c r="P50" s="148">
        <f t="shared" si="48"/>
        <v>24561.563637875788</v>
      </c>
      <c r="Q50" s="7">
        <f>'Seasonal (WITHOUT)'!Q50</f>
        <v>69125.212279361338</v>
      </c>
      <c r="R50" s="7">
        <f>-'LOAD DATA and INPUT SEASONAL'!$A$60*U50</f>
        <v>-2.5539054252959117</v>
      </c>
      <c r="S50" s="7">
        <f t="shared" si="49"/>
        <v>69122.658373936036</v>
      </c>
      <c r="T50" s="154">
        <v>3.9589894306172217</v>
      </c>
      <c r="U50" s="148">
        <v>0.25539054252959115</v>
      </c>
      <c r="V50" s="148">
        <f t="shared" si="50"/>
        <v>3.7035988880876305</v>
      </c>
      <c r="W50" s="148">
        <v>787.83889669282712</v>
      </c>
      <c r="X50" s="148"/>
      <c r="Y50" s="148">
        <f t="shared" si="41"/>
        <v>791.54249558091476</v>
      </c>
      <c r="Z50" s="148">
        <f t="shared" si="51"/>
        <v>846.95047027157887</v>
      </c>
      <c r="AA50" s="148" t="b">
        <f t="shared" si="52"/>
        <v>1</v>
      </c>
      <c r="AB50" s="148">
        <f t="shared" si="79"/>
        <v>114.92267349735918</v>
      </c>
      <c r="AC50" s="148">
        <f t="shared" si="54"/>
        <v>24446.640964378428</v>
      </c>
      <c r="AD50" s="148">
        <f t="shared" si="55"/>
        <v>0</v>
      </c>
      <c r="AE50" s="148">
        <f t="shared" si="56"/>
        <v>24561.563637875788</v>
      </c>
      <c r="AF50" s="148">
        <f t="shared" si="57"/>
        <v>323.42243420233524</v>
      </c>
      <c r="AG50" s="148">
        <f t="shared" si="58"/>
        <v>68799.235939733699</v>
      </c>
      <c r="AH50" s="148">
        <f t="shared" si="59"/>
        <v>0</v>
      </c>
      <c r="AI50" s="148">
        <f t="shared" si="60"/>
        <v>69122.658373936036</v>
      </c>
      <c r="AJ50" s="148">
        <f t="shared" si="61"/>
        <v>438.34510769969444</v>
      </c>
      <c r="AK50" s="148">
        <f t="shared" si="62"/>
        <v>93245.876904112127</v>
      </c>
      <c r="AL50" s="148">
        <f t="shared" si="63"/>
        <v>0</v>
      </c>
      <c r="AM50" s="148">
        <f t="shared" si="64"/>
        <v>93684.222011811828</v>
      </c>
    </row>
    <row r="51" spans="1:39" s="66" customFormat="1" x14ac:dyDescent="0.25">
      <c r="A51" s="66">
        <v>20</v>
      </c>
      <c r="B51" s="148">
        <f t="shared" ref="B51:D51" si="83">B24</f>
        <v>1000</v>
      </c>
      <c r="C51" s="148">
        <f t="shared" si="83"/>
        <v>500</v>
      </c>
      <c r="D51" s="148">
        <f t="shared" si="83"/>
        <v>100</v>
      </c>
      <c r="E51" s="148">
        <f t="shared" si="43"/>
        <v>891.22084897104844</v>
      </c>
      <c r="F51" s="148">
        <f t="shared" si="44"/>
        <v>0</v>
      </c>
      <c r="G51" s="148">
        <f t="shared" si="45"/>
        <v>0</v>
      </c>
      <c r="H51" s="148">
        <f t="shared" si="46"/>
        <v>891.22084897104844</v>
      </c>
      <c r="I51" s="148">
        <f t="shared" si="20"/>
        <v>29</v>
      </c>
      <c r="J51" s="148">
        <f t="shared" si="21"/>
        <v>33</v>
      </c>
      <c r="K51" s="148">
        <v>40</v>
      </c>
      <c r="L51" s="148">
        <f t="shared" si="38"/>
        <v>31.03</v>
      </c>
      <c r="M51" s="148">
        <f t="shared" si="47"/>
        <v>25845.404620160403</v>
      </c>
      <c r="N51" s="148">
        <f t="shared" si="39"/>
        <v>0</v>
      </c>
      <c r="O51" s="148">
        <f t="shared" si="40"/>
        <v>0</v>
      </c>
      <c r="P51" s="148">
        <f t="shared" si="48"/>
        <v>25845.404620160403</v>
      </c>
      <c r="Q51" s="7">
        <f>'Seasonal (WITHOUT)'!Q51</f>
        <v>72714.968827400051</v>
      </c>
      <c r="R51" s="7">
        <f>-'LOAD DATA and INPUT SEASONAL'!$A$60*U51</f>
        <v>-2.3439310016852262E-3</v>
      </c>
      <c r="S51" s="7">
        <f t="shared" si="49"/>
        <v>72714.966483469048</v>
      </c>
      <c r="T51" s="154">
        <v>4.1645845783722688</v>
      </c>
      <c r="U51" s="148">
        <v>2.3439310016852262E-4</v>
      </c>
      <c r="V51" s="148">
        <f t="shared" si="50"/>
        <v>4.1643501852721005</v>
      </c>
      <c r="W51" s="148">
        <v>828.75233109608143</v>
      </c>
      <c r="X51" s="148"/>
      <c r="Y51" s="148">
        <f t="shared" si="41"/>
        <v>832.91668128135359</v>
      </c>
      <c r="Z51" s="148">
        <f t="shared" si="51"/>
        <v>891.22084897104844</v>
      </c>
      <c r="AA51" s="148" t="b">
        <f t="shared" si="52"/>
        <v>1</v>
      </c>
      <c r="AB51" s="148">
        <f t="shared" si="79"/>
        <v>129.21978624899327</v>
      </c>
      <c r="AC51" s="148">
        <f t="shared" si="54"/>
        <v>25716.184833911408</v>
      </c>
      <c r="AD51" s="148">
        <f t="shared" si="55"/>
        <v>0</v>
      </c>
      <c r="AE51" s="148">
        <f t="shared" si="56"/>
        <v>25845.4046201604</v>
      </c>
      <c r="AF51" s="148">
        <f t="shared" si="57"/>
        <v>363.55447183702347</v>
      </c>
      <c r="AG51" s="148">
        <f t="shared" si="58"/>
        <v>72351.412011632012</v>
      </c>
      <c r="AH51" s="148">
        <f t="shared" si="59"/>
        <v>0</v>
      </c>
      <c r="AI51" s="148">
        <f t="shared" si="60"/>
        <v>72714.966483469034</v>
      </c>
      <c r="AJ51" s="148">
        <f t="shared" si="61"/>
        <v>492.77425808601674</v>
      </c>
      <c r="AK51" s="148">
        <f t="shared" si="62"/>
        <v>98067.596845543419</v>
      </c>
      <c r="AL51" s="148">
        <f t="shared" si="63"/>
        <v>0</v>
      </c>
      <c r="AM51" s="148">
        <f t="shared" si="64"/>
        <v>98560.371103629441</v>
      </c>
    </row>
    <row r="52" spans="1:39" s="66" customFormat="1" x14ac:dyDescent="0.25">
      <c r="A52" s="66">
        <v>21</v>
      </c>
      <c r="B52" s="148">
        <f t="shared" ref="B52:D52" si="84">B25</f>
        <v>1000</v>
      </c>
      <c r="C52" s="148">
        <f t="shared" si="84"/>
        <v>500</v>
      </c>
      <c r="D52" s="148">
        <f t="shared" si="84"/>
        <v>100</v>
      </c>
      <c r="E52" s="148">
        <f t="shared" si="43"/>
        <v>897.53300519229208</v>
      </c>
      <c r="F52" s="148">
        <f t="shared" si="44"/>
        <v>0</v>
      </c>
      <c r="G52" s="148">
        <f t="shared" si="45"/>
        <v>0</v>
      </c>
      <c r="H52" s="148">
        <f>SUM(E52:G52)</f>
        <v>897.53300519229208</v>
      </c>
      <c r="I52" s="148">
        <f t="shared" si="20"/>
        <v>29</v>
      </c>
      <c r="J52" s="148">
        <f t="shared" si="21"/>
        <v>33</v>
      </c>
      <c r="K52" s="148">
        <v>40</v>
      </c>
      <c r="L52" s="148">
        <f t="shared" si="38"/>
        <v>31.03</v>
      </c>
      <c r="M52" s="148">
        <f>E52*I52</f>
        <v>26028.457150576469</v>
      </c>
      <c r="N52" s="148">
        <f t="shared" si="39"/>
        <v>0</v>
      </c>
      <c r="O52" s="148">
        <f t="shared" si="40"/>
        <v>0</v>
      </c>
      <c r="P52" s="148">
        <f>SUM(M52:O52)</f>
        <v>26028.457150576469</v>
      </c>
      <c r="Q52" s="7">
        <f>'Seasonal (WITHOUT)'!Q52</f>
        <v>73229.95888544507</v>
      </c>
      <c r="R52" s="7">
        <f>-'LOAD DATA and INPUT SEASONAL'!$A$60*U52</f>
        <v>0</v>
      </c>
      <c r="S52" s="7">
        <f t="shared" si="49"/>
        <v>73229.95888544507</v>
      </c>
      <c r="T52" s="154">
        <v>4.1940794635153837</v>
      </c>
      <c r="U52" s="148">
        <v>0</v>
      </c>
      <c r="V52" s="148">
        <f t="shared" si="50"/>
        <v>4.1940794635153837</v>
      </c>
      <c r="W52" s="148">
        <v>834.62181323956122</v>
      </c>
      <c r="X52" s="148"/>
      <c r="Y52" s="148">
        <f t="shared" si="41"/>
        <v>838.81589270307666</v>
      </c>
      <c r="Z52" s="148">
        <f>Y52*1.07</f>
        <v>897.53300519229208</v>
      </c>
      <c r="AA52" s="148" t="b">
        <f>Z52=H52</f>
        <v>1</v>
      </c>
      <c r="AB52" s="148">
        <f>V52*L52</f>
        <v>130.14228575288237</v>
      </c>
      <c r="AC52" s="148">
        <f>W52*$L52</f>
        <v>25898.314864823587</v>
      </c>
      <c r="AD52" s="148">
        <f>X52*$L52</f>
        <v>0</v>
      </c>
      <c r="AE52" s="148">
        <f>SUM(AB52:AD52)</f>
        <v>26028.457150576469</v>
      </c>
      <c r="AF52" s="148">
        <f>$S52/$Y52*V52</f>
        <v>366.1497944272254</v>
      </c>
      <c r="AG52" s="148">
        <f t="shared" si="58"/>
        <v>72863.809091017843</v>
      </c>
      <c r="AH52" s="148">
        <f t="shared" si="59"/>
        <v>0</v>
      </c>
      <c r="AI52" s="148">
        <f>SUM(AF52:AH52)</f>
        <v>73229.95888544507</v>
      </c>
      <c r="AJ52" s="148">
        <f>AB52+AF52</f>
        <v>496.29208018010775</v>
      </c>
      <c r="AK52" s="148">
        <f>AC52+AG52</f>
        <v>98762.123955841438</v>
      </c>
      <c r="AL52" s="148">
        <f>AD52+AH52</f>
        <v>0</v>
      </c>
      <c r="AM52" s="148">
        <f>SUM(AJ52:AL52)</f>
        <v>99258.416036021546</v>
      </c>
    </row>
    <row r="53" spans="1:39" s="66" customFormat="1" x14ac:dyDescent="0.25">
      <c r="A53" s="66">
        <v>22</v>
      </c>
      <c r="B53" s="148">
        <f t="shared" ref="B53:D53" si="85">B26</f>
        <v>1000</v>
      </c>
      <c r="C53" s="148">
        <f t="shared" si="85"/>
        <v>500</v>
      </c>
      <c r="D53" s="148">
        <f t="shared" si="85"/>
        <v>100</v>
      </c>
      <c r="E53" s="148">
        <f t="shared" si="43"/>
        <v>873.21880815256475</v>
      </c>
      <c r="F53" s="148">
        <f t="shared" si="44"/>
        <v>0</v>
      </c>
      <c r="G53" s="148">
        <f t="shared" si="45"/>
        <v>0</v>
      </c>
      <c r="H53" s="148">
        <f t="shared" ref="H53:H54" si="86">SUM(E53:G53)</f>
        <v>873.21880815256475</v>
      </c>
      <c r="I53" s="148">
        <f t="shared" si="20"/>
        <v>29</v>
      </c>
      <c r="J53" s="148">
        <f t="shared" si="21"/>
        <v>33</v>
      </c>
      <c r="K53" s="148">
        <v>40</v>
      </c>
      <c r="L53" s="148">
        <f t="shared" si="38"/>
        <v>31.029999999999998</v>
      </c>
      <c r="M53" s="148">
        <f t="shared" ref="M53:M54" si="87">E53*I53</f>
        <v>25323.345436424377</v>
      </c>
      <c r="N53" s="148">
        <f t="shared" si="39"/>
        <v>0</v>
      </c>
      <c r="O53" s="148">
        <f t="shared" si="40"/>
        <v>0</v>
      </c>
      <c r="P53" s="148">
        <f t="shared" ref="P53:P54" si="88">SUM(M53:O53)</f>
        <v>25323.345436424377</v>
      </c>
      <c r="Q53" s="7">
        <f>'Seasonal (WITHOUT)'!Q53</f>
        <v>71246.157020498198</v>
      </c>
      <c r="R53" s="7">
        <f>-'LOAD DATA and INPUT SEASONAL'!$A$60*U53</f>
        <v>0</v>
      </c>
      <c r="S53" s="7">
        <f t="shared" si="49"/>
        <v>71246.157020498198</v>
      </c>
      <c r="T53" s="154">
        <v>4.0804617203390876</v>
      </c>
      <c r="U53" s="148">
        <v>0</v>
      </c>
      <c r="V53" s="148">
        <f t="shared" si="50"/>
        <v>4.0804617203390876</v>
      </c>
      <c r="W53" s="148">
        <v>812.01188234747838</v>
      </c>
      <c r="X53" s="148"/>
      <c r="Y53" s="148">
        <f t="shared" si="41"/>
        <v>816.09234406781752</v>
      </c>
      <c r="Z53" s="148">
        <f t="shared" si="51"/>
        <v>873.21880815256475</v>
      </c>
      <c r="AA53" s="148" t="b">
        <f t="shared" ref="AA53:AA54" si="89">Z53=H53</f>
        <v>1</v>
      </c>
      <c r="AB53" s="148">
        <f t="shared" ref="AB53:AB54" si="90">V53*L53</f>
        <v>126.61672718212188</v>
      </c>
      <c r="AC53" s="148">
        <f t="shared" ref="AC53:AC54" si="91">W53*$L53</f>
        <v>25196.728709242252</v>
      </c>
      <c r="AD53" s="148">
        <f t="shared" ref="AD53:AD54" si="92">X53*$L53</f>
        <v>0</v>
      </c>
      <c r="AE53" s="148">
        <f t="shared" ref="AE53:AE54" si="93">SUM(AB53:AD53)</f>
        <v>25323.345436424373</v>
      </c>
      <c r="AF53" s="148">
        <f t="shared" ref="AF53:AF54" si="94">$S53/$Y53*V53</f>
        <v>356.23078510249104</v>
      </c>
      <c r="AG53" s="148">
        <f t="shared" si="58"/>
        <v>70889.926235395702</v>
      </c>
      <c r="AH53" s="148">
        <f t="shared" si="59"/>
        <v>0</v>
      </c>
      <c r="AI53" s="148">
        <f t="shared" ref="AI53:AI54" si="95">SUM(AF53:AH53)</f>
        <v>71246.157020498198</v>
      </c>
      <c r="AJ53" s="148">
        <f t="shared" ref="AJ53:AJ54" si="96">AB53+AF53</f>
        <v>482.84751228461289</v>
      </c>
      <c r="AK53" s="148">
        <f t="shared" ref="AK53:AK54" si="97">AC53+AG53</f>
        <v>96086.65494463795</v>
      </c>
      <c r="AL53" s="148">
        <f t="shared" ref="AL53:AL54" si="98">AD53+AH53</f>
        <v>0</v>
      </c>
      <c r="AM53" s="148">
        <f t="shared" ref="AM53:AM54" si="99">SUM(AJ53:AL53)</f>
        <v>96569.502456922564</v>
      </c>
    </row>
    <row r="54" spans="1:39" s="66" customFormat="1" x14ac:dyDescent="0.25">
      <c r="A54" s="66">
        <v>23</v>
      </c>
      <c r="B54" s="148">
        <f t="shared" ref="B54:D54" si="100">B27</f>
        <v>1000</v>
      </c>
      <c r="C54" s="148">
        <f t="shared" si="100"/>
        <v>500</v>
      </c>
      <c r="D54" s="148">
        <f t="shared" si="100"/>
        <v>100</v>
      </c>
      <c r="E54" s="148">
        <f t="shared" si="43"/>
        <v>732.62502774008067</v>
      </c>
      <c r="F54" s="148">
        <f t="shared" si="44"/>
        <v>0</v>
      </c>
      <c r="G54" s="148">
        <f t="shared" si="45"/>
        <v>0</v>
      </c>
      <c r="H54" s="148">
        <f t="shared" si="86"/>
        <v>732.62502774008067</v>
      </c>
      <c r="I54" s="148">
        <f t="shared" si="20"/>
        <v>29</v>
      </c>
      <c r="J54" s="148">
        <f t="shared" si="21"/>
        <v>33</v>
      </c>
      <c r="K54" s="148">
        <v>40</v>
      </c>
      <c r="L54" s="148">
        <f t="shared" si="38"/>
        <v>31.03</v>
      </c>
      <c r="M54" s="148">
        <f t="shared" si="87"/>
        <v>21246.125804462339</v>
      </c>
      <c r="N54" s="148">
        <f t="shared" si="39"/>
        <v>0</v>
      </c>
      <c r="O54" s="148">
        <f t="shared" si="40"/>
        <v>0</v>
      </c>
      <c r="P54" s="148">
        <f t="shared" si="88"/>
        <v>21246.125804462339</v>
      </c>
      <c r="Q54" s="7">
        <f>'Seasonal (WITHOUT)'!Q54</f>
        <v>59775.072726556609</v>
      </c>
      <c r="R54" s="7">
        <f>-'LOAD DATA and INPUT SEASONAL'!$A$60*U54</f>
        <v>0</v>
      </c>
      <c r="S54" s="7">
        <f t="shared" si="49"/>
        <v>59775.072726556609</v>
      </c>
      <c r="T54" s="154">
        <v>3.4234814380377601</v>
      </c>
      <c r="U54" s="148">
        <v>0</v>
      </c>
      <c r="V54" s="148">
        <f t="shared" si="50"/>
        <v>3.4234814380377601</v>
      </c>
      <c r="W54" s="148">
        <v>681.27280616951418</v>
      </c>
      <c r="X54" s="148"/>
      <c r="Y54" s="148">
        <f t="shared" si="41"/>
        <v>684.69628760755199</v>
      </c>
      <c r="Z54" s="148">
        <f t="shared" si="51"/>
        <v>732.62502774008067</v>
      </c>
      <c r="AA54" s="148" t="b">
        <f t="shared" si="89"/>
        <v>1</v>
      </c>
      <c r="AB54" s="148">
        <f t="shared" si="90"/>
        <v>106.2306290223117</v>
      </c>
      <c r="AC54" s="148">
        <f t="shared" si="91"/>
        <v>21139.895175440026</v>
      </c>
      <c r="AD54" s="148">
        <f t="shared" si="92"/>
        <v>0</v>
      </c>
      <c r="AE54" s="148">
        <f t="shared" si="93"/>
        <v>21246.125804462339</v>
      </c>
      <c r="AF54" s="148">
        <f t="shared" si="94"/>
        <v>298.87536363278303</v>
      </c>
      <c r="AG54" s="148">
        <f t="shared" si="58"/>
        <v>59476.19736292382</v>
      </c>
      <c r="AH54" s="148">
        <f t="shared" si="59"/>
        <v>0</v>
      </c>
      <c r="AI54" s="148">
        <f t="shared" si="95"/>
        <v>59775.072726556602</v>
      </c>
      <c r="AJ54" s="148">
        <f t="shared" si="96"/>
        <v>405.10599265509472</v>
      </c>
      <c r="AK54" s="148">
        <f t="shared" si="97"/>
        <v>80616.092538363853</v>
      </c>
      <c r="AL54" s="148">
        <f t="shared" si="98"/>
        <v>0</v>
      </c>
      <c r="AM54" s="148">
        <f t="shared" si="99"/>
        <v>81021.198531018948</v>
      </c>
    </row>
    <row r="55" spans="1:39" s="66" customFormat="1" x14ac:dyDescent="0.25">
      <c r="A55" s="66">
        <v>24</v>
      </c>
      <c r="B55" s="148">
        <f t="shared" ref="B55:D55" si="101">B28</f>
        <v>1000</v>
      </c>
      <c r="C55" s="148">
        <f t="shared" si="101"/>
        <v>500</v>
      </c>
      <c r="D55" s="148">
        <f t="shared" si="101"/>
        <v>100</v>
      </c>
      <c r="E55" s="148">
        <f t="shared" si="43"/>
        <v>591.43606509095423</v>
      </c>
      <c r="F55" s="148">
        <f t="shared" si="44"/>
        <v>0</v>
      </c>
      <c r="G55" s="148">
        <f t="shared" si="45"/>
        <v>0</v>
      </c>
      <c r="H55" s="148">
        <f>SUM(E55:G55)</f>
        <v>591.43606509095423</v>
      </c>
      <c r="I55" s="148">
        <f t="shared" si="20"/>
        <v>29</v>
      </c>
      <c r="J55" s="148">
        <f t="shared" si="21"/>
        <v>33</v>
      </c>
      <c r="K55" s="148">
        <v>40</v>
      </c>
      <c r="L55" s="148">
        <f>P55/Y55</f>
        <v>31.029999999999998</v>
      </c>
      <c r="M55" s="148">
        <f>E55*I55</f>
        <v>17151.645887637671</v>
      </c>
      <c r="N55" s="148">
        <f t="shared" si="39"/>
        <v>0</v>
      </c>
      <c r="O55" s="148">
        <f t="shared" si="40"/>
        <v>0</v>
      </c>
      <c r="P55" s="148">
        <f>SUM(M55:O55)</f>
        <v>17151.645887637671</v>
      </c>
      <c r="Q55" s="7">
        <f>'Seasonal (WITHOUT)'!Q55</f>
        <v>48255.427354118146</v>
      </c>
      <c r="R55" s="7">
        <f>-'LOAD DATA and INPUT SEASONAL'!$A$60*U55</f>
        <v>0</v>
      </c>
      <c r="S55" s="7">
        <f t="shared" si="49"/>
        <v>48255.427354118146</v>
      </c>
      <c r="T55" s="154">
        <v>2.7637199303315616</v>
      </c>
      <c r="U55" s="148">
        <v>0</v>
      </c>
      <c r="V55" s="148">
        <f>T55-U55</f>
        <v>2.7637199303315616</v>
      </c>
      <c r="W55" s="148">
        <v>549.98026613598074</v>
      </c>
      <c r="X55" s="148"/>
      <c r="Y55" s="148">
        <f>SUM(V55:X55)</f>
        <v>552.74398606631235</v>
      </c>
      <c r="Z55" s="148">
        <f>Y55*1.07</f>
        <v>591.43606509095423</v>
      </c>
      <c r="AA55" s="148" t="b">
        <f>Z55=H55</f>
        <v>1</v>
      </c>
      <c r="AB55" s="148">
        <f>V55*L55</f>
        <v>85.758229438188351</v>
      </c>
      <c r="AC55" s="148">
        <f>W55*$L55</f>
        <v>17065.887658199481</v>
      </c>
      <c r="AD55" s="148">
        <f>X55*$L55</f>
        <v>0</v>
      </c>
      <c r="AE55" s="148">
        <f>SUM(AB55:AD55)</f>
        <v>17151.645887637671</v>
      </c>
      <c r="AF55" s="148">
        <f>$S55/$Y55*V55</f>
        <v>241.27713677059072</v>
      </c>
      <c r="AG55" s="148">
        <f t="shared" si="58"/>
        <v>48014.150217347553</v>
      </c>
      <c r="AH55" s="148">
        <f t="shared" si="59"/>
        <v>0</v>
      </c>
      <c r="AI55" s="148">
        <f>SUM(AF55:AH55)</f>
        <v>48255.427354118146</v>
      </c>
      <c r="AJ55" s="148">
        <f>AB55+AF55</f>
        <v>327.03536620877907</v>
      </c>
      <c r="AK55" s="148">
        <f>AC55+AG55</f>
        <v>65080.03787554703</v>
      </c>
      <c r="AL55" s="148">
        <f>AD55+AH55</f>
        <v>0</v>
      </c>
      <c r="AM55" s="148">
        <f>SUM(AJ55:AL55)</f>
        <v>65407.07324175581</v>
      </c>
    </row>
    <row r="56" spans="1:39" s="66" customFormat="1" x14ac:dyDescent="0.25">
      <c r="A56" s="66" t="s">
        <v>32</v>
      </c>
      <c r="B56" s="66">
        <f t="shared" ref="B56:AA56" si="102">SUM(B32:B55)</f>
        <v>24000</v>
      </c>
      <c r="C56" s="66">
        <f t="shared" si="102"/>
        <v>12000</v>
      </c>
      <c r="D56" s="66">
        <f t="shared" si="102"/>
        <v>2400</v>
      </c>
      <c r="E56" s="66">
        <f t="shared" si="102"/>
        <v>15236.534661646108</v>
      </c>
      <c r="F56" s="66">
        <f t="shared" si="102"/>
        <v>0</v>
      </c>
      <c r="G56" s="66">
        <f t="shared" si="102"/>
        <v>0</v>
      </c>
      <c r="H56" s="66">
        <f t="shared" si="102"/>
        <v>15236.534661646108</v>
      </c>
      <c r="I56" s="66">
        <f t="shared" si="20"/>
        <v>29</v>
      </c>
      <c r="J56" s="66">
        <f t="shared" si="21"/>
        <v>33</v>
      </c>
      <c r="K56" s="66">
        <f t="shared" si="21"/>
        <v>40</v>
      </c>
      <c r="L56" s="66">
        <f t="shared" si="102"/>
        <v>744.71999999999969</v>
      </c>
      <c r="M56" s="66">
        <f t="shared" si="102"/>
        <v>441859.50518773706</v>
      </c>
      <c r="N56" s="66">
        <f t="shared" si="102"/>
        <v>0</v>
      </c>
      <c r="O56" s="66">
        <f t="shared" si="102"/>
        <v>0</v>
      </c>
      <c r="P56" s="66">
        <f t="shared" si="102"/>
        <v>441859.50518773706</v>
      </c>
      <c r="Q56" s="66">
        <f t="shared" si="102"/>
        <v>1249846.0389430968</v>
      </c>
      <c r="R56" s="66">
        <f t="shared" si="102"/>
        <v>-766.6624428758447</v>
      </c>
      <c r="S56" s="66">
        <f t="shared" si="102"/>
        <v>1249079.376500221</v>
      </c>
      <c r="T56" s="66">
        <f t="shared" si="102"/>
        <v>71.582091322587956</v>
      </c>
      <c r="U56" s="66">
        <f t="shared" si="102"/>
        <v>76.66624428758449</v>
      </c>
      <c r="V56" s="66">
        <f t="shared" si="102"/>
        <v>-5.084152964996532</v>
      </c>
      <c r="W56" s="66">
        <f t="shared" si="102"/>
        <v>14244.836173195003</v>
      </c>
      <c r="X56" s="66">
        <f t="shared" si="102"/>
        <v>0</v>
      </c>
      <c r="Y56" s="66">
        <f t="shared" si="102"/>
        <v>14239.752020230004</v>
      </c>
      <c r="Z56" s="66">
        <f t="shared" si="102"/>
        <v>15236.534661646108</v>
      </c>
      <c r="AA56" s="66">
        <f t="shared" si="102"/>
        <v>0</v>
      </c>
      <c r="AB56" s="66">
        <f t="shared" ref="AB56" si="103">SUM(AB32:AB55)</f>
        <v>-157.76126650384245</v>
      </c>
      <c r="AC56" s="66">
        <f t="shared" ref="AC56" si="104">SUM(AC32:AC55)</f>
        <v>442017.26645424089</v>
      </c>
      <c r="AD56" s="66">
        <f t="shared" ref="AD56" si="105">SUM(AD32:AD55)</f>
        <v>0</v>
      </c>
      <c r="AE56" s="66">
        <f t="shared" ref="AE56" si="106">SUM(AE32:AE55)</f>
        <v>441859.50518773717</v>
      </c>
      <c r="AF56" s="66">
        <f t="shared" ref="AF56" si="107">SUM(AF32:AF55)</f>
        <v>-492.369764341679</v>
      </c>
      <c r="AG56" s="66">
        <f t="shared" ref="AG56" si="108">SUM(AG32:AG55)</f>
        <v>1249571.7462645627</v>
      </c>
      <c r="AH56" s="66">
        <f t="shared" ref="AH56" si="109">SUM(AH32:AH55)</f>
        <v>0</v>
      </c>
      <c r="AI56" s="66">
        <f t="shared" ref="AI56" si="110">SUM(AI32:AI55)</f>
        <v>1249079.376500221</v>
      </c>
      <c r="AJ56" s="66">
        <f t="shared" ref="AJ56" si="111">SUM(AJ32:AJ55)</f>
        <v>-650.13103084552131</v>
      </c>
      <c r="AK56" s="66">
        <f t="shared" ref="AK56" si="112">SUM(AK32:AK55)</f>
        <v>1691589.0127188032</v>
      </c>
      <c r="AL56" s="66">
        <f t="shared" ref="AL56" si="113">SUM(AL32:AL55)</f>
        <v>0</v>
      </c>
      <c r="AM56" s="66">
        <f>SUM(AM32:AM55)</f>
        <v>1690938.8816879578</v>
      </c>
    </row>
    <row r="57" spans="1:39" x14ac:dyDescent="0.25"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2"/>
      <c r="S57" s="151"/>
    </row>
    <row r="58" spans="1:39" s="66" customFormat="1" x14ac:dyDescent="0.25">
      <c r="A58" s="66" t="s">
        <v>34</v>
      </c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53"/>
      <c r="S58" s="148"/>
      <c r="T58" s="144"/>
      <c r="U58" s="144"/>
      <c r="V58" s="144"/>
    </row>
    <row r="59" spans="1:39" s="66" customFormat="1" x14ac:dyDescent="0.25">
      <c r="A59" s="66">
        <v>1</v>
      </c>
      <c r="B59" s="148">
        <f>B32</f>
        <v>1000</v>
      </c>
      <c r="C59" s="148">
        <f t="shared" ref="C59:D59" si="114">C32</f>
        <v>500</v>
      </c>
      <c r="D59" s="148">
        <f t="shared" si="114"/>
        <v>100</v>
      </c>
      <c r="E59" s="148">
        <f>IF(B59&lt;Z59,B59,Z59)</f>
        <v>707.25231926031449</v>
      </c>
      <c r="F59" s="148">
        <f>IF(C59&lt;Z59-E59,C59,Z59-E59)</f>
        <v>0</v>
      </c>
      <c r="G59" s="148">
        <f>IF(SUM(E59,F59)&lt;Z59,IF(SUM(E59,F59,D59)&lt;Z59,D59,Z59-E59-F59),0)</f>
        <v>0</v>
      </c>
      <c r="H59" s="148">
        <f>SUM(E59:G59)</f>
        <v>707.25231926031449</v>
      </c>
      <c r="I59" s="148">
        <f>I55</f>
        <v>29</v>
      </c>
      <c r="J59" s="148">
        <f>J55</f>
        <v>33</v>
      </c>
      <c r="K59" s="148">
        <v>40</v>
      </c>
      <c r="L59" s="148">
        <f t="shared" ref="L59:L81" si="115">P59/Y59</f>
        <v>31.03</v>
      </c>
      <c r="M59" s="148">
        <f>E59*I59</f>
        <v>20510.317258549119</v>
      </c>
      <c r="N59" s="148">
        <f t="shared" ref="N59:N82" si="116">F59*J59</f>
        <v>0</v>
      </c>
      <c r="O59" s="148">
        <f t="shared" ref="O59:O82" si="117">G59*K59</f>
        <v>0</v>
      </c>
      <c r="P59" s="148">
        <f>SUM(M59:O59)</f>
        <v>20510.317258549119</v>
      </c>
      <c r="Q59" s="7">
        <f>'Seasonal (WITHOUT)'!Q59</f>
        <v>57704.906629001693</v>
      </c>
      <c r="R59" s="7">
        <f>-'LOAD DATA and INPUT SEASONAL'!$A$60*U59</f>
        <v>0</v>
      </c>
      <c r="S59" s="7">
        <f>Q59+R59</f>
        <v>57704.906629001693</v>
      </c>
      <c r="T59" s="154">
        <f t="array" ref="T59:T82">TRANSPOSE('LOAD DATA and INPUT SEASONAL'!F24:AC24)</f>
        <v>3.3049173797210956</v>
      </c>
      <c r="U59" s="148">
        <f t="array" ref="U59:U82">TRANSPOSE('LOAD DATA and INPUT SEASONAL'!F56:AC56)</f>
        <v>0</v>
      </c>
      <c r="V59" s="148">
        <f>T59-U59</f>
        <v>3.3049173797210956</v>
      </c>
      <c r="W59" s="148">
        <f t="array" ref="W59:W82">TRANSPOSE('LOAD DATA and INPUT SEASONAL'!F33:AC33)</f>
        <v>657.67855856449796</v>
      </c>
      <c r="X59" s="148"/>
      <c r="Y59" s="148">
        <f t="shared" ref="Y59:Y81" si="118">SUM(V59:X59)</f>
        <v>660.98347594421909</v>
      </c>
      <c r="Z59" s="148">
        <f>Y59*1.07</f>
        <v>707.25231926031449</v>
      </c>
      <c r="AA59" s="148" t="b">
        <f>Z59=H59</f>
        <v>1</v>
      </c>
      <c r="AB59" s="148">
        <f>V59*L59</f>
        <v>102.5515862927456</v>
      </c>
      <c r="AC59" s="148">
        <f>W59*$L59</f>
        <v>20407.765672256373</v>
      </c>
      <c r="AD59" s="148">
        <f>X59*$L59</f>
        <v>0</v>
      </c>
      <c r="AE59" s="148">
        <f>SUM(AB59:AD59)</f>
        <v>20510.317258549119</v>
      </c>
      <c r="AF59" s="148">
        <f>$S59/$Y59*V59</f>
        <v>288.52453314500843</v>
      </c>
      <c r="AG59" s="148">
        <f>$S59/$Y59*W59</f>
        <v>57416.382095856679</v>
      </c>
      <c r="AH59" s="148">
        <f>$S59/$Y59*X59</f>
        <v>0</v>
      </c>
      <c r="AI59" s="148">
        <f>SUM(AF59:AH59)</f>
        <v>57704.906629001685</v>
      </c>
      <c r="AJ59" s="148">
        <f>AB59+AF59</f>
        <v>391.07611943775402</v>
      </c>
      <c r="AK59" s="148">
        <f>AC59+AG59</f>
        <v>77824.147768113049</v>
      </c>
      <c r="AL59" s="148">
        <f>AD59+AH59</f>
        <v>0</v>
      </c>
      <c r="AM59" s="148">
        <f>SUM(AJ59:AL59)</f>
        <v>78215.223887550805</v>
      </c>
    </row>
    <row r="60" spans="1:39" s="66" customFormat="1" x14ac:dyDescent="0.25">
      <c r="A60" s="66">
        <v>2</v>
      </c>
      <c r="B60" s="148">
        <f t="shared" ref="B60:D60" si="119">B33</f>
        <v>1000</v>
      </c>
      <c r="C60" s="148">
        <f t="shared" si="119"/>
        <v>500</v>
      </c>
      <c r="D60" s="148">
        <f t="shared" si="119"/>
        <v>100</v>
      </c>
      <c r="E60" s="148">
        <f t="shared" ref="E60:E82" si="120">IF(B60&lt;Z60,B60,Z60)</f>
        <v>585.66232414292415</v>
      </c>
      <c r="F60" s="148">
        <f t="shared" ref="F60:F82" si="121">IF(C60&lt;Z60-E60,C60,Z60-E60)</f>
        <v>0</v>
      </c>
      <c r="G60" s="148">
        <f t="shared" ref="G60:G82" si="122">IF(SUM(E60,F60)&lt;Z60,IF(SUM(E60,F60,D60)&lt;Z60,D60,Z60-E60-F60),0)</f>
        <v>0</v>
      </c>
      <c r="H60" s="148">
        <f t="shared" ref="H60:H78" si="123">SUM(E60:G60)</f>
        <v>585.66232414292415</v>
      </c>
      <c r="I60" s="148">
        <f t="shared" si="20"/>
        <v>29</v>
      </c>
      <c r="J60" s="148">
        <f t="shared" si="21"/>
        <v>33</v>
      </c>
      <c r="K60" s="148">
        <v>40</v>
      </c>
      <c r="L60" s="148">
        <f t="shared" si="115"/>
        <v>31.03</v>
      </c>
      <c r="M60" s="148">
        <f t="shared" ref="M60:M78" si="124">E60*I60</f>
        <v>16984.207400144802</v>
      </c>
      <c r="N60" s="148">
        <f t="shared" si="116"/>
        <v>0</v>
      </c>
      <c r="O60" s="148">
        <f t="shared" si="117"/>
        <v>0</v>
      </c>
      <c r="P60" s="148">
        <f t="shared" ref="P60:P78" si="125">SUM(M60:O60)</f>
        <v>16984.207400144802</v>
      </c>
      <c r="Q60" s="7">
        <f>'Seasonal (WITHOUT)'!Q60</f>
        <v>47784.346279891957</v>
      </c>
      <c r="R60" s="7">
        <f>-'LOAD DATA and INPUT SEASONAL'!$A$60*U60</f>
        <v>0</v>
      </c>
      <c r="S60" s="7">
        <f t="shared" ref="S60:S82" si="126">Q60+R60</f>
        <v>47784.346279891957</v>
      </c>
      <c r="T60" s="154">
        <v>2.736739832443571</v>
      </c>
      <c r="U60" s="148">
        <v>0</v>
      </c>
      <c r="V60" s="148">
        <f t="shared" ref="V60:V81" si="127">T60-U60</f>
        <v>2.736739832443571</v>
      </c>
      <c r="W60" s="148">
        <v>544.61122665627056</v>
      </c>
      <c r="X60" s="148"/>
      <c r="Y60" s="148">
        <f t="shared" si="118"/>
        <v>547.34796648871418</v>
      </c>
      <c r="Z60" s="148">
        <f t="shared" ref="Z60:Z81" si="128">Y60*1.07</f>
        <v>585.66232414292415</v>
      </c>
      <c r="AA60" s="148" t="b">
        <f t="shared" ref="AA60:AA78" si="129">Z60=H60</f>
        <v>1</v>
      </c>
      <c r="AB60" s="148">
        <f t="shared" ref="AB60:AB72" si="130">V60*L60</f>
        <v>84.921037000724013</v>
      </c>
      <c r="AC60" s="148">
        <f t="shared" ref="AC60:AC78" si="131">W60*$L60</f>
        <v>16899.286363144078</v>
      </c>
      <c r="AD60" s="148">
        <f t="shared" ref="AD60:AD78" si="132">X60*$L60</f>
        <v>0</v>
      </c>
      <c r="AE60" s="148">
        <f t="shared" ref="AE60:AE78" si="133">SUM(AB60:AD60)</f>
        <v>16984.207400144802</v>
      </c>
      <c r="AF60" s="148">
        <f t="shared" ref="AF60:AF78" si="134">$S60/$Y60*V60</f>
        <v>238.92173139945982</v>
      </c>
      <c r="AG60" s="148">
        <f t="shared" ref="AG60:AG82" si="135">$S60/$Y60*W60</f>
        <v>47545.424548492498</v>
      </c>
      <c r="AH60" s="148">
        <f t="shared" ref="AH60:AH82" si="136">$S60/$Y60*X60</f>
        <v>0</v>
      </c>
      <c r="AI60" s="148">
        <f t="shared" ref="AI60:AI78" si="137">SUM(AF60:AH60)</f>
        <v>47784.346279891957</v>
      </c>
      <c r="AJ60" s="148">
        <f t="shared" ref="AJ60:AJ78" si="138">AB60+AF60</f>
        <v>323.84276840018384</v>
      </c>
      <c r="AK60" s="148">
        <f t="shared" ref="AK60:AK78" si="139">AC60+AG60</f>
        <v>64444.710911636575</v>
      </c>
      <c r="AL60" s="148">
        <f t="shared" ref="AL60:AL78" si="140">AD60+AH60</f>
        <v>0</v>
      </c>
      <c r="AM60" s="148">
        <f t="shared" ref="AM60:AM78" si="141">SUM(AJ60:AL60)</f>
        <v>64768.553680036763</v>
      </c>
    </row>
    <row r="61" spans="1:39" s="66" customFormat="1" x14ac:dyDescent="0.25">
      <c r="A61" s="66">
        <v>3</v>
      </c>
      <c r="B61" s="148">
        <f t="shared" ref="B61:D61" si="142">B34</f>
        <v>1000</v>
      </c>
      <c r="C61" s="148">
        <f t="shared" si="142"/>
        <v>500</v>
      </c>
      <c r="D61" s="148">
        <f t="shared" si="142"/>
        <v>100</v>
      </c>
      <c r="E61" s="148">
        <f t="shared" si="120"/>
        <v>524.05806724806985</v>
      </c>
      <c r="F61" s="148">
        <f t="shared" si="121"/>
        <v>0</v>
      </c>
      <c r="G61" s="148">
        <f t="shared" si="122"/>
        <v>0</v>
      </c>
      <c r="H61" s="148">
        <f t="shared" si="123"/>
        <v>524.05806724806985</v>
      </c>
      <c r="I61" s="148">
        <f t="shared" si="20"/>
        <v>29</v>
      </c>
      <c r="J61" s="148">
        <f t="shared" si="21"/>
        <v>33</v>
      </c>
      <c r="K61" s="148">
        <v>40</v>
      </c>
      <c r="L61" s="148">
        <f t="shared" si="115"/>
        <v>31.03</v>
      </c>
      <c r="M61" s="148">
        <f t="shared" si="124"/>
        <v>15197.683950194025</v>
      </c>
      <c r="N61" s="148">
        <f t="shared" si="116"/>
        <v>0</v>
      </c>
      <c r="O61" s="148">
        <f t="shared" si="117"/>
        <v>0</v>
      </c>
      <c r="P61" s="148">
        <f t="shared" si="125"/>
        <v>15197.683950194025</v>
      </c>
      <c r="Q61" s="7">
        <f>'Seasonal (WITHOUT)'!Q61</f>
        <v>42758.038418809942</v>
      </c>
      <c r="R61" s="7">
        <f>-'LOAD DATA and INPUT SEASONAL'!$A$60*U61</f>
        <v>0</v>
      </c>
      <c r="S61" s="7">
        <f t="shared" si="126"/>
        <v>42758.038418809942</v>
      </c>
      <c r="T61" s="154">
        <v>2.4488694731218215</v>
      </c>
      <c r="U61" s="148">
        <v>0</v>
      </c>
      <c r="V61" s="148">
        <f t="shared" si="127"/>
        <v>2.4488694731218215</v>
      </c>
      <c r="W61" s="148">
        <v>487.32502515124247</v>
      </c>
      <c r="X61" s="148"/>
      <c r="Y61" s="148">
        <f t="shared" si="118"/>
        <v>489.77389462436429</v>
      </c>
      <c r="Z61" s="148">
        <f t="shared" si="128"/>
        <v>524.05806724806985</v>
      </c>
      <c r="AA61" s="148" t="b">
        <f t="shared" si="129"/>
        <v>1</v>
      </c>
      <c r="AB61" s="148">
        <f t="shared" si="130"/>
        <v>75.988419750970124</v>
      </c>
      <c r="AC61" s="148">
        <f t="shared" si="131"/>
        <v>15121.695530443054</v>
      </c>
      <c r="AD61" s="148">
        <f t="shared" si="132"/>
        <v>0</v>
      </c>
      <c r="AE61" s="148">
        <f t="shared" si="133"/>
        <v>15197.683950194025</v>
      </c>
      <c r="AF61" s="148">
        <f t="shared" si="134"/>
        <v>213.79019209404973</v>
      </c>
      <c r="AG61" s="148">
        <f t="shared" si="135"/>
        <v>42544.248226715892</v>
      </c>
      <c r="AH61" s="148">
        <f t="shared" si="136"/>
        <v>0</v>
      </c>
      <c r="AI61" s="148">
        <f t="shared" si="137"/>
        <v>42758.038418809942</v>
      </c>
      <c r="AJ61" s="148">
        <f t="shared" si="138"/>
        <v>289.77861184501984</v>
      </c>
      <c r="AK61" s="148">
        <f t="shared" si="139"/>
        <v>57665.943757158944</v>
      </c>
      <c r="AL61" s="148">
        <f t="shared" si="140"/>
        <v>0</v>
      </c>
      <c r="AM61" s="148">
        <f t="shared" si="141"/>
        <v>57955.722369003961</v>
      </c>
    </row>
    <row r="62" spans="1:39" s="66" customFormat="1" x14ac:dyDescent="0.25">
      <c r="A62" s="66">
        <v>4</v>
      </c>
      <c r="B62" s="148">
        <f t="shared" ref="B62:D62" si="143">B35</f>
        <v>1000</v>
      </c>
      <c r="C62" s="148">
        <f t="shared" si="143"/>
        <v>500</v>
      </c>
      <c r="D62" s="148">
        <f t="shared" si="143"/>
        <v>100</v>
      </c>
      <c r="E62" s="148">
        <f t="shared" si="120"/>
        <v>496.97334670970702</v>
      </c>
      <c r="F62" s="148">
        <f t="shared" si="121"/>
        <v>0</v>
      </c>
      <c r="G62" s="148">
        <f t="shared" si="122"/>
        <v>0</v>
      </c>
      <c r="H62" s="148">
        <f t="shared" si="123"/>
        <v>496.97334670970702</v>
      </c>
      <c r="I62" s="148">
        <f t="shared" si="20"/>
        <v>29</v>
      </c>
      <c r="J62" s="148">
        <f t="shared" si="21"/>
        <v>33</v>
      </c>
      <c r="K62" s="148">
        <v>40</v>
      </c>
      <c r="L62" s="148">
        <f t="shared" si="115"/>
        <v>31.03</v>
      </c>
      <c r="M62" s="148">
        <f t="shared" si="124"/>
        <v>14412.227054581503</v>
      </c>
      <c r="N62" s="148">
        <f t="shared" si="116"/>
        <v>0</v>
      </c>
      <c r="O62" s="148">
        <f t="shared" si="117"/>
        <v>0</v>
      </c>
      <c r="P62" s="148">
        <f t="shared" si="125"/>
        <v>14412.227054581503</v>
      </c>
      <c r="Q62" s="7">
        <f>'Seasonal (WITHOUT)'!Q62</f>
        <v>40548.188797710885</v>
      </c>
      <c r="R62" s="7">
        <f>-'LOAD DATA and INPUT SEASONAL'!$A$60*U62</f>
        <v>0</v>
      </c>
      <c r="S62" s="7">
        <f t="shared" si="126"/>
        <v>40548.188797710885</v>
      </c>
      <c r="T62" s="154">
        <v>2.3223053584565747</v>
      </c>
      <c r="U62" s="148">
        <v>0</v>
      </c>
      <c r="V62" s="148">
        <f t="shared" si="127"/>
        <v>2.3223053584565747</v>
      </c>
      <c r="W62" s="148">
        <v>462.13876633285838</v>
      </c>
      <c r="X62" s="148"/>
      <c r="Y62" s="148">
        <f t="shared" si="118"/>
        <v>464.46107169131494</v>
      </c>
      <c r="Z62" s="148">
        <f t="shared" si="128"/>
        <v>496.97334670970702</v>
      </c>
      <c r="AA62" s="148" t="b">
        <f t="shared" si="129"/>
        <v>1</v>
      </c>
      <c r="AB62" s="148">
        <f t="shared" si="130"/>
        <v>72.061135272907521</v>
      </c>
      <c r="AC62" s="148">
        <f t="shared" si="131"/>
        <v>14340.165919308596</v>
      </c>
      <c r="AD62" s="148">
        <f t="shared" si="132"/>
        <v>0</v>
      </c>
      <c r="AE62" s="148">
        <f t="shared" si="133"/>
        <v>14412.227054581504</v>
      </c>
      <c r="AF62" s="148">
        <f t="shared" si="134"/>
        <v>202.74094398855445</v>
      </c>
      <c r="AG62" s="148">
        <f t="shared" si="135"/>
        <v>40345.447853722333</v>
      </c>
      <c r="AH62" s="148">
        <f t="shared" si="136"/>
        <v>0</v>
      </c>
      <c r="AI62" s="148">
        <f t="shared" si="137"/>
        <v>40548.188797710885</v>
      </c>
      <c r="AJ62" s="148">
        <f t="shared" si="138"/>
        <v>274.80207926146198</v>
      </c>
      <c r="AK62" s="148">
        <f t="shared" si="139"/>
        <v>54685.613773030927</v>
      </c>
      <c r="AL62" s="148">
        <f t="shared" si="140"/>
        <v>0</v>
      </c>
      <c r="AM62" s="148">
        <f t="shared" si="141"/>
        <v>54960.41585229239</v>
      </c>
    </row>
    <row r="63" spans="1:39" s="66" customFormat="1" x14ac:dyDescent="0.25">
      <c r="A63" s="66">
        <v>5</v>
      </c>
      <c r="B63" s="148">
        <f t="shared" ref="B63:D63" si="144">B36</f>
        <v>1000</v>
      </c>
      <c r="C63" s="148">
        <f t="shared" si="144"/>
        <v>500</v>
      </c>
      <c r="D63" s="148">
        <f t="shared" si="144"/>
        <v>100</v>
      </c>
      <c r="E63" s="148">
        <f t="shared" si="120"/>
        <v>485.92901022431982</v>
      </c>
      <c r="F63" s="148">
        <f t="shared" si="121"/>
        <v>0</v>
      </c>
      <c r="G63" s="148">
        <f t="shared" si="122"/>
        <v>0</v>
      </c>
      <c r="H63" s="148">
        <f t="shared" si="123"/>
        <v>485.92901022431982</v>
      </c>
      <c r="I63" s="148">
        <f t="shared" si="20"/>
        <v>29</v>
      </c>
      <c r="J63" s="148">
        <f t="shared" si="21"/>
        <v>33</v>
      </c>
      <c r="K63" s="148">
        <v>40</v>
      </c>
      <c r="L63" s="148">
        <f t="shared" si="115"/>
        <v>31.03</v>
      </c>
      <c r="M63" s="148">
        <f t="shared" si="124"/>
        <v>14091.941296505274</v>
      </c>
      <c r="N63" s="148">
        <f t="shared" si="116"/>
        <v>0</v>
      </c>
      <c r="O63" s="148">
        <f t="shared" si="117"/>
        <v>0</v>
      </c>
      <c r="P63" s="148">
        <f t="shared" si="125"/>
        <v>14091.941296505274</v>
      </c>
      <c r="Q63" s="7">
        <f>'Seasonal (WITHOUT)'!Q63</f>
        <v>39647.078418412195</v>
      </c>
      <c r="R63" s="7">
        <f>-'LOAD DATA and INPUT SEASONAL'!$A$60*U63</f>
        <v>0</v>
      </c>
      <c r="S63" s="7">
        <f t="shared" si="126"/>
        <v>39647.078418412195</v>
      </c>
      <c r="T63" s="154">
        <v>2.2706963094594381</v>
      </c>
      <c r="U63" s="148">
        <v>0</v>
      </c>
      <c r="V63" s="148">
        <f t="shared" si="127"/>
        <v>2.2706963094594381</v>
      </c>
      <c r="W63" s="148">
        <v>451.86856558242823</v>
      </c>
      <c r="X63" s="148"/>
      <c r="Y63" s="148">
        <f t="shared" si="118"/>
        <v>454.13926189188766</v>
      </c>
      <c r="Z63" s="148">
        <f t="shared" si="128"/>
        <v>485.92901022431982</v>
      </c>
      <c r="AA63" s="148" t="b">
        <f t="shared" si="129"/>
        <v>1</v>
      </c>
      <c r="AB63" s="148">
        <f t="shared" si="130"/>
        <v>70.459706482526371</v>
      </c>
      <c r="AC63" s="148">
        <f t="shared" si="131"/>
        <v>14021.481590022748</v>
      </c>
      <c r="AD63" s="148">
        <f t="shared" si="132"/>
        <v>0</v>
      </c>
      <c r="AE63" s="148">
        <f t="shared" si="133"/>
        <v>14091.941296505274</v>
      </c>
      <c r="AF63" s="148">
        <f t="shared" si="134"/>
        <v>198.23539209206098</v>
      </c>
      <c r="AG63" s="148">
        <f t="shared" si="135"/>
        <v>39448.843026320137</v>
      </c>
      <c r="AH63" s="148">
        <f t="shared" si="136"/>
        <v>0</v>
      </c>
      <c r="AI63" s="148">
        <f t="shared" si="137"/>
        <v>39647.078418412195</v>
      </c>
      <c r="AJ63" s="148">
        <f t="shared" si="138"/>
        <v>268.69509857458735</v>
      </c>
      <c r="AK63" s="148">
        <f t="shared" si="139"/>
        <v>53470.324616342885</v>
      </c>
      <c r="AL63" s="148">
        <f t="shared" si="140"/>
        <v>0</v>
      </c>
      <c r="AM63" s="148">
        <f t="shared" si="141"/>
        <v>53739.019714917471</v>
      </c>
    </row>
    <row r="64" spans="1:39" s="66" customFormat="1" x14ac:dyDescent="0.25">
      <c r="A64" s="66">
        <v>6</v>
      </c>
      <c r="B64" s="148">
        <f t="shared" ref="B64:D64" si="145">B37</f>
        <v>1000</v>
      </c>
      <c r="C64" s="148">
        <f t="shared" si="145"/>
        <v>500</v>
      </c>
      <c r="D64" s="148">
        <f t="shared" si="145"/>
        <v>100</v>
      </c>
      <c r="E64" s="148">
        <f t="shared" si="120"/>
        <v>467.56682013001034</v>
      </c>
      <c r="F64" s="148">
        <f t="shared" si="121"/>
        <v>0</v>
      </c>
      <c r="G64" s="148">
        <f t="shared" si="122"/>
        <v>0</v>
      </c>
      <c r="H64" s="148">
        <f t="shared" si="123"/>
        <v>467.56682013001034</v>
      </c>
      <c r="I64" s="148">
        <f t="shared" si="20"/>
        <v>29</v>
      </c>
      <c r="J64" s="148">
        <f t="shared" si="21"/>
        <v>33</v>
      </c>
      <c r="K64" s="148">
        <v>40</v>
      </c>
      <c r="L64" s="148">
        <f t="shared" si="115"/>
        <v>31.029999999999998</v>
      </c>
      <c r="M64" s="148">
        <f t="shared" si="124"/>
        <v>13559.4377837703</v>
      </c>
      <c r="N64" s="148">
        <f t="shared" si="116"/>
        <v>0</v>
      </c>
      <c r="O64" s="148">
        <f t="shared" si="117"/>
        <v>0</v>
      </c>
      <c r="P64" s="148">
        <f t="shared" si="125"/>
        <v>13559.4377837703</v>
      </c>
      <c r="Q64" s="7">
        <f>'Seasonal (WITHOUT)'!Q64</f>
        <v>38149.564008903209</v>
      </c>
      <c r="R64" s="7">
        <f>-'LOAD DATA and INPUT SEASONAL'!$A$60*U64</f>
        <v>-7.5784489152263296E-2</v>
      </c>
      <c r="S64" s="7">
        <f t="shared" si="126"/>
        <v>38149.488224414061</v>
      </c>
      <c r="T64" s="154">
        <v>2.1849295750950919</v>
      </c>
      <c r="U64" s="148">
        <v>7.5784489152263294E-3</v>
      </c>
      <c r="V64" s="148">
        <f t="shared" si="127"/>
        <v>2.1773511261798655</v>
      </c>
      <c r="W64" s="148">
        <v>434.80098544392325</v>
      </c>
      <c r="X64" s="148"/>
      <c r="Y64" s="148">
        <f t="shared" si="118"/>
        <v>436.97833657010312</v>
      </c>
      <c r="Z64" s="148">
        <f t="shared" si="128"/>
        <v>467.56682013001034</v>
      </c>
      <c r="AA64" s="148" t="b">
        <f t="shared" si="129"/>
        <v>1</v>
      </c>
      <c r="AB64" s="148">
        <f t="shared" si="130"/>
        <v>67.56320544536122</v>
      </c>
      <c r="AC64" s="148">
        <f t="shared" si="131"/>
        <v>13491.874578324938</v>
      </c>
      <c r="AD64" s="148">
        <f t="shared" si="132"/>
        <v>0</v>
      </c>
      <c r="AE64" s="148">
        <f t="shared" si="133"/>
        <v>13559.4377837703</v>
      </c>
      <c r="AF64" s="148">
        <f t="shared" si="134"/>
        <v>190.08912844650283</v>
      </c>
      <c r="AG64" s="148">
        <f t="shared" si="135"/>
        <v>37959.399095967558</v>
      </c>
      <c r="AH64" s="148">
        <f t="shared" si="136"/>
        <v>0</v>
      </c>
      <c r="AI64" s="148">
        <f t="shared" si="137"/>
        <v>38149.488224414061</v>
      </c>
      <c r="AJ64" s="148">
        <f t="shared" si="138"/>
        <v>257.65233389186403</v>
      </c>
      <c r="AK64" s="148">
        <f t="shared" si="139"/>
        <v>51451.273674292497</v>
      </c>
      <c r="AL64" s="148">
        <f t="shared" si="140"/>
        <v>0</v>
      </c>
      <c r="AM64" s="148">
        <f t="shared" si="141"/>
        <v>51708.92600818436</v>
      </c>
    </row>
    <row r="65" spans="1:39" s="66" customFormat="1" x14ac:dyDescent="0.25">
      <c r="A65" s="66">
        <v>7</v>
      </c>
      <c r="B65" s="148">
        <f t="shared" ref="B65:D65" si="146">B38</f>
        <v>1000</v>
      </c>
      <c r="C65" s="148">
        <f t="shared" si="146"/>
        <v>500</v>
      </c>
      <c r="D65" s="148">
        <f t="shared" si="146"/>
        <v>100</v>
      </c>
      <c r="E65" s="148">
        <f t="shared" si="120"/>
        <v>494.39544464771916</v>
      </c>
      <c r="F65" s="148">
        <f t="shared" si="121"/>
        <v>0</v>
      </c>
      <c r="G65" s="148">
        <f t="shared" si="122"/>
        <v>0</v>
      </c>
      <c r="H65" s="148">
        <f t="shared" si="123"/>
        <v>494.39544464771916</v>
      </c>
      <c r="I65" s="148">
        <f t="shared" si="20"/>
        <v>29</v>
      </c>
      <c r="J65" s="148">
        <f t="shared" si="21"/>
        <v>33</v>
      </c>
      <c r="K65" s="148">
        <v>40</v>
      </c>
      <c r="L65" s="148">
        <f t="shared" si="115"/>
        <v>31.03</v>
      </c>
      <c r="M65" s="148">
        <f t="shared" si="124"/>
        <v>14337.467894783855</v>
      </c>
      <c r="N65" s="148">
        <f t="shared" si="116"/>
        <v>0</v>
      </c>
      <c r="O65" s="148">
        <f t="shared" si="117"/>
        <v>0</v>
      </c>
      <c r="P65" s="148">
        <f t="shared" si="125"/>
        <v>14337.467894783855</v>
      </c>
      <c r="Q65" s="7">
        <f>'Seasonal (WITHOUT)'!Q65</f>
        <v>40366.870956758954</v>
      </c>
      <c r="R65" s="7">
        <f>-'LOAD DATA and INPUT SEASONAL'!$A$60*U65</f>
        <v>-3.3234081259831267</v>
      </c>
      <c r="S65" s="7">
        <f t="shared" si="126"/>
        <v>40363.547548632974</v>
      </c>
      <c r="T65" s="154">
        <v>2.311920791201866</v>
      </c>
      <c r="U65" s="148">
        <v>0.33234081259831266</v>
      </c>
      <c r="V65" s="148">
        <f t="shared" si="127"/>
        <v>1.9795799786035533</v>
      </c>
      <c r="W65" s="148">
        <v>460.07223744917133</v>
      </c>
      <c r="X65" s="148"/>
      <c r="Y65" s="148">
        <f t="shared" si="118"/>
        <v>462.05181742777489</v>
      </c>
      <c r="Z65" s="148">
        <f t="shared" si="128"/>
        <v>494.39544464771916</v>
      </c>
      <c r="AA65" s="148" t="b">
        <f t="shared" si="129"/>
        <v>1</v>
      </c>
      <c r="AB65" s="148">
        <f t="shared" si="130"/>
        <v>61.42636673606826</v>
      </c>
      <c r="AC65" s="148">
        <f t="shared" si="131"/>
        <v>14276.041528047786</v>
      </c>
      <c r="AD65" s="148">
        <f t="shared" si="132"/>
        <v>0</v>
      </c>
      <c r="AE65" s="148">
        <f t="shared" si="133"/>
        <v>14337.467894783855</v>
      </c>
      <c r="AF65" s="148">
        <f t="shared" si="134"/>
        <v>172.93054064261156</v>
      </c>
      <c r="AG65" s="148">
        <f t="shared" si="135"/>
        <v>40190.61700799036</v>
      </c>
      <c r="AH65" s="148">
        <f t="shared" si="136"/>
        <v>0</v>
      </c>
      <c r="AI65" s="148">
        <f t="shared" si="137"/>
        <v>40363.547548632974</v>
      </c>
      <c r="AJ65" s="148">
        <f t="shared" si="138"/>
        <v>234.35690737867981</v>
      </c>
      <c r="AK65" s="148">
        <f t="shared" si="139"/>
        <v>54466.658536038143</v>
      </c>
      <c r="AL65" s="148">
        <f t="shared" si="140"/>
        <v>0</v>
      </c>
      <c r="AM65" s="148">
        <f t="shared" si="141"/>
        <v>54701.015443416822</v>
      </c>
    </row>
    <row r="66" spans="1:39" s="66" customFormat="1" x14ac:dyDescent="0.25">
      <c r="A66" s="66">
        <v>8</v>
      </c>
      <c r="B66" s="148">
        <f t="shared" ref="B66:D66" si="147">B39</f>
        <v>1000</v>
      </c>
      <c r="C66" s="148">
        <f t="shared" si="147"/>
        <v>500</v>
      </c>
      <c r="D66" s="148">
        <f t="shared" si="147"/>
        <v>100</v>
      </c>
      <c r="E66" s="148">
        <f t="shared" si="120"/>
        <v>565.76391479652057</v>
      </c>
      <c r="F66" s="148">
        <f t="shared" si="121"/>
        <v>0</v>
      </c>
      <c r="G66" s="148">
        <f t="shared" si="122"/>
        <v>0</v>
      </c>
      <c r="H66" s="148">
        <f t="shared" si="123"/>
        <v>565.76391479652057</v>
      </c>
      <c r="I66" s="148">
        <f t="shared" si="20"/>
        <v>29</v>
      </c>
      <c r="J66" s="148">
        <f t="shared" si="21"/>
        <v>33</v>
      </c>
      <c r="K66" s="148">
        <v>40</v>
      </c>
      <c r="L66" s="148">
        <f t="shared" si="115"/>
        <v>31.030000000000005</v>
      </c>
      <c r="M66" s="148">
        <f t="shared" si="124"/>
        <v>16407.153529099098</v>
      </c>
      <c r="N66" s="148">
        <f t="shared" si="116"/>
        <v>0</v>
      </c>
      <c r="O66" s="148">
        <f t="shared" si="117"/>
        <v>0</v>
      </c>
      <c r="P66" s="148">
        <f t="shared" si="125"/>
        <v>16407.153529099098</v>
      </c>
      <c r="Q66" s="7">
        <f>'Seasonal (WITHOUT)'!Q66</f>
        <v>46403.426880005332</v>
      </c>
      <c r="R66" s="7">
        <f>-'LOAD DATA and INPUT SEASONAL'!$A$60*U66</f>
        <v>-27.788402136228811</v>
      </c>
      <c r="S66" s="7">
        <f t="shared" si="126"/>
        <v>46375.638477869106</v>
      </c>
      <c r="T66" s="154">
        <v>2.6576508122668083</v>
      </c>
      <c r="U66" s="148">
        <v>2.7788402136228809</v>
      </c>
      <c r="V66" s="148">
        <f t="shared" si="127"/>
        <v>-0.12118940135607259</v>
      </c>
      <c r="W66" s="148">
        <v>528.87251164109489</v>
      </c>
      <c r="X66" s="148"/>
      <c r="Y66" s="148">
        <f t="shared" si="118"/>
        <v>528.75132223973878</v>
      </c>
      <c r="Z66" s="148">
        <f t="shared" si="128"/>
        <v>565.76391479652057</v>
      </c>
      <c r="AA66" s="148" t="b">
        <f t="shared" si="129"/>
        <v>1</v>
      </c>
      <c r="AB66" s="148">
        <f t="shared" si="130"/>
        <v>-3.760507124078933</v>
      </c>
      <c r="AC66" s="148">
        <f t="shared" si="131"/>
        <v>16410.914036223177</v>
      </c>
      <c r="AD66" s="148">
        <f t="shared" si="132"/>
        <v>0</v>
      </c>
      <c r="AE66" s="148">
        <f t="shared" si="133"/>
        <v>16407.153529099098</v>
      </c>
      <c r="AF66" s="148">
        <f t="shared" si="134"/>
        <v>-10.629261106774795</v>
      </c>
      <c r="AG66" s="148">
        <f t="shared" si="135"/>
        <v>46386.267738975883</v>
      </c>
      <c r="AH66" s="148">
        <f t="shared" si="136"/>
        <v>0</v>
      </c>
      <c r="AI66" s="148">
        <f t="shared" si="137"/>
        <v>46375.638477869106</v>
      </c>
      <c r="AJ66" s="148">
        <f t="shared" si="138"/>
        <v>-14.389768230853727</v>
      </c>
      <c r="AK66" s="148">
        <f t="shared" si="139"/>
        <v>62797.18177519906</v>
      </c>
      <c r="AL66" s="148">
        <f t="shared" si="140"/>
        <v>0</v>
      </c>
      <c r="AM66" s="148">
        <f t="shared" si="141"/>
        <v>62782.792006968208</v>
      </c>
    </row>
    <row r="67" spans="1:39" s="66" customFormat="1" x14ac:dyDescent="0.25">
      <c r="A67" s="66">
        <v>9</v>
      </c>
      <c r="B67" s="148">
        <f t="shared" ref="B67:D67" si="148">B40</f>
        <v>1000</v>
      </c>
      <c r="C67" s="148">
        <f t="shared" si="148"/>
        <v>500</v>
      </c>
      <c r="D67" s="148">
        <f t="shared" si="148"/>
        <v>100</v>
      </c>
      <c r="E67" s="148">
        <f t="shared" si="120"/>
        <v>644.71097082074903</v>
      </c>
      <c r="F67" s="148">
        <f t="shared" si="121"/>
        <v>0</v>
      </c>
      <c r="G67" s="148">
        <f t="shared" si="122"/>
        <v>0</v>
      </c>
      <c r="H67" s="148">
        <f t="shared" si="123"/>
        <v>644.71097082074903</v>
      </c>
      <c r="I67" s="148">
        <f t="shared" si="20"/>
        <v>29</v>
      </c>
      <c r="J67" s="148">
        <f t="shared" si="21"/>
        <v>33</v>
      </c>
      <c r="K67" s="148">
        <v>40</v>
      </c>
      <c r="L67" s="148">
        <f t="shared" si="115"/>
        <v>31.03</v>
      </c>
      <c r="M67" s="148">
        <f t="shared" si="124"/>
        <v>18696.618153801723</v>
      </c>
      <c r="N67" s="148">
        <f t="shared" si="116"/>
        <v>0</v>
      </c>
      <c r="O67" s="148">
        <f t="shared" si="117"/>
        <v>0</v>
      </c>
      <c r="P67" s="148">
        <f t="shared" si="125"/>
        <v>18696.618153801723</v>
      </c>
      <c r="Q67" s="7">
        <f>'Seasonal (WITHOUT)'!Q67</f>
        <v>53096.761369600914</v>
      </c>
      <c r="R67" s="7">
        <f>-'LOAD DATA and INPUT SEASONAL'!$A$60*U67</f>
        <v>-56.656490188199761</v>
      </c>
      <c r="S67" s="7">
        <f t="shared" si="126"/>
        <v>53040.104879412713</v>
      </c>
      <c r="T67" s="154">
        <v>3.0409963330415253</v>
      </c>
      <c r="U67" s="148">
        <v>5.665649018819976</v>
      </c>
      <c r="V67" s="148">
        <f t="shared" si="127"/>
        <v>-2.6246526857784507</v>
      </c>
      <c r="W67" s="148">
        <v>605.15827027526348</v>
      </c>
      <c r="X67" s="148"/>
      <c r="Y67" s="148">
        <f t="shared" si="118"/>
        <v>602.53361758948506</v>
      </c>
      <c r="Z67" s="148">
        <f t="shared" si="128"/>
        <v>644.71097082074903</v>
      </c>
      <c r="AA67" s="148" t="b">
        <f t="shared" si="129"/>
        <v>1</v>
      </c>
      <c r="AB67" s="148">
        <f t="shared" si="130"/>
        <v>-81.442972839705334</v>
      </c>
      <c r="AC67" s="148">
        <f t="shared" si="131"/>
        <v>18778.061126641427</v>
      </c>
      <c r="AD67" s="148">
        <f t="shared" si="132"/>
        <v>0</v>
      </c>
      <c r="AE67" s="148">
        <f t="shared" si="133"/>
        <v>18696.618153801723</v>
      </c>
      <c r="AF67" s="148">
        <f t="shared" si="134"/>
        <v>-231.04412710224634</v>
      </c>
      <c r="AG67" s="148">
        <f t="shared" si="135"/>
        <v>53271.149006514956</v>
      </c>
      <c r="AH67" s="148">
        <f t="shared" si="136"/>
        <v>0</v>
      </c>
      <c r="AI67" s="148">
        <f t="shared" si="137"/>
        <v>53040.104879412713</v>
      </c>
      <c r="AJ67" s="148">
        <f t="shared" si="138"/>
        <v>-312.48709994195167</v>
      </c>
      <c r="AK67" s="148">
        <f t="shared" si="139"/>
        <v>72049.21013315639</v>
      </c>
      <c r="AL67" s="148">
        <f t="shared" si="140"/>
        <v>0</v>
      </c>
      <c r="AM67" s="148">
        <f t="shared" si="141"/>
        <v>71736.723033214439</v>
      </c>
    </row>
    <row r="68" spans="1:39" s="66" customFormat="1" x14ac:dyDescent="0.25">
      <c r="A68" s="66">
        <v>10</v>
      </c>
      <c r="B68" s="148">
        <f t="shared" ref="B68:D68" si="149">B41</f>
        <v>1000</v>
      </c>
      <c r="C68" s="148">
        <f t="shared" si="149"/>
        <v>500</v>
      </c>
      <c r="D68" s="148">
        <f t="shared" si="149"/>
        <v>100</v>
      </c>
      <c r="E68" s="148">
        <f t="shared" si="120"/>
        <v>713.82994673221242</v>
      </c>
      <c r="F68" s="148">
        <f t="shared" si="121"/>
        <v>0</v>
      </c>
      <c r="G68" s="148">
        <f t="shared" si="122"/>
        <v>0</v>
      </c>
      <c r="H68" s="148">
        <f t="shared" si="123"/>
        <v>713.82994673221242</v>
      </c>
      <c r="I68" s="148">
        <f t="shared" si="20"/>
        <v>29</v>
      </c>
      <c r="J68" s="148">
        <f t="shared" si="21"/>
        <v>33</v>
      </c>
      <c r="K68" s="148">
        <v>40</v>
      </c>
      <c r="L68" s="148">
        <f t="shared" si="115"/>
        <v>31.03</v>
      </c>
      <c r="M68" s="148">
        <f t="shared" si="124"/>
        <v>20701.068455234159</v>
      </c>
      <c r="N68" s="148">
        <f t="shared" si="116"/>
        <v>0</v>
      </c>
      <c r="O68" s="148">
        <f t="shared" si="117"/>
        <v>0</v>
      </c>
      <c r="P68" s="148">
        <f t="shared" si="125"/>
        <v>20701.068455234159</v>
      </c>
      <c r="Q68" s="7">
        <f>'Seasonal (WITHOUT)'!Q68</f>
        <v>58951.489288674013</v>
      </c>
      <c r="R68" s="7">
        <f>-'LOAD DATA and INPUT SEASONAL'!$A$60*U68</f>
        <v>-81.317223440272329</v>
      </c>
      <c r="S68" s="7">
        <f t="shared" si="126"/>
        <v>58870.172065233739</v>
      </c>
      <c r="T68" s="154">
        <v>3.3763125684127178</v>
      </c>
      <c r="U68" s="148">
        <v>8.1317223440272333</v>
      </c>
      <c r="V68" s="148">
        <f t="shared" si="127"/>
        <v>-4.7554097756145151</v>
      </c>
      <c r="W68" s="148">
        <v>671.88620111413081</v>
      </c>
      <c r="X68" s="148"/>
      <c r="Y68" s="148">
        <f t="shared" si="118"/>
        <v>667.13079133851625</v>
      </c>
      <c r="Z68" s="148">
        <f t="shared" si="128"/>
        <v>713.82994673221242</v>
      </c>
      <c r="AA68" s="148" t="b">
        <f t="shared" si="129"/>
        <v>1</v>
      </c>
      <c r="AB68" s="148">
        <f t="shared" si="130"/>
        <v>-147.56036533731842</v>
      </c>
      <c r="AC68" s="148">
        <f t="shared" si="131"/>
        <v>20848.628820571481</v>
      </c>
      <c r="AD68" s="148">
        <f t="shared" si="132"/>
        <v>0</v>
      </c>
      <c r="AE68" s="148">
        <f t="shared" si="133"/>
        <v>20701.068455234163</v>
      </c>
      <c r="AF68" s="148">
        <f t="shared" si="134"/>
        <v>-419.63554278379519</v>
      </c>
      <c r="AG68" s="148">
        <f t="shared" si="135"/>
        <v>59289.807608017538</v>
      </c>
      <c r="AH68" s="148">
        <f t="shared" si="136"/>
        <v>0</v>
      </c>
      <c r="AI68" s="148">
        <f t="shared" si="137"/>
        <v>58870.172065233746</v>
      </c>
      <c r="AJ68" s="148">
        <f t="shared" si="138"/>
        <v>-567.19590812111358</v>
      </c>
      <c r="AK68" s="148">
        <f t="shared" si="139"/>
        <v>80138.436428589019</v>
      </c>
      <c r="AL68" s="148">
        <f t="shared" si="140"/>
        <v>0</v>
      </c>
      <c r="AM68" s="148">
        <f t="shared" si="141"/>
        <v>79571.240520467909</v>
      </c>
    </row>
    <row r="69" spans="1:39" s="66" customFormat="1" x14ac:dyDescent="0.25">
      <c r="A69" s="66">
        <v>11</v>
      </c>
      <c r="B69" s="148">
        <f t="shared" ref="B69:D69" si="150">B42</f>
        <v>1000</v>
      </c>
      <c r="C69" s="148">
        <f t="shared" si="150"/>
        <v>500</v>
      </c>
      <c r="D69" s="148">
        <f t="shared" si="150"/>
        <v>100</v>
      </c>
      <c r="E69" s="148">
        <f t="shared" si="120"/>
        <v>819.19217873919615</v>
      </c>
      <c r="F69" s="148">
        <f t="shared" si="121"/>
        <v>0</v>
      </c>
      <c r="G69" s="148">
        <f t="shared" si="122"/>
        <v>0</v>
      </c>
      <c r="H69" s="148">
        <f t="shared" si="123"/>
        <v>819.19217873919615</v>
      </c>
      <c r="I69" s="148">
        <f t="shared" si="20"/>
        <v>29</v>
      </c>
      <c r="J69" s="148">
        <f t="shared" si="21"/>
        <v>33</v>
      </c>
      <c r="K69" s="148">
        <v>40</v>
      </c>
      <c r="L69" s="148">
        <f t="shared" si="115"/>
        <v>31.030000000000005</v>
      </c>
      <c r="M69" s="148">
        <f t="shared" si="124"/>
        <v>23756.573183436689</v>
      </c>
      <c r="N69" s="148">
        <f t="shared" si="116"/>
        <v>0</v>
      </c>
      <c r="O69" s="148">
        <f t="shared" si="117"/>
        <v>0</v>
      </c>
      <c r="P69" s="148">
        <f t="shared" si="125"/>
        <v>23756.573183436689</v>
      </c>
      <c r="Q69" s="7">
        <f>'Seasonal (WITHOUT)'!Q69</f>
        <v>67676.804067547011</v>
      </c>
      <c r="R69" s="7">
        <f>-'LOAD DATA and INPUT SEASONAL'!$A$60*U69</f>
        <v>-96.068613782008612</v>
      </c>
      <c r="S69" s="7">
        <f t="shared" si="126"/>
        <v>67580.735453764995</v>
      </c>
      <c r="T69" s="154">
        <v>3.8760351421208932</v>
      </c>
      <c r="U69" s="148">
        <v>9.6068613782008612</v>
      </c>
      <c r="V69" s="148">
        <f t="shared" si="127"/>
        <v>-5.7308262360799684</v>
      </c>
      <c r="W69" s="148">
        <v>771.33099328205765</v>
      </c>
      <c r="X69" s="148"/>
      <c r="Y69" s="148">
        <f t="shared" si="118"/>
        <v>765.60016704597763</v>
      </c>
      <c r="Z69" s="148">
        <f t="shared" si="128"/>
        <v>819.19217873919615</v>
      </c>
      <c r="AA69" s="148" t="b">
        <f t="shared" si="129"/>
        <v>1</v>
      </c>
      <c r="AB69" s="148">
        <f t="shared" si="130"/>
        <v>-177.82753810556144</v>
      </c>
      <c r="AC69" s="148">
        <f t="shared" si="131"/>
        <v>23934.400721542253</v>
      </c>
      <c r="AD69" s="148">
        <f t="shared" si="132"/>
        <v>0</v>
      </c>
      <c r="AE69" s="148">
        <f t="shared" si="133"/>
        <v>23756.573183436692</v>
      </c>
      <c r="AF69" s="148">
        <f t="shared" si="134"/>
        <v>-505.86907953059193</v>
      </c>
      <c r="AG69" s="148">
        <f t="shared" si="135"/>
        <v>68086.604533295584</v>
      </c>
      <c r="AH69" s="148">
        <f t="shared" si="136"/>
        <v>0</v>
      </c>
      <c r="AI69" s="148">
        <f t="shared" si="137"/>
        <v>67580.735453764995</v>
      </c>
      <c r="AJ69" s="148">
        <f t="shared" si="138"/>
        <v>-683.69661763615341</v>
      </c>
      <c r="AK69" s="148">
        <f t="shared" si="139"/>
        <v>92021.00525483783</v>
      </c>
      <c r="AL69" s="148">
        <f t="shared" si="140"/>
        <v>0</v>
      </c>
      <c r="AM69" s="148">
        <f t="shared" si="141"/>
        <v>91337.30863720167</v>
      </c>
    </row>
    <row r="70" spans="1:39" s="66" customFormat="1" x14ac:dyDescent="0.25">
      <c r="A70" s="66">
        <v>12</v>
      </c>
      <c r="B70" s="148">
        <f t="shared" ref="B70:D70" si="151">B43</f>
        <v>1000</v>
      </c>
      <c r="C70" s="148">
        <f t="shared" si="151"/>
        <v>500</v>
      </c>
      <c r="D70" s="148">
        <f t="shared" si="151"/>
        <v>100</v>
      </c>
      <c r="E70" s="148">
        <f t="shared" si="120"/>
        <v>918.71644854933675</v>
      </c>
      <c r="F70" s="148">
        <f t="shared" si="121"/>
        <v>0</v>
      </c>
      <c r="G70" s="148">
        <f t="shared" si="122"/>
        <v>0</v>
      </c>
      <c r="H70" s="148">
        <f t="shared" si="123"/>
        <v>918.71644854933675</v>
      </c>
      <c r="I70" s="148">
        <f t="shared" si="20"/>
        <v>29</v>
      </c>
      <c r="J70" s="148">
        <f t="shared" si="21"/>
        <v>33</v>
      </c>
      <c r="K70" s="148">
        <v>40</v>
      </c>
      <c r="L70" s="148">
        <f t="shared" si="115"/>
        <v>31.030000000000005</v>
      </c>
      <c r="M70" s="148">
        <f t="shared" si="124"/>
        <v>26642.777007930767</v>
      </c>
      <c r="N70" s="148">
        <f t="shared" si="116"/>
        <v>0</v>
      </c>
      <c r="O70" s="148">
        <f t="shared" si="117"/>
        <v>0</v>
      </c>
      <c r="P70" s="148">
        <f t="shared" si="125"/>
        <v>26642.777007930767</v>
      </c>
      <c r="Q70" s="7">
        <f>'Seasonal (WITHOUT)'!Q70</f>
        <v>75823.324324511806</v>
      </c>
      <c r="R70" s="7">
        <f>-'LOAD DATA and INPUT SEASONAL'!$A$60*U70</f>
        <v>-99.082116885166428</v>
      </c>
      <c r="S70" s="7">
        <f t="shared" si="126"/>
        <v>75724.242207626638</v>
      </c>
      <c r="T70" s="154">
        <v>4.3426085750282688</v>
      </c>
      <c r="U70" s="148">
        <v>9.9082116885166425</v>
      </c>
      <c r="V70" s="148">
        <f t="shared" si="127"/>
        <v>-5.5656031134883737</v>
      </c>
      <c r="W70" s="148">
        <v>864.17910643062544</v>
      </c>
      <c r="X70" s="148"/>
      <c r="Y70" s="148">
        <f t="shared" si="118"/>
        <v>858.61350331713709</v>
      </c>
      <c r="Z70" s="148">
        <f t="shared" si="128"/>
        <v>918.71644854933675</v>
      </c>
      <c r="AA70" s="148" t="b">
        <f t="shared" si="129"/>
        <v>1</v>
      </c>
      <c r="AB70" s="148">
        <f t="shared" si="130"/>
        <v>-172.70066461154425</v>
      </c>
      <c r="AC70" s="148">
        <f t="shared" si="131"/>
        <v>26815.477672542311</v>
      </c>
      <c r="AD70" s="148">
        <f t="shared" si="132"/>
        <v>0</v>
      </c>
      <c r="AE70" s="148">
        <f t="shared" si="133"/>
        <v>26642.777007930767</v>
      </c>
      <c r="AF70" s="148">
        <f t="shared" si="134"/>
        <v>-490.85074549735742</v>
      </c>
      <c r="AG70" s="148">
        <f t="shared" si="135"/>
        <v>76215.092953123996</v>
      </c>
      <c r="AH70" s="148">
        <f t="shared" si="136"/>
        <v>0</v>
      </c>
      <c r="AI70" s="148">
        <f t="shared" si="137"/>
        <v>75724.242207626638</v>
      </c>
      <c r="AJ70" s="148">
        <f t="shared" si="138"/>
        <v>-663.55141010890168</v>
      </c>
      <c r="AK70" s="148">
        <f t="shared" si="139"/>
        <v>103030.57062566631</v>
      </c>
      <c r="AL70" s="148">
        <f t="shared" si="140"/>
        <v>0</v>
      </c>
      <c r="AM70" s="148">
        <f t="shared" si="141"/>
        <v>102367.0192155574</v>
      </c>
    </row>
    <row r="71" spans="1:39" s="66" customFormat="1" x14ac:dyDescent="0.25">
      <c r="A71" s="66">
        <v>13</v>
      </c>
      <c r="B71" s="148">
        <f t="shared" ref="B71:D71" si="152">B44</f>
        <v>1000</v>
      </c>
      <c r="C71" s="148">
        <f t="shared" si="152"/>
        <v>500</v>
      </c>
      <c r="D71" s="148">
        <f t="shared" si="152"/>
        <v>100</v>
      </c>
      <c r="E71" s="148">
        <f>IF(B71&lt;Z71,B71,Z71)</f>
        <v>1000</v>
      </c>
      <c r="F71" s="148">
        <f>IF(C71&lt;Z71-E71,C71,Z71-E71)</f>
        <v>26.166478477991859</v>
      </c>
      <c r="G71" s="148">
        <f t="shared" si="122"/>
        <v>0</v>
      </c>
      <c r="H71" s="148">
        <f t="shared" si="123"/>
        <v>1026.1664784779919</v>
      </c>
      <c r="I71" s="148">
        <f t="shared" ref="I71:I109" si="153">I70</f>
        <v>29</v>
      </c>
      <c r="J71" s="148">
        <f t="shared" ref="J71:K110" si="154">J70</f>
        <v>33</v>
      </c>
      <c r="K71" s="148">
        <v>40</v>
      </c>
      <c r="L71" s="148">
        <f t="shared" si="115"/>
        <v>31.139136802102438</v>
      </c>
      <c r="M71" s="148">
        <f t="shared" si="124"/>
        <v>29000</v>
      </c>
      <c r="N71" s="148">
        <f t="shared" si="116"/>
        <v>863.49378977373135</v>
      </c>
      <c r="O71" s="148">
        <f t="shared" si="117"/>
        <v>0</v>
      </c>
      <c r="P71" s="148">
        <f t="shared" si="125"/>
        <v>29863.493789773733</v>
      </c>
      <c r="Q71" s="7">
        <f>'Seasonal (WITHOUT)'!Q71</f>
        <v>84559.512778655262</v>
      </c>
      <c r="R71" s="7">
        <f>-'LOAD DATA and INPUT SEASONAL'!$A$60*U71</f>
        <v>-95.566907194283459</v>
      </c>
      <c r="S71" s="7">
        <f t="shared" si="126"/>
        <v>84463.945871460979</v>
      </c>
      <c r="T71" s="154">
        <v>4.8429539137746733</v>
      </c>
      <c r="U71" s="148">
        <v>9.5566907194283459</v>
      </c>
      <c r="V71" s="148">
        <f t="shared" si="127"/>
        <v>-4.7137368056536726</v>
      </c>
      <c r="W71" s="148">
        <v>963.74782884115996</v>
      </c>
      <c r="X71" s="148"/>
      <c r="Y71" s="148">
        <f t="shared" si="118"/>
        <v>959.03409203550632</v>
      </c>
      <c r="Z71" s="148">
        <f t="shared" si="128"/>
        <v>1026.1664784779919</v>
      </c>
      <c r="AA71" s="148" t="b">
        <f t="shared" si="129"/>
        <v>1</v>
      </c>
      <c r="AB71" s="148">
        <f t="shared" si="130"/>
        <v>-146.78169524035508</v>
      </c>
      <c r="AC71" s="148">
        <f t="shared" si="131"/>
        <v>30010.275485014085</v>
      </c>
      <c r="AD71" s="148">
        <f t="shared" si="132"/>
        <v>0</v>
      </c>
      <c r="AE71" s="148">
        <f t="shared" si="133"/>
        <v>29863.493789773729</v>
      </c>
      <c r="AF71" s="148">
        <f t="shared" si="134"/>
        <v>-415.14771342487882</v>
      </c>
      <c r="AG71" s="148">
        <f t="shared" si="135"/>
        <v>84879.093584885864</v>
      </c>
      <c r="AH71" s="148">
        <f t="shared" si="136"/>
        <v>0</v>
      </c>
      <c r="AI71" s="148">
        <f t="shared" si="137"/>
        <v>84463.945871460979</v>
      </c>
      <c r="AJ71" s="148">
        <f t="shared" si="138"/>
        <v>-561.92940866523395</v>
      </c>
      <c r="AK71" s="148">
        <f t="shared" si="139"/>
        <v>114889.36906989996</v>
      </c>
      <c r="AL71" s="148">
        <f t="shared" si="140"/>
        <v>0</v>
      </c>
      <c r="AM71" s="148">
        <f t="shared" si="141"/>
        <v>114327.43966123472</v>
      </c>
    </row>
    <row r="72" spans="1:39" s="66" customFormat="1" x14ac:dyDescent="0.25">
      <c r="A72" s="66">
        <v>14</v>
      </c>
      <c r="B72" s="148">
        <f t="shared" ref="B72:D72" si="155">B45</f>
        <v>1000</v>
      </c>
      <c r="C72" s="148">
        <f t="shared" si="155"/>
        <v>500</v>
      </c>
      <c r="D72" s="148">
        <f t="shared" si="155"/>
        <v>100</v>
      </c>
      <c r="E72" s="148">
        <f t="shared" si="120"/>
        <v>1000</v>
      </c>
      <c r="F72" s="148">
        <f t="shared" si="121"/>
        <v>126.10091400008196</v>
      </c>
      <c r="G72" s="148">
        <f t="shared" si="122"/>
        <v>0</v>
      </c>
      <c r="H72" s="148">
        <f t="shared" si="123"/>
        <v>1126.100914000082</v>
      </c>
      <c r="I72" s="148">
        <f t="shared" si="153"/>
        <v>29</v>
      </c>
      <c r="J72" s="148">
        <f t="shared" si="154"/>
        <v>33</v>
      </c>
      <c r="K72" s="148">
        <v>40</v>
      </c>
      <c r="L72" s="148">
        <f t="shared" si="115"/>
        <v>31.509274907968251</v>
      </c>
      <c r="M72" s="148">
        <f t="shared" si="124"/>
        <v>29000</v>
      </c>
      <c r="N72" s="148">
        <f t="shared" si="116"/>
        <v>4161.330162002705</v>
      </c>
      <c r="O72" s="148">
        <f t="shared" si="117"/>
        <v>0</v>
      </c>
      <c r="P72" s="148">
        <f t="shared" si="125"/>
        <v>33161.330162002705</v>
      </c>
      <c r="Q72" s="7">
        <f>'Seasonal (WITHOUT)'!Q72</f>
        <v>92666.652060420151</v>
      </c>
      <c r="R72" s="7">
        <f>-'LOAD DATA and INPUT SEASONAL'!$A$60*U72</f>
        <v>-90.236174181898363</v>
      </c>
      <c r="S72" s="7">
        <f t="shared" si="126"/>
        <v>92576.415886238246</v>
      </c>
      <c r="T72" s="154">
        <v>5.3072718908296501</v>
      </c>
      <c r="U72" s="148">
        <v>9.0236174181898363</v>
      </c>
      <c r="V72" s="148">
        <f t="shared" si="127"/>
        <v>-3.7163455273601862</v>
      </c>
      <c r="W72" s="148">
        <v>1056.1471062751002</v>
      </c>
      <c r="X72" s="148"/>
      <c r="Y72" s="148">
        <f t="shared" si="118"/>
        <v>1052.4307607477401</v>
      </c>
      <c r="Z72" s="148">
        <f t="shared" si="128"/>
        <v>1126.100914000082</v>
      </c>
      <c r="AA72" s="148" t="b">
        <f t="shared" si="129"/>
        <v>1</v>
      </c>
      <c r="AB72" s="148">
        <f t="shared" si="130"/>
        <v>-117.09935287459035</v>
      </c>
      <c r="AC72" s="148">
        <f t="shared" si="131"/>
        <v>33278.429514877294</v>
      </c>
      <c r="AD72" s="148">
        <f t="shared" si="132"/>
        <v>0</v>
      </c>
      <c r="AE72" s="148">
        <f t="shared" si="133"/>
        <v>33161.330162002705</v>
      </c>
      <c r="AF72" s="148">
        <f t="shared" si="134"/>
        <v>-326.90601790603046</v>
      </c>
      <c r="AG72" s="148">
        <f t="shared" si="135"/>
        <v>92903.321904144264</v>
      </c>
      <c r="AH72" s="148">
        <f t="shared" si="136"/>
        <v>0</v>
      </c>
      <c r="AI72" s="148">
        <f t="shared" si="137"/>
        <v>92576.415886238232</v>
      </c>
      <c r="AJ72" s="148">
        <f t="shared" si="138"/>
        <v>-444.00537078062081</v>
      </c>
      <c r="AK72" s="148">
        <f t="shared" si="139"/>
        <v>126181.75141902156</v>
      </c>
      <c r="AL72" s="148">
        <f t="shared" si="140"/>
        <v>0</v>
      </c>
      <c r="AM72" s="148">
        <f t="shared" si="141"/>
        <v>125737.74604824094</v>
      </c>
    </row>
    <row r="73" spans="1:39" s="66" customFormat="1" x14ac:dyDescent="0.25">
      <c r="A73" s="66">
        <v>15</v>
      </c>
      <c r="B73" s="148">
        <f t="shared" ref="B73:D73" si="156">B46</f>
        <v>1000</v>
      </c>
      <c r="C73" s="148">
        <f t="shared" si="156"/>
        <v>500</v>
      </c>
      <c r="D73" s="148">
        <f t="shared" si="156"/>
        <v>100</v>
      </c>
      <c r="E73" s="148">
        <f t="shared" si="120"/>
        <v>1000</v>
      </c>
      <c r="F73" s="148">
        <f t="shared" si="121"/>
        <v>234.09026130859729</v>
      </c>
      <c r="G73" s="148">
        <f t="shared" si="122"/>
        <v>0</v>
      </c>
      <c r="H73" s="148">
        <f t="shared" si="123"/>
        <v>1234.0902613085973</v>
      </c>
      <c r="I73" s="148">
        <f t="shared" si="153"/>
        <v>29</v>
      </c>
      <c r="J73" s="148">
        <f t="shared" si="154"/>
        <v>33</v>
      </c>
      <c r="K73" s="148">
        <v>40</v>
      </c>
      <c r="L73" s="148">
        <f t="shared" si="115"/>
        <v>31.841858216382327</v>
      </c>
      <c r="M73" s="148">
        <f t="shared" si="124"/>
        <v>29000</v>
      </c>
      <c r="N73" s="148">
        <f t="shared" si="116"/>
        <v>7724.9786231837106</v>
      </c>
      <c r="O73" s="148">
        <f t="shared" si="117"/>
        <v>0</v>
      </c>
      <c r="P73" s="148">
        <f t="shared" si="125"/>
        <v>36724.978623183713</v>
      </c>
      <c r="Q73" s="7">
        <f>'Seasonal (WITHOUT)'!Q73</f>
        <v>101444.73470051677</v>
      </c>
      <c r="R73" s="7">
        <f>-'LOAD DATA and INPUT SEASONAL'!$A$60*U73</f>
        <v>-86.479403719427694</v>
      </c>
      <c r="S73" s="7">
        <f t="shared" si="126"/>
        <v>101358.25529679735</v>
      </c>
      <c r="T73" s="154">
        <v>5.8100166238625057</v>
      </c>
      <c r="U73" s="148">
        <v>8.6479403719427701</v>
      </c>
      <c r="V73" s="148">
        <f t="shared" si="127"/>
        <v>-2.8379237480802644</v>
      </c>
      <c r="W73" s="148">
        <v>1156.1933081486386</v>
      </c>
      <c r="X73" s="148"/>
      <c r="Y73" s="148">
        <f t="shared" si="118"/>
        <v>1153.3553844005583</v>
      </c>
      <c r="Z73" s="148">
        <f t="shared" si="128"/>
        <v>1234.0902613085973</v>
      </c>
      <c r="AA73" s="148" t="b">
        <f t="shared" si="129"/>
        <v>1</v>
      </c>
      <c r="AB73" s="148">
        <f>V73*L73</f>
        <v>-90.364765615276099</v>
      </c>
      <c r="AC73" s="148">
        <f t="shared" si="131"/>
        <v>36815.343388798996</v>
      </c>
      <c r="AD73" s="148">
        <f t="shared" si="132"/>
        <v>0</v>
      </c>
      <c r="AE73" s="148">
        <f t="shared" si="133"/>
        <v>36724.978623183721</v>
      </c>
      <c r="AF73" s="148">
        <f t="shared" si="134"/>
        <v>-249.40014470931203</v>
      </c>
      <c r="AG73" s="148">
        <f t="shared" si="135"/>
        <v>101607.65544150666</v>
      </c>
      <c r="AH73" s="148">
        <f t="shared" si="136"/>
        <v>0</v>
      </c>
      <c r="AI73" s="148">
        <f t="shared" si="137"/>
        <v>101358.25529679735</v>
      </c>
      <c r="AJ73" s="148">
        <f t="shared" si="138"/>
        <v>-339.76491032458813</v>
      </c>
      <c r="AK73" s="148">
        <f t="shared" si="139"/>
        <v>138422.99883030565</v>
      </c>
      <c r="AL73" s="148">
        <f t="shared" si="140"/>
        <v>0</v>
      </c>
      <c r="AM73" s="148">
        <f t="shared" si="141"/>
        <v>138083.23391998105</v>
      </c>
    </row>
    <row r="74" spans="1:39" s="66" customFormat="1" x14ac:dyDescent="0.25">
      <c r="A74" s="66">
        <v>16</v>
      </c>
      <c r="B74" s="148">
        <f t="shared" ref="B74:D74" si="157">B47</f>
        <v>1000</v>
      </c>
      <c r="C74" s="148">
        <f t="shared" si="157"/>
        <v>500</v>
      </c>
      <c r="D74" s="148">
        <f t="shared" si="157"/>
        <v>100</v>
      </c>
      <c r="E74" s="148">
        <f t="shared" si="120"/>
        <v>1000</v>
      </c>
      <c r="F74" s="148">
        <f t="shared" si="121"/>
        <v>334.89176074822785</v>
      </c>
      <c r="G74" s="148">
        <f t="shared" si="122"/>
        <v>0</v>
      </c>
      <c r="H74" s="148">
        <f t="shared" si="123"/>
        <v>1334.8917607482279</v>
      </c>
      <c r="I74" s="148">
        <f t="shared" si="153"/>
        <v>29</v>
      </c>
      <c r="J74" s="148">
        <f t="shared" si="154"/>
        <v>33</v>
      </c>
      <c r="K74" s="148">
        <v>40</v>
      </c>
      <c r="L74" s="148">
        <f t="shared" si="115"/>
        <v>32.103747533806789</v>
      </c>
      <c r="M74" s="148">
        <f t="shared" si="124"/>
        <v>29000</v>
      </c>
      <c r="N74" s="148">
        <f t="shared" si="116"/>
        <v>11051.428104691518</v>
      </c>
      <c r="O74" s="148">
        <f t="shared" si="117"/>
        <v>0</v>
      </c>
      <c r="P74" s="148">
        <f t="shared" si="125"/>
        <v>40051.42810469152</v>
      </c>
      <c r="Q74" s="7">
        <f>'Seasonal (WITHOUT)'!Q74</f>
        <v>109531.25485612742</v>
      </c>
      <c r="R74" s="7">
        <f>-'LOAD DATA and INPUT SEASONAL'!$A$60*U74</f>
        <v>-70.683442430826389</v>
      </c>
      <c r="S74" s="7">
        <f t="shared" si="126"/>
        <v>109460.57141369658</v>
      </c>
      <c r="T74" s="154">
        <v>6.2731536873286284</v>
      </c>
      <c r="U74" s="148">
        <v>7.0683442430826391</v>
      </c>
      <c r="V74" s="148">
        <f t="shared" si="127"/>
        <v>-0.79519055575401065</v>
      </c>
      <c r="W74" s="148">
        <v>1248.3575837783969</v>
      </c>
      <c r="X74" s="148"/>
      <c r="Y74" s="148">
        <f t="shared" si="118"/>
        <v>1247.5623932226429</v>
      </c>
      <c r="Z74" s="148">
        <f t="shared" si="128"/>
        <v>1334.8917607482279</v>
      </c>
      <c r="AA74" s="148" t="b">
        <f t="shared" si="129"/>
        <v>1</v>
      </c>
      <c r="AB74" s="148">
        <f t="shared" ref="AB74:AB78" si="158">V74*L74</f>
        <v>-25.528596843194268</v>
      </c>
      <c r="AC74" s="148">
        <f t="shared" si="131"/>
        <v>40076.956701534713</v>
      </c>
      <c r="AD74" s="148">
        <f t="shared" si="132"/>
        <v>0</v>
      </c>
      <c r="AE74" s="148">
        <f t="shared" si="133"/>
        <v>40051.42810469152</v>
      </c>
      <c r="AF74" s="148">
        <f t="shared" si="134"/>
        <v>-69.769666902804147</v>
      </c>
      <c r="AG74" s="148">
        <f t="shared" si="135"/>
        <v>109530.34108059939</v>
      </c>
      <c r="AH74" s="148">
        <f t="shared" si="136"/>
        <v>0</v>
      </c>
      <c r="AI74" s="148">
        <f t="shared" si="137"/>
        <v>109460.57141369658</v>
      </c>
      <c r="AJ74" s="148">
        <f t="shared" si="138"/>
        <v>-95.298263745998412</v>
      </c>
      <c r="AK74" s="148">
        <f t="shared" si="139"/>
        <v>149607.29778213409</v>
      </c>
      <c r="AL74" s="148">
        <f t="shared" si="140"/>
        <v>0</v>
      </c>
      <c r="AM74" s="148">
        <f t="shared" si="141"/>
        <v>149511.9995183881</v>
      </c>
    </row>
    <row r="75" spans="1:39" s="66" customFormat="1" x14ac:dyDescent="0.25">
      <c r="A75" s="66">
        <v>17</v>
      </c>
      <c r="B75" s="148">
        <f t="shared" ref="B75:D75" si="159">B48</f>
        <v>1000</v>
      </c>
      <c r="C75" s="148">
        <f t="shared" si="159"/>
        <v>500</v>
      </c>
      <c r="D75" s="148">
        <f t="shared" si="159"/>
        <v>100</v>
      </c>
      <c r="E75" s="148">
        <f t="shared" si="120"/>
        <v>1000</v>
      </c>
      <c r="F75" s="148">
        <f t="shared" si="121"/>
        <v>462.70121524013211</v>
      </c>
      <c r="G75" s="148">
        <f t="shared" si="122"/>
        <v>0</v>
      </c>
      <c r="H75" s="148">
        <f t="shared" si="123"/>
        <v>1462.7012152401321</v>
      </c>
      <c r="I75" s="148">
        <f t="shared" si="153"/>
        <v>29</v>
      </c>
      <c r="J75" s="148">
        <f t="shared" si="154"/>
        <v>33</v>
      </c>
      <c r="K75" s="148">
        <v>40</v>
      </c>
      <c r="L75" s="148">
        <f t="shared" si="115"/>
        <v>32.383906854382872</v>
      </c>
      <c r="M75" s="148">
        <f t="shared" si="124"/>
        <v>29000</v>
      </c>
      <c r="N75" s="148">
        <f t="shared" si="116"/>
        <v>15269.140102924361</v>
      </c>
      <c r="O75" s="148">
        <f t="shared" si="117"/>
        <v>0</v>
      </c>
      <c r="P75" s="148">
        <f t="shared" si="125"/>
        <v>44269.140102924357</v>
      </c>
      <c r="Q75" s="7">
        <f>'Seasonal (WITHOUT)'!Q75</f>
        <v>119796.26776454775</v>
      </c>
      <c r="R75" s="7">
        <f>-'LOAD DATA and INPUT SEASONAL'!$A$60*U75</f>
        <v>-52.013128860261695</v>
      </c>
      <c r="S75" s="7">
        <f t="shared" si="126"/>
        <v>119744.2546356875</v>
      </c>
      <c r="T75" s="154">
        <v>6.8610589720942992</v>
      </c>
      <c r="U75" s="148">
        <v>5.2013128860261695</v>
      </c>
      <c r="V75" s="148">
        <f t="shared" si="127"/>
        <v>1.6597460860681297</v>
      </c>
      <c r="W75" s="148">
        <v>1365.3507354467656</v>
      </c>
      <c r="X75" s="148"/>
      <c r="Y75" s="148">
        <f t="shared" si="118"/>
        <v>1367.0104815328336</v>
      </c>
      <c r="Z75" s="148">
        <f t="shared" si="128"/>
        <v>1462.7012152401321</v>
      </c>
      <c r="AA75" s="148" t="b">
        <f t="shared" si="129"/>
        <v>1</v>
      </c>
      <c r="AB75" s="148">
        <f t="shared" si="158"/>
        <v>53.749062653156848</v>
      </c>
      <c r="AC75" s="148">
        <f t="shared" si="131"/>
        <v>44215.391040271206</v>
      </c>
      <c r="AD75" s="148">
        <f t="shared" si="132"/>
        <v>0</v>
      </c>
      <c r="AE75" s="148">
        <f t="shared" si="133"/>
        <v>44269.140102924364</v>
      </c>
      <c r="AF75" s="148">
        <f t="shared" si="134"/>
        <v>145.38663795604134</v>
      </c>
      <c r="AG75" s="148">
        <f t="shared" si="135"/>
        <v>119598.86799773146</v>
      </c>
      <c r="AH75" s="148">
        <f t="shared" si="136"/>
        <v>0</v>
      </c>
      <c r="AI75" s="148">
        <f t="shared" si="137"/>
        <v>119744.2546356875</v>
      </c>
      <c r="AJ75" s="148">
        <f t="shared" si="138"/>
        <v>199.13570060919818</v>
      </c>
      <c r="AK75" s="148">
        <f t="shared" si="139"/>
        <v>163814.25903800267</v>
      </c>
      <c r="AL75" s="148">
        <f t="shared" si="140"/>
        <v>0</v>
      </c>
      <c r="AM75" s="148">
        <f t="shared" si="141"/>
        <v>164013.39473861185</v>
      </c>
    </row>
    <row r="76" spans="1:39" s="66" customFormat="1" x14ac:dyDescent="0.25">
      <c r="A76" s="66">
        <v>18</v>
      </c>
      <c r="B76" s="148">
        <f t="shared" ref="B76:D76" si="160">B49</f>
        <v>1000</v>
      </c>
      <c r="C76" s="148">
        <f t="shared" si="160"/>
        <v>500</v>
      </c>
      <c r="D76" s="148">
        <f t="shared" si="160"/>
        <v>100</v>
      </c>
      <c r="E76" s="148">
        <f t="shared" si="120"/>
        <v>1000</v>
      </c>
      <c r="F76" s="148">
        <f t="shared" si="121"/>
        <v>500</v>
      </c>
      <c r="G76" s="148">
        <f t="shared" si="122"/>
        <v>50.407787615468123</v>
      </c>
      <c r="H76" s="148">
        <f t="shared" si="123"/>
        <v>1550.4077876154681</v>
      </c>
      <c r="I76" s="148">
        <f t="shared" si="153"/>
        <v>29</v>
      </c>
      <c r="J76" s="148">
        <f t="shared" si="154"/>
        <v>33</v>
      </c>
      <c r="K76" s="148">
        <v>40</v>
      </c>
      <c r="L76" s="148">
        <f t="shared" si="115"/>
        <v>32.792955321862699</v>
      </c>
      <c r="M76" s="148">
        <f t="shared" si="124"/>
        <v>29000</v>
      </c>
      <c r="N76" s="148">
        <f t="shared" si="116"/>
        <v>16500</v>
      </c>
      <c r="O76" s="148">
        <f t="shared" si="117"/>
        <v>2016.3115046187249</v>
      </c>
      <c r="P76" s="148">
        <f t="shared" si="125"/>
        <v>47516.311504618723</v>
      </c>
      <c r="Q76" s="7">
        <f>'Seasonal (WITHOUT)'!Q76</f>
        <v>126746.57213977308</v>
      </c>
      <c r="R76" s="7">
        <f>-'LOAD DATA and INPUT SEASONAL'!$A$60*U76</f>
        <v>-28.451310471324906</v>
      </c>
      <c r="S76" s="7">
        <f t="shared" si="126"/>
        <v>126718.12082930176</v>
      </c>
      <c r="T76" s="154">
        <v>7.2591218590462612</v>
      </c>
      <c r="U76" s="148">
        <v>2.8451310471324907</v>
      </c>
      <c r="V76" s="148">
        <f t="shared" si="127"/>
        <v>4.4139908119137701</v>
      </c>
      <c r="W76" s="148">
        <v>1444.565249950206</v>
      </c>
      <c r="X76" s="148"/>
      <c r="Y76" s="148">
        <f t="shared" si="118"/>
        <v>1448.9792407621196</v>
      </c>
      <c r="Z76" s="148">
        <f t="shared" si="128"/>
        <v>1550.4077876154681</v>
      </c>
      <c r="AA76" s="148" t="b">
        <f t="shared" si="129"/>
        <v>1</v>
      </c>
      <c r="AB76" s="148">
        <f t="shared" si="158"/>
        <v>144.74780348620072</v>
      </c>
      <c r="AC76" s="148">
        <f t="shared" si="131"/>
        <v>47371.563701132523</v>
      </c>
      <c r="AD76" s="148">
        <f t="shared" si="132"/>
        <v>0</v>
      </c>
      <c r="AE76" s="148">
        <f t="shared" si="133"/>
        <v>47516.311504618723</v>
      </c>
      <c r="AF76" s="148">
        <f t="shared" si="134"/>
        <v>386.01838129118033</v>
      </c>
      <c r="AG76" s="148">
        <f t="shared" si="135"/>
        <v>126332.10244801058</v>
      </c>
      <c r="AH76" s="148">
        <f t="shared" si="136"/>
        <v>0</v>
      </c>
      <c r="AI76" s="148">
        <f t="shared" si="137"/>
        <v>126718.12082930177</v>
      </c>
      <c r="AJ76" s="148">
        <f t="shared" si="138"/>
        <v>530.76618477738111</v>
      </c>
      <c r="AK76" s="148">
        <f t="shared" si="139"/>
        <v>173703.6661491431</v>
      </c>
      <c r="AL76" s="148">
        <f t="shared" si="140"/>
        <v>0</v>
      </c>
      <c r="AM76" s="148">
        <f t="shared" si="141"/>
        <v>174234.43233392047</v>
      </c>
    </row>
    <row r="77" spans="1:39" s="66" customFormat="1" x14ac:dyDescent="0.25">
      <c r="A77" s="66">
        <v>19</v>
      </c>
      <c r="B77" s="148">
        <f t="shared" ref="B77:D77" si="161">B50</f>
        <v>1000</v>
      </c>
      <c r="C77" s="148">
        <f t="shared" si="161"/>
        <v>500</v>
      </c>
      <c r="D77" s="148">
        <f t="shared" si="161"/>
        <v>100</v>
      </c>
      <c r="E77" s="148">
        <f t="shared" si="120"/>
        <v>1000</v>
      </c>
      <c r="F77" s="148">
        <f t="shared" si="121"/>
        <v>500</v>
      </c>
      <c r="G77" s="148">
        <f t="shared" si="122"/>
        <v>70.999841207465124</v>
      </c>
      <c r="H77" s="148">
        <f t="shared" si="123"/>
        <v>1570.9998412074651</v>
      </c>
      <c r="I77" s="148">
        <f t="shared" si="153"/>
        <v>29</v>
      </c>
      <c r="J77" s="148">
        <f t="shared" si="154"/>
        <v>33</v>
      </c>
      <c r="K77" s="148">
        <v>40</v>
      </c>
      <c r="L77" s="148">
        <f t="shared" si="115"/>
        <v>32.92412376307103</v>
      </c>
      <c r="M77" s="148">
        <f t="shared" si="124"/>
        <v>29000</v>
      </c>
      <c r="N77" s="148">
        <f t="shared" si="116"/>
        <v>16500</v>
      </c>
      <c r="O77" s="148">
        <f t="shared" si="117"/>
        <v>2839.993648298605</v>
      </c>
      <c r="P77" s="148">
        <f t="shared" si="125"/>
        <v>48339.993648298609</v>
      </c>
      <c r="Q77" s="7">
        <f>'Seasonal (WITHOUT)'!Q77</f>
        <v>128238.95683364608</v>
      </c>
      <c r="R77" s="7">
        <f>-'LOAD DATA and INPUT SEASONAL'!$A$60*U77</f>
        <v>-6.9480946001690311</v>
      </c>
      <c r="S77" s="7">
        <f t="shared" si="126"/>
        <v>128232.00873904591</v>
      </c>
      <c r="T77" s="154">
        <v>7.3445948006059965</v>
      </c>
      <c r="U77" s="148">
        <v>0.69480946001690314</v>
      </c>
      <c r="V77" s="148">
        <f t="shared" si="127"/>
        <v>6.6497853405890934</v>
      </c>
      <c r="W77" s="148">
        <v>1461.5743653205932</v>
      </c>
      <c r="X77" s="148"/>
      <c r="Y77" s="148">
        <f t="shared" si="118"/>
        <v>1468.2241506611822</v>
      </c>
      <c r="Z77" s="148">
        <f t="shared" si="128"/>
        <v>1570.9998412074651</v>
      </c>
      <c r="AA77" s="148" t="b">
        <f t="shared" si="129"/>
        <v>1</v>
      </c>
      <c r="AB77" s="148">
        <f t="shared" si="158"/>
        <v>218.93835555141075</v>
      </c>
      <c r="AC77" s="148">
        <f t="shared" si="131"/>
        <v>48121.055292747202</v>
      </c>
      <c r="AD77" s="148">
        <f t="shared" si="132"/>
        <v>0</v>
      </c>
      <c r="AE77" s="148">
        <f t="shared" si="133"/>
        <v>48339.993648298616</v>
      </c>
      <c r="AF77" s="148">
        <f t="shared" si="134"/>
        <v>580.78007470671184</v>
      </c>
      <c r="AG77" s="148">
        <f t="shared" si="135"/>
        <v>127651.2286643392</v>
      </c>
      <c r="AH77" s="148">
        <f t="shared" si="136"/>
        <v>0</v>
      </c>
      <c r="AI77" s="148">
        <f t="shared" si="137"/>
        <v>128232.00873904591</v>
      </c>
      <c r="AJ77" s="148">
        <f t="shared" si="138"/>
        <v>799.71843025812257</v>
      </c>
      <c r="AK77" s="148">
        <f t="shared" si="139"/>
        <v>175772.28395708639</v>
      </c>
      <c r="AL77" s="148">
        <f t="shared" si="140"/>
        <v>0</v>
      </c>
      <c r="AM77" s="148">
        <f t="shared" si="141"/>
        <v>176572.00238734452</v>
      </c>
    </row>
    <row r="78" spans="1:39" s="66" customFormat="1" x14ac:dyDescent="0.25">
      <c r="A78" s="66">
        <v>20</v>
      </c>
      <c r="B78" s="148">
        <f t="shared" ref="B78:D78" si="162">B51</f>
        <v>1000</v>
      </c>
      <c r="C78" s="148">
        <f t="shared" si="162"/>
        <v>500</v>
      </c>
      <c r="D78" s="148">
        <f t="shared" si="162"/>
        <v>100</v>
      </c>
      <c r="E78" s="148">
        <f t="shared" si="120"/>
        <v>1000</v>
      </c>
      <c r="F78" s="148">
        <f t="shared" si="121"/>
        <v>500</v>
      </c>
      <c r="G78" s="148">
        <f t="shared" si="122"/>
        <v>7.9351834267056347</v>
      </c>
      <c r="H78" s="148">
        <f t="shared" si="123"/>
        <v>1507.9351834267056</v>
      </c>
      <c r="I78" s="148">
        <f t="shared" si="153"/>
        <v>29</v>
      </c>
      <c r="J78" s="148">
        <f t="shared" si="154"/>
        <v>33</v>
      </c>
      <c r="K78" s="148">
        <v>40</v>
      </c>
      <c r="L78" s="148">
        <f t="shared" si="115"/>
        <v>32.511096225805304</v>
      </c>
      <c r="M78" s="148">
        <f t="shared" si="124"/>
        <v>29000</v>
      </c>
      <c r="N78" s="148">
        <f t="shared" si="116"/>
        <v>16500</v>
      </c>
      <c r="O78" s="148">
        <f t="shared" si="117"/>
        <v>317.40733706822539</v>
      </c>
      <c r="P78" s="148">
        <f t="shared" si="125"/>
        <v>45817.407337068224</v>
      </c>
      <c r="Q78" s="7">
        <f>'Seasonal (WITHOUT)'!Q78</f>
        <v>123033.30842484605</v>
      </c>
      <c r="R78" s="7">
        <f>-'LOAD DATA and INPUT SEASONAL'!$A$60*U78</f>
        <v>-5.4056453332172467E-2</v>
      </c>
      <c r="S78" s="7">
        <f t="shared" si="126"/>
        <v>123033.25436839272</v>
      </c>
      <c r="T78" s="154">
        <v>7.0464531190056645</v>
      </c>
      <c r="U78" s="148">
        <v>5.4056453332172469E-3</v>
      </c>
      <c r="V78" s="148">
        <f t="shared" si="127"/>
        <v>7.0410474736724469</v>
      </c>
      <c r="W78" s="148">
        <v>1402.2441706821271</v>
      </c>
      <c r="X78" s="148"/>
      <c r="Y78" s="148">
        <f t="shared" si="118"/>
        <v>1409.2852181557996</v>
      </c>
      <c r="Z78" s="148">
        <f t="shared" si="128"/>
        <v>1507.9351834267056</v>
      </c>
      <c r="AA78" s="148" t="b">
        <f t="shared" si="129"/>
        <v>1</v>
      </c>
      <c r="AB78" s="148">
        <f t="shared" si="158"/>
        <v>228.91217194702824</v>
      </c>
      <c r="AC78" s="148">
        <f t="shared" si="131"/>
        <v>45588.495165121189</v>
      </c>
      <c r="AD78" s="148">
        <f t="shared" si="132"/>
        <v>0</v>
      </c>
      <c r="AE78" s="148">
        <f t="shared" si="133"/>
        <v>45817.407337068216</v>
      </c>
      <c r="AF78" s="148">
        <f t="shared" si="134"/>
        <v>614.69670843627739</v>
      </c>
      <c r="AG78" s="148">
        <f t="shared" si="135"/>
        <v>122418.55765995644</v>
      </c>
      <c r="AH78" s="148">
        <f t="shared" si="136"/>
        <v>0</v>
      </c>
      <c r="AI78" s="148">
        <f t="shared" si="137"/>
        <v>123033.25436839272</v>
      </c>
      <c r="AJ78" s="148">
        <f t="shared" si="138"/>
        <v>843.60888038330563</v>
      </c>
      <c r="AK78" s="148">
        <f t="shared" si="139"/>
        <v>168007.05282507761</v>
      </c>
      <c r="AL78" s="148">
        <f t="shared" si="140"/>
        <v>0</v>
      </c>
      <c r="AM78" s="148">
        <f t="shared" si="141"/>
        <v>168850.66170546092</v>
      </c>
    </row>
    <row r="79" spans="1:39" s="66" customFormat="1" x14ac:dyDescent="0.25">
      <c r="A79" s="66">
        <v>21</v>
      </c>
      <c r="B79" s="148">
        <f t="shared" ref="B79:D79" si="163">B52</f>
        <v>1000</v>
      </c>
      <c r="C79" s="148">
        <f t="shared" si="163"/>
        <v>500</v>
      </c>
      <c r="D79" s="148">
        <f t="shared" si="163"/>
        <v>100</v>
      </c>
      <c r="E79" s="148">
        <f t="shared" si="120"/>
        <v>1000</v>
      </c>
      <c r="F79" s="148">
        <f t="shared" si="121"/>
        <v>395.59128878748584</v>
      </c>
      <c r="G79" s="148">
        <f t="shared" si="122"/>
        <v>0</v>
      </c>
      <c r="H79" s="148">
        <f>SUM(E79:G79)</f>
        <v>1395.5912887874858</v>
      </c>
      <c r="I79" s="148">
        <f t="shared" si="153"/>
        <v>29</v>
      </c>
      <c r="J79" s="148">
        <f t="shared" si="154"/>
        <v>33</v>
      </c>
      <c r="K79" s="148">
        <v>40</v>
      </c>
      <c r="L79" s="148">
        <f t="shared" si="115"/>
        <v>32.24319954460411</v>
      </c>
      <c r="M79" s="148">
        <f>E79*I79</f>
        <v>29000</v>
      </c>
      <c r="N79" s="148">
        <f t="shared" si="116"/>
        <v>13054.512529987032</v>
      </c>
      <c r="O79" s="148">
        <f t="shared" si="117"/>
        <v>0</v>
      </c>
      <c r="P79" s="148">
        <f>SUM(M79:O79)</f>
        <v>42054.512529987034</v>
      </c>
      <c r="Q79" s="7">
        <f>'Seasonal (WITHOUT)'!Q79</f>
        <v>113866.66797495345</v>
      </c>
      <c r="R79" s="7">
        <f>-'LOAD DATA and INPUT SEASONAL'!$A$60*U79</f>
        <v>0</v>
      </c>
      <c r="S79" s="7">
        <f t="shared" si="126"/>
        <v>113866.66797495345</v>
      </c>
      <c r="T79" s="154">
        <v>6.5214546205022703</v>
      </c>
      <c r="U79" s="148">
        <v>0</v>
      </c>
      <c r="V79" s="148">
        <f t="shared" si="127"/>
        <v>6.5214546205022703</v>
      </c>
      <c r="W79" s="148">
        <v>1297.7694694799518</v>
      </c>
      <c r="X79" s="148"/>
      <c r="Y79" s="148">
        <f t="shared" si="118"/>
        <v>1304.290924100454</v>
      </c>
      <c r="Z79" s="148">
        <f>Y79*1.07</f>
        <v>1395.5912887874858</v>
      </c>
      <c r="AA79" s="148" t="b">
        <f>Z79=H79</f>
        <v>1</v>
      </c>
      <c r="AB79" s="148">
        <f>V79*L79</f>
        <v>210.27256264993517</v>
      </c>
      <c r="AC79" s="148">
        <f>W79*$L79</f>
        <v>41844.239967337096</v>
      </c>
      <c r="AD79" s="148">
        <f>X79*$L79</f>
        <v>0</v>
      </c>
      <c r="AE79" s="148">
        <f>SUM(AB79:AD79)</f>
        <v>42054.512529987034</v>
      </c>
      <c r="AF79" s="148">
        <f>$S79/$Y79*V79</f>
        <v>569.33333987476726</v>
      </c>
      <c r="AG79" s="148">
        <f t="shared" si="135"/>
        <v>113297.33463507869</v>
      </c>
      <c r="AH79" s="148">
        <f t="shared" si="136"/>
        <v>0</v>
      </c>
      <c r="AI79" s="148">
        <f>SUM(AF79:AH79)</f>
        <v>113866.66797495345</v>
      </c>
      <c r="AJ79" s="148">
        <f>AB79+AF79</f>
        <v>779.6059025247024</v>
      </c>
      <c r="AK79" s="148">
        <f>AC79+AG79</f>
        <v>155141.57460241579</v>
      </c>
      <c r="AL79" s="148">
        <f>AD79+AH79</f>
        <v>0</v>
      </c>
      <c r="AM79" s="148">
        <f>SUM(AJ79:AL79)</f>
        <v>155921.18050494048</v>
      </c>
    </row>
    <row r="80" spans="1:39" s="66" customFormat="1" x14ac:dyDescent="0.25">
      <c r="A80" s="66">
        <v>22</v>
      </c>
      <c r="B80" s="148">
        <f t="shared" ref="B80:D80" si="164">B53</f>
        <v>1000</v>
      </c>
      <c r="C80" s="148">
        <f t="shared" si="164"/>
        <v>500</v>
      </c>
      <c r="D80" s="148">
        <f t="shared" si="164"/>
        <v>100</v>
      </c>
      <c r="E80" s="148">
        <f t="shared" si="120"/>
        <v>1000</v>
      </c>
      <c r="F80" s="148">
        <f t="shared" si="121"/>
        <v>342.2463987056899</v>
      </c>
      <c r="G80" s="148">
        <f t="shared" si="122"/>
        <v>0</v>
      </c>
      <c r="H80" s="148">
        <f t="shared" ref="H80:H81" si="165">SUM(E80:G80)</f>
        <v>1342.2463987056899</v>
      </c>
      <c r="I80" s="148">
        <f t="shared" si="153"/>
        <v>29</v>
      </c>
      <c r="J80" s="148">
        <f t="shared" si="154"/>
        <v>33</v>
      </c>
      <c r="K80" s="148">
        <v>40</v>
      </c>
      <c r="L80" s="148">
        <f t="shared" si="115"/>
        <v>32.121315713622224</v>
      </c>
      <c r="M80" s="148">
        <f t="shared" ref="M80:M81" si="166">E80*I80</f>
        <v>29000</v>
      </c>
      <c r="N80" s="148">
        <f t="shared" si="116"/>
        <v>11294.131157287768</v>
      </c>
      <c r="O80" s="148">
        <f t="shared" si="117"/>
        <v>0</v>
      </c>
      <c r="P80" s="148">
        <f t="shared" ref="P80:P81" si="167">SUM(M80:O80)</f>
        <v>40294.131157287768</v>
      </c>
      <c r="Q80" s="7">
        <f>'Seasonal (WITHOUT)'!Q80</f>
        <v>109514.24406982746</v>
      </c>
      <c r="R80" s="7">
        <f>-'LOAD DATA and INPUT SEASONAL'!$A$60*U80</f>
        <v>0</v>
      </c>
      <c r="S80" s="7">
        <f t="shared" si="126"/>
        <v>109514.24406982746</v>
      </c>
      <c r="T80" s="154">
        <v>6.2721794332041583</v>
      </c>
      <c r="U80" s="148">
        <v>0</v>
      </c>
      <c r="V80" s="148">
        <f t="shared" si="127"/>
        <v>6.2721794332041583</v>
      </c>
      <c r="W80" s="148">
        <v>1248.1637072076273</v>
      </c>
      <c r="X80" s="148"/>
      <c r="Y80" s="148">
        <f t="shared" si="118"/>
        <v>1254.4358866408315</v>
      </c>
      <c r="Z80" s="148">
        <f t="shared" si="128"/>
        <v>1342.2463987056899</v>
      </c>
      <c r="AA80" s="148" t="b">
        <f t="shared" ref="AA80:AA81" si="168">Z80=H80</f>
        <v>1</v>
      </c>
      <c r="AB80" s="148">
        <f t="shared" ref="AB80:AB81" si="169">V80*L80</f>
        <v>201.47065578643887</v>
      </c>
      <c r="AC80" s="148">
        <f t="shared" ref="AC80:AC81" si="170">W80*$L80</f>
        <v>40092.660501501327</v>
      </c>
      <c r="AD80" s="148">
        <f t="shared" ref="AD80:AD81" si="171">X80*$L80</f>
        <v>0</v>
      </c>
      <c r="AE80" s="148">
        <f t="shared" ref="AE80:AE81" si="172">SUM(AB80:AD80)</f>
        <v>40294.131157287768</v>
      </c>
      <c r="AF80" s="148">
        <f t="shared" ref="AF80:AF81" si="173">$S80/$Y80*V80</f>
        <v>547.57122034913732</v>
      </c>
      <c r="AG80" s="148">
        <f t="shared" si="135"/>
        <v>108966.67284947832</v>
      </c>
      <c r="AH80" s="148">
        <f t="shared" si="136"/>
        <v>0</v>
      </c>
      <c r="AI80" s="148">
        <f t="shared" ref="AI80:AI81" si="174">SUM(AF80:AH80)</f>
        <v>109514.24406982746</v>
      </c>
      <c r="AJ80" s="148">
        <f t="shared" ref="AJ80:AJ81" si="175">AB80+AF80</f>
        <v>749.04187613557622</v>
      </c>
      <c r="AK80" s="148">
        <f t="shared" ref="AK80:AK81" si="176">AC80+AG80</f>
        <v>149059.33335097964</v>
      </c>
      <c r="AL80" s="148">
        <f t="shared" ref="AL80:AL81" si="177">AD80+AH80</f>
        <v>0</v>
      </c>
      <c r="AM80" s="148">
        <f t="shared" ref="AM80:AM81" si="178">SUM(AJ80:AL80)</f>
        <v>149808.3752271152</v>
      </c>
    </row>
    <row r="81" spans="1:39" s="66" customFormat="1" x14ac:dyDescent="0.25">
      <c r="A81" s="66">
        <v>23</v>
      </c>
      <c r="B81" s="148">
        <f t="shared" ref="B81:D81" si="179">B54</f>
        <v>1000</v>
      </c>
      <c r="C81" s="148">
        <f t="shared" si="179"/>
        <v>500</v>
      </c>
      <c r="D81" s="148">
        <f t="shared" si="179"/>
        <v>100</v>
      </c>
      <c r="E81" s="148">
        <f t="shared" si="120"/>
        <v>1000</v>
      </c>
      <c r="F81" s="148">
        <f t="shared" si="121"/>
        <v>168.47880430193004</v>
      </c>
      <c r="G81" s="148">
        <f t="shared" si="122"/>
        <v>0</v>
      </c>
      <c r="H81" s="148">
        <f t="shared" si="165"/>
        <v>1168.47880430193</v>
      </c>
      <c r="I81" s="148">
        <f t="shared" si="153"/>
        <v>29</v>
      </c>
      <c r="J81" s="148">
        <f t="shared" si="154"/>
        <v>33</v>
      </c>
      <c r="K81" s="148">
        <v>40</v>
      </c>
      <c r="L81" s="148">
        <f t="shared" si="115"/>
        <v>31.647117982591951</v>
      </c>
      <c r="M81" s="148">
        <f t="shared" si="166"/>
        <v>29000</v>
      </c>
      <c r="N81" s="148">
        <f t="shared" si="116"/>
        <v>5559.8005419636911</v>
      </c>
      <c r="O81" s="148">
        <f t="shared" si="117"/>
        <v>0</v>
      </c>
      <c r="P81" s="148">
        <f t="shared" si="167"/>
        <v>34559.80054196369</v>
      </c>
      <c r="Q81" s="7">
        <f>'Seasonal (WITHOUT)'!Q81</f>
        <v>95336.499385013594</v>
      </c>
      <c r="R81" s="7">
        <f>-'LOAD DATA and INPUT SEASONAL'!$A$60*U81</f>
        <v>0</v>
      </c>
      <c r="S81" s="7">
        <f t="shared" si="126"/>
        <v>95336.499385013594</v>
      </c>
      <c r="T81" s="154">
        <v>5.4601813285136913</v>
      </c>
      <c r="U81" s="148">
        <v>0</v>
      </c>
      <c r="V81" s="148">
        <f t="shared" si="127"/>
        <v>5.4601813285136913</v>
      </c>
      <c r="W81" s="148">
        <v>1086.5760843742246</v>
      </c>
      <c r="X81" s="148"/>
      <c r="Y81" s="148">
        <f t="shared" si="118"/>
        <v>1092.0362657027383</v>
      </c>
      <c r="Z81" s="148">
        <f t="shared" si="128"/>
        <v>1168.47880430193</v>
      </c>
      <c r="AA81" s="148" t="b">
        <f t="shared" si="168"/>
        <v>1</v>
      </c>
      <c r="AB81" s="148">
        <f t="shared" si="169"/>
        <v>172.79900270981844</v>
      </c>
      <c r="AC81" s="148">
        <f t="shared" si="170"/>
        <v>34387.00153925387</v>
      </c>
      <c r="AD81" s="148">
        <f t="shared" si="171"/>
        <v>0</v>
      </c>
      <c r="AE81" s="148">
        <f t="shared" si="172"/>
        <v>34559.80054196369</v>
      </c>
      <c r="AF81" s="148">
        <f t="shared" si="173"/>
        <v>476.68249692506799</v>
      </c>
      <c r="AG81" s="148">
        <f t="shared" si="135"/>
        <v>94859.816888088535</v>
      </c>
      <c r="AH81" s="148">
        <f t="shared" si="136"/>
        <v>0</v>
      </c>
      <c r="AI81" s="148">
        <f t="shared" si="174"/>
        <v>95336.499385013609</v>
      </c>
      <c r="AJ81" s="148">
        <f t="shared" si="175"/>
        <v>649.4814996348864</v>
      </c>
      <c r="AK81" s="148">
        <f t="shared" si="176"/>
        <v>129246.8184273424</v>
      </c>
      <c r="AL81" s="148">
        <f t="shared" si="177"/>
        <v>0</v>
      </c>
      <c r="AM81" s="148">
        <f t="shared" si="178"/>
        <v>129896.29992697728</v>
      </c>
    </row>
    <row r="82" spans="1:39" s="66" customFormat="1" x14ac:dyDescent="0.25">
      <c r="A82" s="66">
        <v>24</v>
      </c>
      <c r="B82" s="148">
        <f t="shared" ref="B82:D82" si="180">B55</f>
        <v>1000</v>
      </c>
      <c r="C82" s="148">
        <f t="shared" si="180"/>
        <v>500</v>
      </c>
      <c r="D82" s="148">
        <f t="shared" si="180"/>
        <v>100</v>
      </c>
      <c r="E82" s="148">
        <f t="shared" si="120"/>
        <v>893.86614292687807</v>
      </c>
      <c r="F82" s="148">
        <f t="shared" si="121"/>
        <v>0</v>
      </c>
      <c r="G82" s="148">
        <f t="shared" si="122"/>
        <v>0</v>
      </c>
      <c r="H82" s="148">
        <f>SUM(E82:G82)</f>
        <v>893.86614292687807</v>
      </c>
      <c r="I82" s="148">
        <f t="shared" si="153"/>
        <v>29</v>
      </c>
      <c r="J82" s="148">
        <f t="shared" si="154"/>
        <v>33</v>
      </c>
      <c r="K82" s="148">
        <v>40</v>
      </c>
      <c r="L82" s="148">
        <f>P82/Y82</f>
        <v>31.03</v>
      </c>
      <c r="M82" s="148">
        <f>E82*I82</f>
        <v>25922.118144879463</v>
      </c>
      <c r="N82" s="148">
        <f t="shared" si="116"/>
        <v>0</v>
      </c>
      <c r="O82" s="148">
        <f t="shared" si="117"/>
        <v>0</v>
      </c>
      <c r="P82" s="148">
        <f>SUM(M82:O82)</f>
        <v>25922.118144879463</v>
      </c>
      <c r="Q82" s="7">
        <f>'Seasonal (WITHOUT)'!Q82</f>
        <v>72930.778608640292</v>
      </c>
      <c r="R82" s="7">
        <f>-'LOAD DATA and INPUT SEASONAL'!$A$60*U82</f>
        <v>0</v>
      </c>
      <c r="S82" s="7">
        <f t="shared" si="126"/>
        <v>72930.778608640292</v>
      </c>
      <c r="T82" s="154">
        <v>4.1769445931162519</v>
      </c>
      <c r="U82" s="148">
        <v>0</v>
      </c>
      <c r="V82" s="148">
        <f>T82-U82</f>
        <v>4.1769445931162519</v>
      </c>
      <c r="W82" s="148">
        <v>831.21197403013423</v>
      </c>
      <c r="X82" s="148"/>
      <c r="Y82" s="148">
        <f>SUM(V82:X82)</f>
        <v>835.38891862325045</v>
      </c>
      <c r="Z82" s="148">
        <f>Y82*1.07</f>
        <v>893.86614292687807</v>
      </c>
      <c r="AA82" s="148" t="b">
        <f>Z82=H82</f>
        <v>1</v>
      </c>
      <c r="AB82" s="148">
        <f>V82*L82</f>
        <v>129.6105907243973</v>
      </c>
      <c r="AC82" s="148">
        <f>W82*$L82</f>
        <v>25792.507554155065</v>
      </c>
      <c r="AD82" s="148">
        <f>X82*$L82</f>
        <v>0</v>
      </c>
      <c r="AE82" s="148">
        <f>SUM(AB82:AD82)</f>
        <v>25922.118144879463</v>
      </c>
      <c r="AF82" s="148">
        <f>$S82/$Y82*V82</f>
        <v>364.65389304320144</v>
      </c>
      <c r="AG82" s="148">
        <f t="shared" si="135"/>
        <v>72566.124715597092</v>
      </c>
      <c r="AH82" s="148">
        <f t="shared" si="136"/>
        <v>0</v>
      </c>
      <c r="AI82" s="148">
        <f>SUM(AF82:AH82)</f>
        <v>72930.778608640292</v>
      </c>
      <c r="AJ82" s="148">
        <f>AB82+AF82</f>
        <v>494.26448376759873</v>
      </c>
      <c r="AK82" s="148">
        <f>AC82+AG82</f>
        <v>98358.632269752154</v>
      </c>
      <c r="AL82" s="148">
        <f>AD82+AH82</f>
        <v>0</v>
      </c>
      <c r="AM82" s="148">
        <f>SUM(AJ82:AL82)</f>
        <v>98852.896753519759</v>
      </c>
    </row>
    <row r="83" spans="1:39" s="66" customFormat="1" x14ac:dyDescent="0.25">
      <c r="A83" s="66" t="s">
        <v>34</v>
      </c>
      <c r="B83" s="66">
        <f t="shared" ref="B83:AA83" si="181">SUM(B59:B82)</f>
        <v>24000</v>
      </c>
      <c r="C83" s="66">
        <f t="shared" si="181"/>
        <v>12000</v>
      </c>
      <c r="D83" s="66">
        <f t="shared" si="181"/>
        <v>2400</v>
      </c>
      <c r="E83" s="66">
        <f t="shared" si="181"/>
        <v>19317.916934927958</v>
      </c>
      <c r="F83" s="66">
        <f t="shared" si="181"/>
        <v>3590.2671215701366</v>
      </c>
      <c r="G83" s="66">
        <f t="shared" si="181"/>
        <v>129.34281224963888</v>
      </c>
      <c r="H83" s="66">
        <f t="shared" si="181"/>
        <v>23037.526868747736</v>
      </c>
      <c r="I83" s="66">
        <f t="shared" si="153"/>
        <v>29</v>
      </c>
      <c r="J83" s="66">
        <f t="shared" si="154"/>
        <v>33</v>
      </c>
      <c r="K83" s="66">
        <f t="shared" si="154"/>
        <v>40</v>
      </c>
      <c r="L83" s="66">
        <f t="shared" si="181"/>
        <v>756.60773286619985</v>
      </c>
      <c r="M83" s="66">
        <f t="shared" si="181"/>
        <v>560219.59111291077</v>
      </c>
      <c r="N83" s="66">
        <f t="shared" si="181"/>
        <v>118478.8150118145</v>
      </c>
      <c r="O83" s="66">
        <f t="shared" si="181"/>
        <v>5173.7124899855553</v>
      </c>
      <c r="P83" s="66">
        <f t="shared" si="181"/>
        <v>683872.11861471087</v>
      </c>
      <c r="Q83" s="66">
        <f t="shared" si="181"/>
        <v>1886576.2490367955</v>
      </c>
      <c r="R83" s="66">
        <f t="shared" si="181"/>
        <v>-794.74455695853499</v>
      </c>
      <c r="S83" s="66">
        <f t="shared" si="181"/>
        <v>1885781.5044798367</v>
      </c>
      <c r="T83" s="66">
        <f t="shared" si="181"/>
        <v>108.04936699225374</v>
      </c>
      <c r="U83" s="66">
        <f t="shared" si="181"/>
        <v>79.474455695853507</v>
      </c>
      <c r="V83" s="66">
        <f t="shared" si="181"/>
        <v>28.574911296400217</v>
      </c>
      <c r="W83" s="66">
        <f t="shared" si="181"/>
        <v>21501.824031458491</v>
      </c>
      <c r="X83" s="66">
        <f t="shared" si="181"/>
        <v>0</v>
      </c>
      <c r="Y83" s="66">
        <f t="shared" si="181"/>
        <v>21530.398942754891</v>
      </c>
      <c r="Z83" s="66">
        <f t="shared" si="181"/>
        <v>23037.526868747736</v>
      </c>
      <c r="AA83" s="66">
        <f t="shared" si="181"/>
        <v>0</v>
      </c>
      <c r="AB83" s="66">
        <f t="shared" ref="AB83" si="182">SUM(AB59:AB82)</f>
        <v>932.40520389806522</v>
      </c>
      <c r="AC83" s="66">
        <f t="shared" ref="AC83" si="183">SUM(AC59:AC82)</f>
        <v>682939.71341081278</v>
      </c>
      <c r="AD83" s="66">
        <f t="shared" ref="AD83" si="184">SUM(AD59:AD82)</f>
        <v>0</v>
      </c>
      <c r="AE83" s="66">
        <f t="shared" ref="AE83" si="185">SUM(AE59:AE82)</f>
        <v>683872.11861471087</v>
      </c>
      <c r="AF83" s="66">
        <f t="shared" ref="AF83" si="186">SUM(AF59:AF82)</f>
        <v>2471.1029154268417</v>
      </c>
      <c r="AG83" s="66">
        <f t="shared" ref="AG83" si="187">SUM(AG59:AG82)</f>
        <v>1883310.40156441</v>
      </c>
      <c r="AH83" s="66">
        <f t="shared" ref="AH83" si="188">SUM(AH59:AH82)</f>
        <v>0</v>
      </c>
      <c r="AI83" s="66">
        <f t="shared" ref="AI83" si="189">SUM(AI59:AI82)</f>
        <v>1885781.5044798369</v>
      </c>
      <c r="AJ83" s="66">
        <f t="shared" ref="AJ83" si="190">SUM(AJ59:AJ82)</f>
        <v>3403.5081193249071</v>
      </c>
      <c r="AK83" s="66">
        <f t="shared" ref="AK83" si="191">SUM(AK59:AK82)</f>
        <v>2566250.1149752229</v>
      </c>
      <c r="AL83" s="66">
        <f t="shared" ref="AL83" si="192">SUM(AL59:AL82)</f>
        <v>0</v>
      </c>
      <c r="AM83" s="66">
        <f>SUM(AM59:AM82)</f>
        <v>2569653.6230945475</v>
      </c>
    </row>
    <row r="84" spans="1:39" x14ac:dyDescent="0.25"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2"/>
      <c r="S84" s="151"/>
    </row>
    <row r="85" spans="1:39" s="66" customFormat="1" x14ac:dyDescent="0.25">
      <c r="A85" s="66" t="s">
        <v>36</v>
      </c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53"/>
      <c r="S85" s="148"/>
      <c r="T85" s="144"/>
      <c r="U85" s="144"/>
      <c r="V85" s="144"/>
    </row>
    <row r="86" spans="1:39" s="66" customFormat="1" x14ac:dyDescent="0.25">
      <c r="A86" s="66">
        <v>1</v>
      </c>
      <c r="B86" s="148">
        <f>B59</f>
        <v>1000</v>
      </c>
      <c r="C86" s="148">
        <f t="shared" ref="C86:D86" si="193">C59</f>
        <v>500</v>
      </c>
      <c r="D86" s="148">
        <f t="shared" si="193"/>
        <v>100</v>
      </c>
      <c r="E86" s="148">
        <f>IF(B86&lt;Z86,B86,Z86)</f>
        <v>504.45322833466736</v>
      </c>
      <c r="F86" s="148">
        <f>IF(C86&lt;Z86-E86,C86,Z86-E86)</f>
        <v>0</v>
      </c>
      <c r="G86" s="148">
        <f>IF(SUM(E86,F86)&lt;Z86,IF(SUM(E86,F86,D86)&lt;Z86,D86,Z86-E86-F86),0)</f>
        <v>0</v>
      </c>
      <c r="H86" s="148">
        <f>SUM(E86:G86)</f>
        <v>504.45322833466736</v>
      </c>
      <c r="I86" s="148">
        <f>I82</f>
        <v>29</v>
      </c>
      <c r="J86" s="148">
        <f>J82</f>
        <v>33</v>
      </c>
      <c r="K86" s="148">
        <v>40</v>
      </c>
      <c r="L86" s="148">
        <f t="shared" ref="L86:L108" si="194">P86/Y86</f>
        <v>31.03</v>
      </c>
      <c r="M86" s="148">
        <f>E86*I86</f>
        <v>14629.143621705354</v>
      </c>
      <c r="N86" s="148">
        <f t="shared" ref="N86:N109" si="195">F86*J86</f>
        <v>0</v>
      </c>
      <c r="O86" s="148">
        <f t="shared" ref="O86:O109" si="196">G86*K86</f>
        <v>0</v>
      </c>
      <c r="P86" s="148">
        <f>SUM(M86:O86)</f>
        <v>14629.143621705354</v>
      </c>
      <c r="Q86" s="7">
        <f>'Seasonal (WITHOUT)'!Q86</f>
        <v>41158.474347874573</v>
      </c>
      <c r="R86" s="7">
        <f>-'LOAD DATA and INPUT SEASONAL'!$A$60*U86</f>
        <v>0</v>
      </c>
      <c r="S86" s="7">
        <f>Q86+R86</f>
        <v>41158.474347874573</v>
      </c>
      <c r="T86" s="154">
        <f t="array" ref="T86:T109">TRANSPOSE('LOAD DATA and INPUT SEASONAL'!F25:AC25)</f>
        <v>2.3572580763302216</v>
      </c>
      <c r="U86" s="148">
        <f t="array" ref="U86:U109">TRANSPOSE('LOAD DATA and INPUT SEASONAL'!F57:AC57)</f>
        <v>0</v>
      </c>
      <c r="V86" s="148">
        <f>T86-U86</f>
        <v>2.3572580763302216</v>
      </c>
      <c r="W86" s="148">
        <f t="array" ref="W86:W109">TRANSPOSE('LOAD DATA and INPUT SEASONAL'!F34:AC34)</f>
        <v>469.09435718971406</v>
      </c>
      <c r="X86" s="148"/>
      <c r="Y86" s="148">
        <f t="shared" ref="Y86:Y108" si="197">SUM(V86:X86)</f>
        <v>471.45161526604426</v>
      </c>
      <c r="Z86" s="148">
        <f>Y86*1.07</f>
        <v>504.45322833466736</v>
      </c>
      <c r="AA86" s="148" t="b">
        <f>Z86=H86</f>
        <v>1</v>
      </c>
      <c r="AB86" s="148">
        <f>V86*L86</f>
        <v>73.145718108526779</v>
      </c>
      <c r="AC86" s="148">
        <f>W86*$L86</f>
        <v>14555.997903596828</v>
      </c>
      <c r="AD86" s="148">
        <f>X86*$L86</f>
        <v>0</v>
      </c>
      <c r="AE86" s="148">
        <f>SUM(AB86:AD86)</f>
        <v>14629.143621705354</v>
      </c>
      <c r="AF86" s="148">
        <f>$S86/$Y86*V86</f>
        <v>205.7923717393729</v>
      </c>
      <c r="AG86" s="148">
        <f>$S86/$Y86*W86</f>
        <v>40952.681976135202</v>
      </c>
      <c r="AH86" s="148">
        <f>$S86/$Y86*X86</f>
        <v>0</v>
      </c>
      <c r="AI86" s="148">
        <f>SUM(AF86:AH86)</f>
        <v>41158.474347874573</v>
      </c>
      <c r="AJ86" s="148">
        <f>AB86+AF86</f>
        <v>278.93808984789968</v>
      </c>
      <c r="AK86" s="148">
        <f>AC86+AG86</f>
        <v>55508.67987973203</v>
      </c>
      <c r="AL86" s="148">
        <f>AD86+AH86</f>
        <v>0</v>
      </c>
      <c r="AM86" s="148">
        <f>SUM(AJ86:AL86)</f>
        <v>55787.617969579929</v>
      </c>
    </row>
    <row r="87" spans="1:39" s="66" customFormat="1" x14ac:dyDescent="0.25">
      <c r="A87" s="66">
        <v>2</v>
      </c>
      <c r="B87" s="148">
        <f t="shared" ref="B87:D87" si="198">B60</f>
        <v>1000</v>
      </c>
      <c r="C87" s="148">
        <f t="shared" si="198"/>
        <v>500</v>
      </c>
      <c r="D87" s="148">
        <f t="shared" si="198"/>
        <v>100</v>
      </c>
      <c r="E87" s="148">
        <f t="shared" ref="E87:E109" si="199">IF(B87&lt;Z87,B87,Z87)</f>
        <v>447.00014481032531</v>
      </c>
      <c r="F87" s="148">
        <f t="shared" ref="F87:F109" si="200">IF(C87&lt;Z87-E87,C87,Z87-E87)</f>
        <v>0</v>
      </c>
      <c r="G87" s="148">
        <f t="shared" ref="G87:G109" si="201">IF(SUM(E87,F87)&lt;Z87,IF(SUM(E87,F87,D87)&lt;Z87,D87,Z87-E87-F87),0)</f>
        <v>0</v>
      </c>
      <c r="H87" s="148">
        <f t="shared" ref="H87:H105" si="202">SUM(E87:G87)</f>
        <v>447.00014481032531</v>
      </c>
      <c r="I87" s="148">
        <f t="shared" si="153"/>
        <v>29</v>
      </c>
      <c r="J87" s="148">
        <f t="shared" si="154"/>
        <v>33</v>
      </c>
      <c r="K87" s="148">
        <v>40</v>
      </c>
      <c r="L87" s="148">
        <f t="shared" si="194"/>
        <v>31.03</v>
      </c>
      <c r="M87" s="148">
        <f t="shared" ref="M87:M105" si="203">E87*I87</f>
        <v>12963.004199499434</v>
      </c>
      <c r="N87" s="148">
        <f t="shared" si="195"/>
        <v>0</v>
      </c>
      <c r="O87" s="148">
        <f t="shared" si="196"/>
        <v>0</v>
      </c>
      <c r="P87" s="148">
        <f t="shared" ref="P87:P105" si="204">SUM(M87:O87)</f>
        <v>12963.004199499434</v>
      </c>
      <c r="Q87" s="7">
        <f>'Seasonal (WITHOUT)'!Q87</f>
        <v>36470.861836702104</v>
      </c>
      <c r="R87" s="7">
        <f>-'LOAD DATA and INPUT SEASONAL'!$A$60*U87</f>
        <v>0</v>
      </c>
      <c r="S87" s="7">
        <f t="shared" ref="S87:S109" si="205">Q87+R87</f>
        <v>36470.861836702104</v>
      </c>
      <c r="T87" s="154">
        <v>2.0887857234127352</v>
      </c>
      <c r="U87" s="148">
        <v>0</v>
      </c>
      <c r="V87" s="148">
        <f t="shared" ref="V87:V108" si="206">T87-U87</f>
        <v>2.0887857234127352</v>
      </c>
      <c r="W87" s="148">
        <v>415.66835895913425</v>
      </c>
      <c r="X87" s="148"/>
      <c r="Y87" s="148">
        <f t="shared" si="197"/>
        <v>417.75714468254699</v>
      </c>
      <c r="Z87" s="148">
        <f t="shared" ref="Z87:Z108" si="207">Y87*1.07</f>
        <v>447.00014481032531</v>
      </c>
      <c r="AA87" s="148" t="b">
        <f t="shared" ref="AA87:AA105" si="208">Z87=H87</f>
        <v>1</v>
      </c>
      <c r="AB87" s="148">
        <f t="shared" ref="AB87:AB99" si="209">V87*L87</f>
        <v>64.815020997497172</v>
      </c>
      <c r="AC87" s="148">
        <f t="shared" ref="AC87:AC105" si="210">W87*$L87</f>
        <v>12898.189178501936</v>
      </c>
      <c r="AD87" s="148">
        <f t="shared" ref="AD87:AD105" si="211">X87*$L87</f>
        <v>0</v>
      </c>
      <c r="AE87" s="148">
        <f t="shared" ref="AE87:AE105" si="212">SUM(AB87:AD87)</f>
        <v>12963.004199499434</v>
      </c>
      <c r="AF87" s="148">
        <f t="shared" ref="AF87:AF105" si="213">$S87/$Y87*V87</f>
        <v>182.35430918351054</v>
      </c>
      <c r="AG87" s="148">
        <f t="shared" ref="AG87:AG109" si="214">$S87/$Y87*W87</f>
        <v>36288.507527518595</v>
      </c>
      <c r="AH87" s="148">
        <f t="shared" ref="AH87:AH109" si="215">$S87/$Y87*X87</f>
        <v>0</v>
      </c>
      <c r="AI87" s="148">
        <f t="shared" ref="AI87:AI105" si="216">SUM(AF87:AH87)</f>
        <v>36470.861836702104</v>
      </c>
      <c r="AJ87" s="148">
        <f t="shared" ref="AJ87:AJ105" si="217">AB87+AF87</f>
        <v>247.16933018100769</v>
      </c>
      <c r="AK87" s="148">
        <f t="shared" ref="AK87:AK105" si="218">AC87+AG87</f>
        <v>49186.696706020535</v>
      </c>
      <c r="AL87" s="148">
        <f t="shared" ref="AL87:AL105" si="219">AD87+AH87</f>
        <v>0</v>
      </c>
      <c r="AM87" s="148">
        <f t="shared" ref="AM87:AM105" si="220">SUM(AJ87:AL87)</f>
        <v>49433.866036201543</v>
      </c>
    </row>
    <row r="88" spans="1:39" s="66" customFormat="1" x14ac:dyDescent="0.25">
      <c r="A88" s="66">
        <v>3</v>
      </c>
      <c r="B88" s="148">
        <f t="shared" ref="B88:D88" si="221">B61</f>
        <v>1000</v>
      </c>
      <c r="C88" s="148">
        <f t="shared" si="221"/>
        <v>500</v>
      </c>
      <c r="D88" s="148">
        <f t="shared" si="221"/>
        <v>100</v>
      </c>
      <c r="E88" s="148">
        <f t="shared" si="199"/>
        <v>421.10074309344122</v>
      </c>
      <c r="F88" s="148">
        <f t="shared" si="200"/>
        <v>0</v>
      </c>
      <c r="G88" s="148">
        <f t="shared" si="201"/>
        <v>0</v>
      </c>
      <c r="H88" s="148">
        <f t="shared" si="202"/>
        <v>421.10074309344122</v>
      </c>
      <c r="I88" s="148">
        <f t="shared" si="153"/>
        <v>29</v>
      </c>
      <c r="J88" s="148">
        <f t="shared" si="154"/>
        <v>33</v>
      </c>
      <c r="K88" s="148">
        <v>40</v>
      </c>
      <c r="L88" s="148">
        <f t="shared" si="194"/>
        <v>31.03</v>
      </c>
      <c r="M88" s="148">
        <f t="shared" si="203"/>
        <v>12211.921549709796</v>
      </c>
      <c r="N88" s="148">
        <f t="shared" si="195"/>
        <v>0</v>
      </c>
      <c r="O88" s="148">
        <f t="shared" si="196"/>
        <v>0</v>
      </c>
      <c r="P88" s="148">
        <f t="shared" si="204"/>
        <v>12211.921549709796</v>
      </c>
      <c r="Q88" s="7">
        <f>'Seasonal (WITHOUT)'!Q88</f>
        <v>34357.722696511148</v>
      </c>
      <c r="R88" s="7">
        <f>-'LOAD DATA and INPUT SEASONAL'!$A$60*U88</f>
        <v>0</v>
      </c>
      <c r="S88" s="7">
        <f t="shared" si="205"/>
        <v>34357.722696511148</v>
      </c>
      <c r="T88" s="154">
        <v>1.9677604817450525</v>
      </c>
      <c r="U88" s="148">
        <v>0</v>
      </c>
      <c r="V88" s="148">
        <f t="shared" si="206"/>
        <v>1.9677604817450525</v>
      </c>
      <c r="W88" s="148">
        <v>391.58433586726539</v>
      </c>
      <c r="X88" s="148"/>
      <c r="Y88" s="148">
        <f t="shared" si="197"/>
        <v>393.55209634901047</v>
      </c>
      <c r="Z88" s="148">
        <f t="shared" si="207"/>
        <v>421.10074309344122</v>
      </c>
      <c r="AA88" s="148" t="b">
        <f t="shared" si="208"/>
        <v>1</v>
      </c>
      <c r="AB88" s="148">
        <f t="shared" si="209"/>
        <v>61.059607748548977</v>
      </c>
      <c r="AC88" s="148">
        <f t="shared" si="210"/>
        <v>12150.861941961246</v>
      </c>
      <c r="AD88" s="148">
        <f t="shared" si="211"/>
        <v>0</v>
      </c>
      <c r="AE88" s="148">
        <f t="shared" si="212"/>
        <v>12211.921549709796</v>
      </c>
      <c r="AF88" s="148">
        <f t="shared" si="213"/>
        <v>171.78861348255575</v>
      </c>
      <c r="AG88" s="148">
        <f t="shared" si="214"/>
        <v>34185.934083028587</v>
      </c>
      <c r="AH88" s="148">
        <f t="shared" si="215"/>
        <v>0</v>
      </c>
      <c r="AI88" s="148">
        <f t="shared" si="216"/>
        <v>34357.72269651114</v>
      </c>
      <c r="AJ88" s="148">
        <f t="shared" si="217"/>
        <v>232.84822123110473</v>
      </c>
      <c r="AK88" s="148">
        <f t="shared" si="218"/>
        <v>46336.796024989831</v>
      </c>
      <c r="AL88" s="148">
        <f t="shared" si="219"/>
        <v>0</v>
      </c>
      <c r="AM88" s="148">
        <f t="shared" si="220"/>
        <v>46569.644246220938</v>
      </c>
    </row>
    <row r="89" spans="1:39" s="66" customFormat="1" x14ac:dyDescent="0.25">
      <c r="A89" s="66">
        <v>4</v>
      </c>
      <c r="B89" s="148">
        <f t="shared" ref="B89:D89" si="222">B62</f>
        <v>1000</v>
      </c>
      <c r="C89" s="148">
        <f t="shared" si="222"/>
        <v>500</v>
      </c>
      <c r="D89" s="148">
        <f t="shared" si="222"/>
        <v>100</v>
      </c>
      <c r="E89" s="148">
        <f t="shared" si="199"/>
        <v>410.66350865897658</v>
      </c>
      <c r="F89" s="148">
        <f t="shared" si="200"/>
        <v>0</v>
      </c>
      <c r="G89" s="148">
        <f t="shared" si="201"/>
        <v>0</v>
      </c>
      <c r="H89" s="148">
        <f t="shared" si="202"/>
        <v>410.66350865897658</v>
      </c>
      <c r="I89" s="148">
        <f t="shared" si="153"/>
        <v>29</v>
      </c>
      <c r="J89" s="148">
        <f t="shared" si="154"/>
        <v>33</v>
      </c>
      <c r="K89" s="148">
        <v>40</v>
      </c>
      <c r="L89" s="148">
        <f t="shared" si="194"/>
        <v>31.030000000000005</v>
      </c>
      <c r="M89" s="148">
        <f t="shared" si="203"/>
        <v>11909.241751110321</v>
      </c>
      <c r="N89" s="148">
        <f t="shared" si="195"/>
        <v>0</v>
      </c>
      <c r="O89" s="148">
        <f t="shared" si="196"/>
        <v>0</v>
      </c>
      <c r="P89" s="148">
        <f t="shared" si="204"/>
        <v>11909.241751110321</v>
      </c>
      <c r="Q89" s="7">
        <f>'Seasonal (WITHOUT)'!Q89</f>
        <v>33506.145936556954</v>
      </c>
      <c r="R89" s="7">
        <f>-'LOAD DATA and INPUT SEASONAL'!$A$60*U89</f>
        <v>0</v>
      </c>
      <c r="S89" s="7">
        <f t="shared" si="205"/>
        <v>33506.145936556954</v>
      </c>
      <c r="T89" s="154">
        <v>1.9189883582195166</v>
      </c>
      <c r="U89" s="148">
        <v>0</v>
      </c>
      <c r="V89" s="148">
        <f t="shared" si="206"/>
        <v>1.9189883582195166</v>
      </c>
      <c r="W89" s="148">
        <v>381.87868328568379</v>
      </c>
      <c r="X89" s="148"/>
      <c r="Y89" s="148">
        <f t="shared" si="197"/>
        <v>383.7976716439033</v>
      </c>
      <c r="Z89" s="148">
        <f t="shared" si="207"/>
        <v>410.66350865897658</v>
      </c>
      <c r="AA89" s="148" t="b">
        <f t="shared" si="208"/>
        <v>1</v>
      </c>
      <c r="AB89" s="148">
        <f t="shared" si="209"/>
        <v>59.546208755551611</v>
      </c>
      <c r="AC89" s="148">
        <f t="shared" si="210"/>
        <v>11849.69554235477</v>
      </c>
      <c r="AD89" s="148">
        <f t="shared" si="211"/>
        <v>0</v>
      </c>
      <c r="AE89" s="148">
        <f t="shared" si="212"/>
        <v>11909.241751110321</v>
      </c>
      <c r="AF89" s="148">
        <f t="shared" si="213"/>
        <v>167.53072968278479</v>
      </c>
      <c r="AG89" s="148">
        <f t="shared" si="214"/>
        <v>33338.615206874172</v>
      </c>
      <c r="AH89" s="148">
        <f t="shared" si="215"/>
        <v>0</v>
      </c>
      <c r="AI89" s="148">
        <f t="shared" si="216"/>
        <v>33506.145936556954</v>
      </c>
      <c r="AJ89" s="148">
        <f t="shared" si="217"/>
        <v>227.07693843833641</v>
      </c>
      <c r="AK89" s="148">
        <f t="shared" si="218"/>
        <v>45188.310749228942</v>
      </c>
      <c r="AL89" s="148">
        <f t="shared" si="219"/>
        <v>0</v>
      </c>
      <c r="AM89" s="148">
        <f t="shared" si="220"/>
        <v>45415.38768766728</v>
      </c>
    </row>
    <row r="90" spans="1:39" s="66" customFormat="1" x14ac:dyDescent="0.25">
      <c r="A90" s="66">
        <v>5</v>
      </c>
      <c r="B90" s="148">
        <f t="shared" ref="B90:D90" si="223">B63</f>
        <v>1000</v>
      </c>
      <c r="C90" s="148">
        <f t="shared" si="223"/>
        <v>500</v>
      </c>
      <c r="D90" s="148">
        <f t="shared" si="223"/>
        <v>100</v>
      </c>
      <c r="E90" s="148">
        <f t="shared" si="199"/>
        <v>425.59867802059483</v>
      </c>
      <c r="F90" s="148">
        <f t="shared" si="200"/>
        <v>0</v>
      </c>
      <c r="G90" s="148">
        <f t="shared" si="201"/>
        <v>0</v>
      </c>
      <c r="H90" s="148">
        <f t="shared" si="202"/>
        <v>425.59867802059483</v>
      </c>
      <c r="I90" s="148">
        <f t="shared" si="153"/>
        <v>29</v>
      </c>
      <c r="J90" s="148">
        <f t="shared" si="154"/>
        <v>33</v>
      </c>
      <c r="K90" s="148">
        <v>40</v>
      </c>
      <c r="L90" s="148">
        <f t="shared" si="194"/>
        <v>31.03</v>
      </c>
      <c r="M90" s="148">
        <f t="shared" si="203"/>
        <v>12342.36166259725</v>
      </c>
      <c r="N90" s="148">
        <f t="shared" si="195"/>
        <v>0</v>
      </c>
      <c r="O90" s="148">
        <f t="shared" si="196"/>
        <v>0</v>
      </c>
      <c r="P90" s="148">
        <f t="shared" si="204"/>
        <v>12342.36166259725</v>
      </c>
      <c r="Q90" s="7">
        <f>'Seasonal (WITHOUT)'!Q90</f>
        <v>34724.710414934161</v>
      </c>
      <c r="R90" s="7">
        <f>-'LOAD DATA and INPUT SEASONAL'!$A$60*U90</f>
        <v>0</v>
      </c>
      <c r="S90" s="7">
        <f t="shared" si="205"/>
        <v>34724.710414934161</v>
      </c>
      <c r="T90" s="154">
        <v>1.988778869255116</v>
      </c>
      <c r="U90" s="148">
        <v>0</v>
      </c>
      <c r="V90" s="148">
        <f t="shared" si="206"/>
        <v>1.988778869255116</v>
      </c>
      <c r="W90" s="148">
        <v>395.76699498176811</v>
      </c>
      <c r="X90" s="148"/>
      <c r="Y90" s="148">
        <f t="shared" si="197"/>
        <v>397.75577385102321</v>
      </c>
      <c r="Z90" s="148">
        <f t="shared" si="207"/>
        <v>425.59867802059483</v>
      </c>
      <c r="AA90" s="148" t="b">
        <f t="shared" si="208"/>
        <v>1</v>
      </c>
      <c r="AB90" s="148">
        <f t="shared" si="209"/>
        <v>61.71180831298625</v>
      </c>
      <c r="AC90" s="148">
        <f t="shared" si="210"/>
        <v>12280.649854284266</v>
      </c>
      <c r="AD90" s="148">
        <f t="shared" si="211"/>
        <v>0</v>
      </c>
      <c r="AE90" s="148">
        <f t="shared" si="212"/>
        <v>12342.361662597252</v>
      </c>
      <c r="AF90" s="148">
        <f t="shared" si="213"/>
        <v>173.62355207467081</v>
      </c>
      <c r="AG90" s="148">
        <f t="shared" si="214"/>
        <v>34551.086862859491</v>
      </c>
      <c r="AH90" s="148">
        <f t="shared" si="215"/>
        <v>0</v>
      </c>
      <c r="AI90" s="148">
        <f t="shared" si="216"/>
        <v>34724.710414934161</v>
      </c>
      <c r="AJ90" s="148">
        <f t="shared" si="217"/>
        <v>235.33536038765706</v>
      </c>
      <c r="AK90" s="148">
        <f t="shared" si="218"/>
        <v>46831.736717143758</v>
      </c>
      <c r="AL90" s="148">
        <f t="shared" si="219"/>
        <v>0</v>
      </c>
      <c r="AM90" s="148">
        <f t="shared" si="220"/>
        <v>47067.072077531418</v>
      </c>
    </row>
    <row r="91" spans="1:39" s="66" customFormat="1" x14ac:dyDescent="0.25">
      <c r="A91" s="66">
        <v>6</v>
      </c>
      <c r="B91" s="148">
        <f t="shared" ref="B91:D91" si="224">B64</f>
        <v>1000</v>
      </c>
      <c r="C91" s="148">
        <f t="shared" si="224"/>
        <v>500</v>
      </c>
      <c r="D91" s="148">
        <f t="shared" si="224"/>
        <v>100</v>
      </c>
      <c r="E91" s="148">
        <f t="shared" si="199"/>
        <v>456.45965818922679</v>
      </c>
      <c r="F91" s="148">
        <f t="shared" si="200"/>
        <v>0</v>
      </c>
      <c r="G91" s="148">
        <f t="shared" si="201"/>
        <v>0</v>
      </c>
      <c r="H91" s="148">
        <f t="shared" si="202"/>
        <v>456.45965818922679</v>
      </c>
      <c r="I91" s="148">
        <f t="shared" si="153"/>
        <v>29</v>
      </c>
      <c r="J91" s="148">
        <f t="shared" si="154"/>
        <v>33</v>
      </c>
      <c r="K91" s="148">
        <v>40</v>
      </c>
      <c r="L91" s="148">
        <f t="shared" si="194"/>
        <v>31.030000000000005</v>
      </c>
      <c r="M91" s="148">
        <f t="shared" si="203"/>
        <v>13237.330087487577</v>
      </c>
      <c r="N91" s="148">
        <f t="shared" si="195"/>
        <v>0</v>
      </c>
      <c r="O91" s="148">
        <f t="shared" si="196"/>
        <v>0</v>
      </c>
      <c r="P91" s="148">
        <f t="shared" si="204"/>
        <v>13237.330087487577</v>
      </c>
      <c r="Q91" s="7">
        <f>'Seasonal (WITHOUT)'!Q91</f>
        <v>37242.666073210225</v>
      </c>
      <c r="R91" s="7">
        <f>-'LOAD DATA and INPUT SEASONAL'!$A$60*U91</f>
        <v>0</v>
      </c>
      <c r="S91" s="7">
        <f t="shared" si="205"/>
        <v>37242.666073210225</v>
      </c>
      <c r="T91" s="154">
        <v>2.1329890569590035</v>
      </c>
      <c r="U91" s="148">
        <v>0</v>
      </c>
      <c r="V91" s="148">
        <f t="shared" si="206"/>
        <v>2.1329890569590035</v>
      </c>
      <c r="W91" s="148">
        <v>424.4648223348417</v>
      </c>
      <c r="X91" s="148"/>
      <c r="Y91" s="148">
        <f t="shared" si="197"/>
        <v>426.59781139180069</v>
      </c>
      <c r="Z91" s="148">
        <f t="shared" si="207"/>
        <v>456.45965818922679</v>
      </c>
      <c r="AA91" s="148" t="b">
        <f t="shared" si="208"/>
        <v>1</v>
      </c>
      <c r="AB91" s="148">
        <f t="shared" si="209"/>
        <v>66.186650437437891</v>
      </c>
      <c r="AC91" s="148">
        <f t="shared" si="210"/>
        <v>13171.143437050139</v>
      </c>
      <c r="AD91" s="148">
        <f t="shared" si="211"/>
        <v>0</v>
      </c>
      <c r="AE91" s="148">
        <f t="shared" si="212"/>
        <v>13237.330087487577</v>
      </c>
      <c r="AF91" s="148">
        <f t="shared" si="213"/>
        <v>186.21333036605114</v>
      </c>
      <c r="AG91" s="148">
        <f t="shared" si="214"/>
        <v>37056.452742844172</v>
      </c>
      <c r="AH91" s="148">
        <f t="shared" si="215"/>
        <v>0</v>
      </c>
      <c r="AI91" s="148">
        <f t="shared" si="216"/>
        <v>37242.666073210225</v>
      </c>
      <c r="AJ91" s="148">
        <f t="shared" si="217"/>
        <v>252.39998080348903</v>
      </c>
      <c r="AK91" s="148">
        <f t="shared" si="218"/>
        <v>50227.59617989431</v>
      </c>
      <c r="AL91" s="148">
        <f t="shared" si="219"/>
        <v>0</v>
      </c>
      <c r="AM91" s="148">
        <f t="shared" si="220"/>
        <v>50479.996160697796</v>
      </c>
    </row>
    <row r="92" spans="1:39" s="66" customFormat="1" x14ac:dyDescent="0.25">
      <c r="A92" s="66">
        <v>7</v>
      </c>
      <c r="B92" s="148">
        <f t="shared" ref="B92:D92" si="225">B65</f>
        <v>1000</v>
      </c>
      <c r="C92" s="148">
        <f t="shared" si="225"/>
        <v>500</v>
      </c>
      <c r="D92" s="148">
        <f t="shared" si="225"/>
        <v>100</v>
      </c>
      <c r="E92" s="148">
        <f t="shared" si="199"/>
        <v>543.76441363875233</v>
      </c>
      <c r="F92" s="148">
        <f t="shared" si="200"/>
        <v>0</v>
      </c>
      <c r="G92" s="148">
        <f t="shared" si="201"/>
        <v>0</v>
      </c>
      <c r="H92" s="148">
        <f t="shared" si="202"/>
        <v>543.76441363875233</v>
      </c>
      <c r="I92" s="148">
        <f t="shared" si="153"/>
        <v>29</v>
      </c>
      <c r="J92" s="148">
        <f t="shared" si="154"/>
        <v>33</v>
      </c>
      <c r="K92" s="148">
        <v>40</v>
      </c>
      <c r="L92" s="148">
        <f t="shared" si="194"/>
        <v>31.030000000000005</v>
      </c>
      <c r="M92" s="148">
        <f t="shared" si="203"/>
        <v>15769.167995523818</v>
      </c>
      <c r="N92" s="148">
        <f t="shared" si="195"/>
        <v>0</v>
      </c>
      <c r="O92" s="148">
        <f t="shared" si="196"/>
        <v>0</v>
      </c>
      <c r="P92" s="148">
        <f t="shared" si="204"/>
        <v>15769.167995523818</v>
      </c>
      <c r="Q92" s="7">
        <f>'Seasonal (WITHOUT)'!Q92</f>
        <v>44366.302548445688</v>
      </c>
      <c r="R92" s="7">
        <f>-'LOAD DATA and INPUT SEASONAL'!$A$60*U92</f>
        <v>-4.7884166462835796E-2</v>
      </c>
      <c r="S92" s="7">
        <f t="shared" si="205"/>
        <v>44366.254664279222</v>
      </c>
      <c r="T92" s="154">
        <v>2.5409791460026345</v>
      </c>
      <c r="U92" s="148">
        <v>4.7884166462835798E-3</v>
      </c>
      <c r="V92" s="148">
        <f t="shared" si="206"/>
        <v>2.5361907293563508</v>
      </c>
      <c r="W92" s="148">
        <v>505.65485005452427</v>
      </c>
      <c r="X92" s="148"/>
      <c r="Y92" s="148">
        <f t="shared" si="197"/>
        <v>508.19104078388062</v>
      </c>
      <c r="Z92" s="148">
        <f t="shared" si="207"/>
        <v>543.76441363875233</v>
      </c>
      <c r="AA92" s="148" t="b">
        <f t="shared" si="208"/>
        <v>1</v>
      </c>
      <c r="AB92" s="148">
        <f t="shared" si="209"/>
        <v>78.697998331927579</v>
      </c>
      <c r="AC92" s="148">
        <f t="shared" si="210"/>
        <v>15690.469997191891</v>
      </c>
      <c r="AD92" s="148">
        <f t="shared" si="211"/>
        <v>0</v>
      </c>
      <c r="AE92" s="148">
        <f t="shared" si="212"/>
        <v>15769.167995523818</v>
      </c>
      <c r="AF92" s="148">
        <f t="shared" si="213"/>
        <v>221.41532365908054</v>
      </c>
      <c r="AG92" s="148">
        <f t="shared" si="214"/>
        <v>44144.839340620143</v>
      </c>
      <c r="AH92" s="148">
        <f t="shared" si="215"/>
        <v>0</v>
      </c>
      <c r="AI92" s="148">
        <f t="shared" si="216"/>
        <v>44366.254664279222</v>
      </c>
      <c r="AJ92" s="148">
        <f t="shared" si="217"/>
        <v>300.11332199100809</v>
      </c>
      <c r="AK92" s="148">
        <f t="shared" si="218"/>
        <v>59835.309337812032</v>
      </c>
      <c r="AL92" s="148">
        <f t="shared" si="219"/>
        <v>0</v>
      </c>
      <c r="AM92" s="148">
        <f t="shared" si="220"/>
        <v>60135.422659803044</v>
      </c>
    </row>
    <row r="93" spans="1:39" s="66" customFormat="1" x14ac:dyDescent="0.25">
      <c r="A93" s="66">
        <v>8</v>
      </c>
      <c r="B93" s="148">
        <f t="shared" ref="B93:D93" si="226">B66</f>
        <v>1000</v>
      </c>
      <c r="C93" s="148">
        <f t="shared" si="226"/>
        <v>500</v>
      </c>
      <c r="D93" s="148">
        <f t="shared" si="226"/>
        <v>100</v>
      </c>
      <c r="E93" s="148">
        <f t="shared" si="199"/>
        <v>593.76817207535873</v>
      </c>
      <c r="F93" s="148">
        <f t="shared" si="200"/>
        <v>0</v>
      </c>
      <c r="G93" s="148">
        <f t="shared" si="201"/>
        <v>0</v>
      </c>
      <c r="H93" s="148">
        <f t="shared" si="202"/>
        <v>593.76817207535873</v>
      </c>
      <c r="I93" s="148">
        <f t="shared" si="153"/>
        <v>29</v>
      </c>
      <c r="J93" s="148">
        <f t="shared" si="154"/>
        <v>33</v>
      </c>
      <c r="K93" s="148">
        <v>40</v>
      </c>
      <c r="L93" s="148">
        <f t="shared" si="194"/>
        <v>31.030000000000005</v>
      </c>
      <c r="M93" s="148">
        <f t="shared" si="203"/>
        <v>17219.276990185404</v>
      </c>
      <c r="N93" s="148">
        <f t="shared" si="195"/>
        <v>0</v>
      </c>
      <c r="O93" s="148">
        <f t="shared" si="196"/>
        <v>0</v>
      </c>
      <c r="P93" s="148">
        <f t="shared" si="204"/>
        <v>17219.276990185404</v>
      </c>
      <c r="Q93" s="7">
        <f>'Seasonal (WITHOUT)'!Q93</f>
        <v>48588.922216998188</v>
      </c>
      <c r="R93" s="7">
        <f>-'LOAD DATA and INPUT SEASONAL'!$A$60*U93</f>
        <v>-16.404928280249859</v>
      </c>
      <c r="S93" s="7">
        <f t="shared" si="205"/>
        <v>48572.517288717936</v>
      </c>
      <c r="T93" s="154">
        <v>2.782820090660493</v>
      </c>
      <c r="U93" s="148">
        <v>1.640492828024986</v>
      </c>
      <c r="V93" s="148">
        <f t="shared" si="206"/>
        <v>1.142327262635507</v>
      </c>
      <c r="W93" s="148">
        <v>553.78119804143807</v>
      </c>
      <c r="X93" s="148"/>
      <c r="Y93" s="148">
        <f t="shared" si="197"/>
        <v>554.92352530407356</v>
      </c>
      <c r="Z93" s="148">
        <f t="shared" si="207"/>
        <v>593.76817207535873</v>
      </c>
      <c r="AA93" s="148" t="b">
        <f t="shared" si="208"/>
        <v>1</v>
      </c>
      <c r="AB93" s="148">
        <f t="shared" si="209"/>
        <v>35.446414959579791</v>
      </c>
      <c r="AC93" s="148">
        <f t="shared" si="210"/>
        <v>17183.830575225827</v>
      </c>
      <c r="AD93" s="148">
        <f t="shared" si="211"/>
        <v>0</v>
      </c>
      <c r="AE93" s="148">
        <f t="shared" si="212"/>
        <v>17219.276990185408</v>
      </c>
      <c r="AF93" s="148">
        <f t="shared" si="213"/>
        <v>99.988031113536366</v>
      </c>
      <c r="AG93" s="148">
        <f t="shared" si="214"/>
        <v>48472.529257604401</v>
      </c>
      <c r="AH93" s="148">
        <f t="shared" si="215"/>
        <v>0</v>
      </c>
      <c r="AI93" s="148">
        <f t="shared" si="216"/>
        <v>48572.517288717936</v>
      </c>
      <c r="AJ93" s="148">
        <f t="shared" si="217"/>
        <v>135.43444607311616</v>
      </c>
      <c r="AK93" s="148">
        <f t="shared" si="218"/>
        <v>65656.359832830232</v>
      </c>
      <c r="AL93" s="148">
        <f t="shared" si="219"/>
        <v>0</v>
      </c>
      <c r="AM93" s="148">
        <f t="shared" si="220"/>
        <v>65791.794278903355</v>
      </c>
    </row>
    <row r="94" spans="1:39" s="66" customFormat="1" x14ac:dyDescent="0.25">
      <c r="A94" s="66">
        <v>9</v>
      </c>
      <c r="B94" s="148">
        <f t="shared" ref="B94:D94" si="227">B67</f>
        <v>1000</v>
      </c>
      <c r="C94" s="148">
        <f t="shared" si="227"/>
        <v>500</v>
      </c>
      <c r="D94" s="148">
        <f t="shared" si="227"/>
        <v>100</v>
      </c>
      <c r="E94" s="148">
        <f t="shared" si="199"/>
        <v>592.07052068570226</v>
      </c>
      <c r="F94" s="148">
        <f t="shared" si="200"/>
        <v>0</v>
      </c>
      <c r="G94" s="148">
        <f t="shared" si="201"/>
        <v>0</v>
      </c>
      <c r="H94" s="148">
        <f t="shared" si="202"/>
        <v>592.07052068570226</v>
      </c>
      <c r="I94" s="148">
        <f t="shared" si="153"/>
        <v>29</v>
      </c>
      <c r="J94" s="148">
        <f t="shared" si="154"/>
        <v>33</v>
      </c>
      <c r="K94" s="148">
        <v>40</v>
      </c>
      <c r="L94" s="148">
        <f t="shared" si="194"/>
        <v>31.03</v>
      </c>
      <c r="M94" s="148">
        <f t="shared" si="203"/>
        <v>17170.045099885367</v>
      </c>
      <c r="N94" s="148">
        <f t="shared" si="195"/>
        <v>0</v>
      </c>
      <c r="O94" s="148">
        <f t="shared" si="196"/>
        <v>0</v>
      </c>
      <c r="P94" s="148">
        <f t="shared" si="204"/>
        <v>17170.045099885367</v>
      </c>
      <c r="Q94" s="7">
        <f>'Seasonal (WITHOUT)'!Q94</f>
        <v>48733.100092261666</v>
      </c>
      <c r="R94" s="7">
        <f>-'LOAD DATA and INPUT SEASONAL'!$A$60*U94</f>
        <v>-48.785749375914307</v>
      </c>
      <c r="S94" s="7">
        <f t="shared" si="205"/>
        <v>48684.314342885751</v>
      </c>
      <c r="T94" s="154">
        <v>2.7910775507893697</v>
      </c>
      <c r="U94" s="148">
        <v>4.8785749375914307</v>
      </c>
      <c r="V94" s="148">
        <f t="shared" si="206"/>
        <v>-2.087497386802061</v>
      </c>
      <c r="W94" s="148">
        <v>555.42443260708455</v>
      </c>
      <c r="X94" s="148"/>
      <c r="Y94" s="148">
        <f t="shared" si="197"/>
        <v>553.3369352202825</v>
      </c>
      <c r="Z94" s="148">
        <f t="shared" si="207"/>
        <v>592.07052068570226</v>
      </c>
      <c r="AA94" s="148" t="b">
        <f t="shared" si="208"/>
        <v>1</v>
      </c>
      <c r="AB94" s="148">
        <f t="shared" si="209"/>
        <v>-64.77504391246795</v>
      </c>
      <c r="AC94" s="148">
        <f t="shared" si="210"/>
        <v>17234.820143797835</v>
      </c>
      <c r="AD94" s="148">
        <f t="shared" si="211"/>
        <v>0</v>
      </c>
      <c r="AE94" s="148">
        <f t="shared" si="212"/>
        <v>17170.045099885367</v>
      </c>
      <c r="AF94" s="148">
        <f t="shared" si="213"/>
        <v>-183.66454957243369</v>
      </c>
      <c r="AG94" s="148">
        <f t="shared" si="214"/>
        <v>48867.978892458181</v>
      </c>
      <c r="AH94" s="148">
        <f t="shared" si="215"/>
        <v>0</v>
      </c>
      <c r="AI94" s="148">
        <f t="shared" si="216"/>
        <v>48684.314342885744</v>
      </c>
      <c r="AJ94" s="148">
        <f t="shared" si="217"/>
        <v>-248.43959348490165</v>
      </c>
      <c r="AK94" s="148">
        <f t="shared" si="218"/>
        <v>66102.799036256009</v>
      </c>
      <c r="AL94" s="148">
        <f t="shared" si="219"/>
        <v>0</v>
      </c>
      <c r="AM94" s="148">
        <f t="shared" si="220"/>
        <v>65854.359442771107</v>
      </c>
    </row>
    <row r="95" spans="1:39" s="66" customFormat="1" ht="17.25" customHeight="1" x14ac:dyDescent="0.25">
      <c r="A95" s="66">
        <v>10</v>
      </c>
      <c r="B95" s="148">
        <f t="shared" ref="B95:D95" si="228">B68</f>
        <v>1000</v>
      </c>
      <c r="C95" s="148">
        <f t="shared" si="228"/>
        <v>500</v>
      </c>
      <c r="D95" s="148">
        <f t="shared" si="228"/>
        <v>100</v>
      </c>
      <c r="E95" s="148">
        <f t="shared" si="199"/>
        <v>622.38273885751278</v>
      </c>
      <c r="F95" s="148">
        <f t="shared" si="200"/>
        <v>0</v>
      </c>
      <c r="G95" s="148">
        <f t="shared" si="201"/>
        <v>0</v>
      </c>
      <c r="H95" s="148">
        <f t="shared" si="202"/>
        <v>622.38273885751278</v>
      </c>
      <c r="I95" s="148">
        <f t="shared" si="153"/>
        <v>29</v>
      </c>
      <c r="J95" s="148">
        <f t="shared" si="154"/>
        <v>33</v>
      </c>
      <c r="K95" s="148">
        <v>40</v>
      </c>
      <c r="L95" s="148">
        <f t="shared" si="194"/>
        <v>31.03</v>
      </c>
      <c r="M95" s="148">
        <f t="shared" si="203"/>
        <v>18049.09942686787</v>
      </c>
      <c r="N95" s="148">
        <f t="shared" si="195"/>
        <v>0</v>
      </c>
      <c r="O95" s="148">
        <f t="shared" si="196"/>
        <v>0</v>
      </c>
      <c r="P95" s="148">
        <f t="shared" si="204"/>
        <v>18049.09942686787</v>
      </c>
      <c r="Q95" s="7">
        <f>'Seasonal (WITHOUT)'!Q95</f>
        <v>51421.901948787039</v>
      </c>
      <c r="R95" s="7">
        <f>-'LOAD DATA and INPUT SEASONAL'!$A$60*U95</f>
        <v>-73.484021604824235</v>
      </c>
      <c r="S95" s="7">
        <f t="shared" si="205"/>
        <v>51348.417927182214</v>
      </c>
      <c r="T95" s="154">
        <v>2.9450725662113504</v>
      </c>
      <c r="U95" s="148">
        <v>7.348402160482423</v>
      </c>
      <c r="V95" s="148">
        <f t="shared" si="206"/>
        <v>-4.4033295942710726</v>
      </c>
      <c r="W95" s="148">
        <v>586.06944067605866</v>
      </c>
      <c r="X95" s="148"/>
      <c r="Y95" s="148">
        <f t="shared" si="197"/>
        <v>581.66611108178756</v>
      </c>
      <c r="Z95" s="148">
        <f t="shared" si="207"/>
        <v>622.38273885751278</v>
      </c>
      <c r="AA95" s="148" t="b">
        <f t="shared" si="208"/>
        <v>1</v>
      </c>
      <c r="AB95" s="148">
        <f t="shared" si="209"/>
        <v>-136.63531731023139</v>
      </c>
      <c r="AC95" s="148">
        <f t="shared" si="210"/>
        <v>18185.734744178102</v>
      </c>
      <c r="AD95" s="148">
        <f t="shared" si="211"/>
        <v>0</v>
      </c>
      <c r="AE95" s="148">
        <f t="shared" si="212"/>
        <v>18049.09942686787</v>
      </c>
      <c r="AF95" s="148">
        <f t="shared" si="213"/>
        <v>-388.71786402898834</v>
      </c>
      <c r="AG95" s="148">
        <f t="shared" si="214"/>
        <v>51737.135791211207</v>
      </c>
      <c r="AH95" s="148">
        <f t="shared" si="215"/>
        <v>0</v>
      </c>
      <c r="AI95" s="148">
        <f t="shared" si="216"/>
        <v>51348.417927182221</v>
      </c>
      <c r="AJ95" s="148">
        <f t="shared" si="217"/>
        <v>-525.35318133921976</v>
      </c>
      <c r="AK95" s="148">
        <f t="shared" si="218"/>
        <v>69922.870535389317</v>
      </c>
      <c r="AL95" s="148">
        <f t="shared" si="219"/>
        <v>0</v>
      </c>
      <c r="AM95" s="148">
        <f t="shared" si="220"/>
        <v>69397.517354050098</v>
      </c>
    </row>
    <row r="96" spans="1:39" s="66" customFormat="1" x14ac:dyDescent="0.25">
      <c r="A96" s="66">
        <v>11</v>
      </c>
      <c r="B96" s="148">
        <f t="shared" ref="B96:D96" si="229">B69</f>
        <v>1000</v>
      </c>
      <c r="C96" s="148">
        <f t="shared" si="229"/>
        <v>500</v>
      </c>
      <c r="D96" s="148">
        <f t="shared" si="229"/>
        <v>100</v>
      </c>
      <c r="E96" s="148">
        <f t="shared" si="199"/>
        <v>629.8124686774546</v>
      </c>
      <c r="F96" s="148">
        <f t="shared" si="200"/>
        <v>0</v>
      </c>
      <c r="G96" s="148">
        <f t="shared" si="201"/>
        <v>0</v>
      </c>
      <c r="H96" s="148">
        <f t="shared" si="202"/>
        <v>629.8124686774546</v>
      </c>
      <c r="I96" s="148">
        <f t="shared" si="153"/>
        <v>29</v>
      </c>
      <c r="J96" s="148">
        <f t="shared" si="154"/>
        <v>33</v>
      </c>
      <c r="K96" s="148">
        <v>40</v>
      </c>
      <c r="L96" s="148">
        <f t="shared" si="194"/>
        <v>31.030000000000005</v>
      </c>
      <c r="M96" s="148">
        <f t="shared" si="203"/>
        <v>18264.561591646183</v>
      </c>
      <c r="N96" s="148">
        <f t="shared" si="195"/>
        <v>0</v>
      </c>
      <c r="O96" s="148">
        <f t="shared" si="196"/>
        <v>0</v>
      </c>
      <c r="P96" s="148">
        <f t="shared" si="204"/>
        <v>18264.561591646183</v>
      </c>
      <c r="Q96" s="7">
        <f>'Seasonal (WITHOUT)'!Q96</f>
        <v>52160.732905655146</v>
      </c>
      <c r="R96" s="7">
        <f>-'LOAD DATA and INPUT SEASONAL'!$A$60*U96</f>
        <v>-88.677022103897926</v>
      </c>
      <c r="S96" s="7">
        <f t="shared" si="205"/>
        <v>52072.055883551249</v>
      </c>
      <c r="T96" s="154">
        <v>2.9873874301054748</v>
      </c>
      <c r="U96" s="148">
        <v>8.8677022103897922</v>
      </c>
      <c r="V96" s="148">
        <f t="shared" si="206"/>
        <v>-5.8803147802843174</v>
      </c>
      <c r="W96" s="148">
        <v>594.49009859098942</v>
      </c>
      <c r="X96" s="148"/>
      <c r="Y96" s="148">
        <f t="shared" si="197"/>
        <v>588.60978381070515</v>
      </c>
      <c r="Z96" s="148">
        <f t="shared" si="207"/>
        <v>629.8124686774546</v>
      </c>
      <c r="AA96" s="148" t="b">
        <f t="shared" si="208"/>
        <v>1</v>
      </c>
      <c r="AB96" s="148">
        <f t="shared" si="209"/>
        <v>-182.46616763222241</v>
      </c>
      <c r="AC96" s="148">
        <f t="shared" si="210"/>
        <v>18447.027759278404</v>
      </c>
      <c r="AD96" s="148">
        <f t="shared" si="211"/>
        <v>0</v>
      </c>
      <c r="AE96" s="148">
        <f t="shared" si="212"/>
        <v>18264.561591646183</v>
      </c>
      <c r="AF96" s="148">
        <f t="shared" si="213"/>
        <v>-520.20895383266384</v>
      </c>
      <c r="AG96" s="148">
        <f t="shared" si="214"/>
        <v>52592.264837383904</v>
      </c>
      <c r="AH96" s="148">
        <f t="shared" si="215"/>
        <v>0</v>
      </c>
      <c r="AI96" s="148">
        <f t="shared" si="216"/>
        <v>52072.055883551242</v>
      </c>
      <c r="AJ96" s="148">
        <f t="shared" si="217"/>
        <v>-702.67512146488627</v>
      </c>
      <c r="AK96" s="148">
        <f t="shared" si="218"/>
        <v>71039.292596662301</v>
      </c>
      <c r="AL96" s="148">
        <f t="shared" si="219"/>
        <v>0</v>
      </c>
      <c r="AM96" s="148">
        <f t="shared" si="220"/>
        <v>70336.617475197418</v>
      </c>
    </row>
    <row r="97" spans="1:39" s="66" customFormat="1" x14ac:dyDescent="0.25">
      <c r="A97" s="66">
        <v>12</v>
      </c>
      <c r="B97" s="148">
        <f t="shared" ref="B97:D97" si="230">B70</f>
        <v>1000</v>
      </c>
      <c r="C97" s="148">
        <f t="shared" si="230"/>
        <v>500</v>
      </c>
      <c r="D97" s="148">
        <f t="shared" si="230"/>
        <v>100</v>
      </c>
      <c r="E97" s="148">
        <f t="shared" si="199"/>
        <v>661.79128193192275</v>
      </c>
      <c r="F97" s="148">
        <f t="shared" si="200"/>
        <v>0</v>
      </c>
      <c r="G97" s="148">
        <f t="shared" si="201"/>
        <v>0</v>
      </c>
      <c r="H97" s="148">
        <f t="shared" si="202"/>
        <v>661.79128193192275</v>
      </c>
      <c r="I97" s="148">
        <f t="shared" si="153"/>
        <v>29</v>
      </c>
      <c r="J97" s="148">
        <f t="shared" si="154"/>
        <v>33</v>
      </c>
      <c r="K97" s="148">
        <v>40</v>
      </c>
      <c r="L97" s="148">
        <f t="shared" si="194"/>
        <v>31.03</v>
      </c>
      <c r="M97" s="148">
        <f t="shared" si="203"/>
        <v>19191.947176025758</v>
      </c>
      <c r="N97" s="148">
        <f t="shared" si="195"/>
        <v>0</v>
      </c>
      <c r="O97" s="148">
        <f t="shared" si="196"/>
        <v>0</v>
      </c>
      <c r="P97" s="148">
        <f t="shared" si="204"/>
        <v>19191.947176025758</v>
      </c>
      <c r="Q97" s="7">
        <f>'Seasonal (WITHOUT)'!Q97</f>
        <v>54777.685184382142</v>
      </c>
      <c r="R97" s="7">
        <f>-'LOAD DATA and INPUT SEASONAL'!$A$60*U97</f>
        <v>-89.569596806734523</v>
      </c>
      <c r="S97" s="7">
        <f t="shared" si="205"/>
        <v>54688.115587575405</v>
      </c>
      <c r="T97" s="154">
        <v>3.1372674242534733</v>
      </c>
      <c r="U97" s="148">
        <v>8.9569596806734531</v>
      </c>
      <c r="V97" s="148">
        <f t="shared" si="206"/>
        <v>-5.8196922564199802</v>
      </c>
      <c r="W97" s="148">
        <v>624.3162174264412</v>
      </c>
      <c r="X97" s="148"/>
      <c r="Y97" s="148">
        <f t="shared" si="197"/>
        <v>618.49652517002119</v>
      </c>
      <c r="Z97" s="148">
        <f t="shared" si="207"/>
        <v>661.79128193192275</v>
      </c>
      <c r="AA97" s="148" t="b">
        <f t="shared" si="208"/>
        <v>1</v>
      </c>
      <c r="AB97" s="148">
        <f t="shared" si="209"/>
        <v>-180.585050716712</v>
      </c>
      <c r="AC97" s="148">
        <f t="shared" si="210"/>
        <v>19372.532226742471</v>
      </c>
      <c r="AD97" s="148">
        <f t="shared" si="211"/>
        <v>0</v>
      </c>
      <c r="AE97" s="148">
        <f t="shared" si="212"/>
        <v>19191.947176025758</v>
      </c>
      <c r="AF97" s="148">
        <f t="shared" si="213"/>
        <v>-514.58333208213787</v>
      </c>
      <c r="AG97" s="148">
        <f t="shared" si="214"/>
        <v>55202.698919657545</v>
      </c>
      <c r="AH97" s="148">
        <f t="shared" si="215"/>
        <v>0</v>
      </c>
      <c r="AI97" s="148">
        <f t="shared" si="216"/>
        <v>54688.115587575405</v>
      </c>
      <c r="AJ97" s="148">
        <f t="shared" si="217"/>
        <v>-695.16838279884985</v>
      </c>
      <c r="AK97" s="148">
        <f t="shared" si="218"/>
        <v>74575.231146400009</v>
      </c>
      <c r="AL97" s="148">
        <f t="shared" si="219"/>
        <v>0</v>
      </c>
      <c r="AM97" s="148">
        <f t="shared" si="220"/>
        <v>73880.062763601163</v>
      </c>
    </row>
    <row r="98" spans="1:39" s="66" customFormat="1" x14ac:dyDescent="0.25">
      <c r="A98" s="66">
        <v>13</v>
      </c>
      <c r="B98" s="148">
        <f t="shared" ref="B98:D98" si="231">B71</f>
        <v>1000</v>
      </c>
      <c r="C98" s="148">
        <f t="shared" si="231"/>
        <v>500</v>
      </c>
      <c r="D98" s="148">
        <f t="shared" si="231"/>
        <v>100</v>
      </c>
      <c r="E98" s="148">
        <f t="shared" si="199"/>
        <v>675.01045549622415</v>
      </c>
      <c r="F98" s="148">
        <f t="shared" si="200"/>
        <v>0</v>
      </c>
      <c r="G98" s="148">
        <f t="shared" si="201"/>
        <v>0</v>
      </c>
      <c r="H98" s="148">
        <f t="shared" si="202"/>
        <v>675.01045549622415</v>
      </c>
      <c r="I98" s="148">
        <f t="shared" si="153"/>
        <v>29</v>
      </c>
      <c r="J98" s="148">
        <f t="shared" si="154"/>
        <v>33</v>
      </c>
      <c r="K98" s="148">
        <v>40</v>
      </c>
      <c r="L98" s="148">
        <f t="shared" si="194"/>
        <v>31.030000000000005</v>
      </c>
      <c r="M98" s="148">
        <f t="shared" si="203"/>
        <v>19575.303209390502</v>
      </c>
      <c r="N98" s="148">
        <f t="shared" si="195"/>
        <v>0</v>
      </c>
      <c r="O98" s="148">
        <f t="shared" si="196"/>
        <v>0</v>
      </c>
      <c r="P98" s="148">
        <f t="shared" si="204"/>
        <v>19575.303209390502</v>
      </c>
      <c r="Q98" s="7">
        <f>'Seasonal (WITHOUT)'!Q98</f>
        <v>55844.002021053071</v>
      </c>
      <c r="R98" s="7">
        <f>-'LOAD DATA and INPUT SEASONAL'!$A$60*U98</f>
        <v>-88.167665383856487</v>
      </c>
      <c r="S98" s="7">
        <f t="shared" si="205"/>
        <v>55755.834355669213</v>
      </c>
      <c r="T98" s="154">
        <v>3.1983382976275552</v>
      </c>
      <c r="U98" s="148">
        <v>8.8167665383856484</v>
      </c>
      <c r="V98" s="148">
        <f t="shared" si="206"/>
        <v>-5.6184282407580932</v>
      </c>
      <c r="W98" s="148">
        <v>636.46932122788348</v>
      </c>
      <c r="X98" s="148"/>
      <c r="Y98" s="148">
        <f t="shared" si="197"/>
        <v>630.85089298712535</v>
      </c>
      <c r="Z98" s="148">
        <f t="shared" si="207"/>
        <v>675.01045549622415</v>
      </c>
      <c r="AA98" s="148" t="b">
        <f t="shared" si="208"/>
        <v>1</v>
      </c>
      <c r="AB98" s="148">
        <f t="shared" si="209"/>
        <v>-174.33982831072365</v>
      </c>
      <c r="AC98" s="148">
        <f t="shared" si="210"/>
        <v>19749.643037701226</v>
      </c>
      <c r="AD98" s="148">
        <f t="shared" si="211"/>
        <v>0</v>
      </c>
      <c r="AE98" s="148">
        <f t="shared" si="212"/>
        <v>19575.303209390502</v>
      </c>
      <c r="AF98" s="148">
        <f t="shared" si="213"/>
        <v>-496.56766410777732</v>
      </c>
      <c r="AG98" s="148">
        <f t="shared" si="214"/>
        <v>56252.402019776993</v>
      </c>
      <c r="AH98" s="148">
        <f t="shared" si="215"/>
        <v>0</v>
      </c>
      <c r="AI98" s="148">
        <f t="shared" si="216"/>
        <v>55755.834355669213</v>
      </c>
      <c r="AJ98" s="148">
        <f t="shared" si="217"/>
        <v>-670.90749241850096</v>
      </c>
      <c r="AK98" s="148">
        <f t="shared" si="218"/>
        <v>76002.045057478215</v>
      </c>
      <c r="AL98" s="148">
        <f t="shared" si="219"/>
        <v>0</v>
      </c>
      <c r="AM98" s="148">
        <f t="shared" si="220"/>
        <v>75331.137565059718</v>
      </c>
    </row>
    <row r="99" spans="1:39" s="66" customFormat="1" x14ac:dyDescent="0.25">
      <c r="A99" s="66">
        <v>14</v>
      </c>
      <c r="B99" s="148">
        <f t="shared" ref="B99:D99" si="232">B72</f>
        <v>1000</v>
      </c>
      <c r="C99" s="148">
        <f t="shared" si="232"/>
        <v>500</v>
      </c>
      <c r="D99" s="148">
        <f t="shared" si="232"/>
        <v>100</v>
      </c>
      <c r="E99" s="148">
        <f t="shared" si="199"/>
        <v>694.20061924020547</v>
      </c>
      <c r="F99" s="148">
        <f t="shared" si="200"/>
        <v>0</v>
      </c>
      <c r="G99" s="148">
        <f t="shared" si="201"/>
        <v>0</v>
      </c>
      <c r="H99" s="148">
        <f t="shared" si="202"/>
        <v>694.20061924020547</v>
      </c>
      <c r="I99" s="148">
        <f t="shared" si="153"/>
        <v>29</v>
      </c>
      <c r="J99" s="148">
        <f t="shared" si="154"/>
        <v>33</v>
      </c>
      <c r="K99" s="148">
        <v>40</v>
      </c>
      <c r="L99" s="148">
        <f t="shared" si="194"/>
        <v>31.030000000000005</v>
      </c>
      <c r="M99" s="148">
        <f t="shared" si="203"/>
        <v>20131.817957965959</v>
      </c>
      <c r="N99" s="148">
        <f t="shared" si="195"/>
        <v>0</v>
      </c>
      <c r="O99" s="148">
        <f t="shared" si="196"/>
        <v>0</v>
      </c>
      <c r="P99" s="148">
        <f t="shared" si="204"/>
        <v>20131.817957965959</v>
      </c>
      <c r="Q99" s="7">
        <f>'Seasonal (WITHOUT)'!Q99</f>
        <v>57422.29913428393</v>
      </c>
      <c r="R99" s="7">
        <f>-'LOAD DATA and INPUT SEASONAL'!$A$60*U99</f>
        <v>-89.607100919846289</v>
      </c>
      <c r="S99" s="7">
        <f t="shared" si="205"/>
        <v>57332.692033364081</v>
      </c>
      <c r="T99" s="154">
        <v>3.2887316777506022</v>
      </c>
      <c r="U99" s="148">
        <v>8.9607100919846285</v>
      </c>
      <c r="V99" s="148">
        <f t="shared" si="206"/>
        <v>-5.6719784142340259</v>
      </c>
      <c r="W99" s="148">
        <v>654.45760387236987</v>
      </c>
      <c r="X99" s="148"/>
      <c r="Y99" s="148">
        <f t="shared" si="197"/>
        <v>648.78562545813588</v>
      </c>
      <c r="Z99" s="148">
        <f t="shared" si="207"/>
        <v>694.20061924020547</v>
      </c>
      <c r="AA99" s="148" t="b">
        <f t="shared" si="208"/>
        <v>1</v>
      </c>
      <c r="AB99" s="148">
        <f t="shared" si="209"/>
        <v>-176.00149019368186</v>
      </c>
      <c r="AC99" s="148">
        <f t="shared" si="210"/>
        <v>20307.81944815964</v>
      </c>
      <c r="AD99" s="148">
        <f t="shared" si="211"/>
        <v>0</v>
      </c>
      <c r="AE99" s="148">
        <f t="shared" si="212"/>
        <v>20131.817957965959</v>
      </c>
      <c r="AF99" s="148">
        <f t="shared" si="213"/>
        <v>-501.22841641803859</v>
      </c>
      <c r="AG99" s="148">
        <f t="shared" si="214"/>
        <v>57833.920449782112</v>
      </c>
      <c r="AH99" s="148">
        <f t="shared" si="215"/>
        <v>0</v>
      </c>
      <c r="AI99" s="148">
        <f t="shared" si="216"/>
        <v>57332.692033364074</v>
      </c>
      <c r="AJ99" s="148">
        <f t="shared" si="217"/>
        <v>-677.22990661172048</v>
      </c>
      <c r="AK99" s="148">
        <f t="shared" si="218"/>
        <v>78141.739897941748</v>
      </c>
      <c r="AL99" s="148">
        <f t="shared" si="219"/>
        <v>0</v>
      </c>
      <c r="AM99" s="148">
        <f t="shared" si="220"/>
        <v>77464.509991330022</v>
      </c>
    </row>
    <row r="100" spans="1:39" s="66" customFormat="1" x14ac:dyDescent="0.25">
      <c r="A100" s="66">
        <v>15</v>
      </c>
      <c r="B100" s="148">
        <f t="shared" ref="B100:D100" si="233">B73</f>
        <v>1000</v>
      </c>
      <c r="C100" s="148">
        <f t="shared" si="233"/>
        <v>500</v>
      </c>
      <c r="D100" s="148">
        <f t="shared" si="233"/>
        <v>100</v>
      </c>
      <c r="E100" s="148">
        <f t="shared" si="199"/>
        <v>738.59393126061013</v>
      </c>
      <c r="F100" s="148">
        <f t="shared" si="200"/>
        <v>0</v>
      </c>
      <c r="G100" s="148">
        <f t="shared" si="201"/>
        <v>0</v>
      </c>
      <c r="H100" s="148">
        <f t="shared" si="202"/>
        <v>738.59393126061013</v>
      </c>
      <c r="I100" s="148">
        <f t="shared" si="153"/>
        <v>29</v>
      </c>
      <c r="J100" s="148">
        <f t="shared" si="154"/>
        <v>33</v>
      </c>
      <c r="K100" s="148">
        <v>40</v>
      </c>
      <c r="L100" s="148">
        <f t="shared" si="194"/>
        <v>31.03</v>
      </c>
      <c r="M100" s="148">
        <f t="shared" si="203"/>
        <v>21419.224006557695</v>
      </c>
      <c r="N100" s="148">
        <f t="shared" si="195"/>
        <v>0</v>
      </c>
      <c r="O100" s="148">
        <f t="shared" si="196"/>
        <v>0</v>
      </c>
      <c r="P100" s="148">
        <f t="shared" si="204"/>
        <v>21419.224006557695</v>
      </c>
      <c r="Q100" s="7">
        <f>'Seasonal (WITHOUT)'!Q100</f>
        <v>60994.562454308776</v>
      </c>
      <c r="R100" s="7">
        <f>-'LOAD DATA and INPUT SEASONAL'!$A$60*U100</f>
        <v>-83.902860129747339</v>
      </c>
      <c r="S100" s="7">
        <f t="shared" si="205"/>
        <v>60910.659594179029</v>
      </c>
      <c r="T100" s="154">
        <v>3.4933249406284723</v>
      </c>
      <c r="U100" s="148">
        <v>8.3902860129747339</v>
      </c>
      <c r="V100" s="148">
        <f t="shared" si="206"/>
        <v>-4.8969610723462615</v>
      </c>
      <c r="W100" s="148">
        <v>695.171663185066</v>
      </c>
      <c r="X100" s="148"/>
      <c r="Y100" s="148">
        <f t="shared" si="197"/>
        <v>690.27470211271975</v>
      </c>
      <c r="Z100" s="148">
        <f t="shared" si="207"/>
        <v>738.59393126061013</v>
      </c>
      <c r="AA100" s="148" t="b">
        <f t="shared" si="208"/>
        <v>1</v>
      </c>
      <c r="AB100" s="148">
        <f>V100*L100</f>
        <v>-151.95270207490449</v>
      </c>
      <c r="AC100" s="148">
        <f t="shared" si="210"/>
        <v>21571.1767086326</v>
      </c>
      <c r="AD100" s="148">
        <f t="shared" si="211"/>
        <v>0</v>
      </c>
      <c r="AE100" s="148">
        <f t="shared" si="212"/>
        <v>21419.224006557695</v>
      </c>
      <c r="AF100" s="148">
        <f t="shared" si="213"/>
        <v>-432.11366143173717</v>
      </c>
      <c r="AG100" s="148">
        <f t="shared" si="214"/>
        <v>61342.773255610766</v>
      </c>
      <c r="AH100" s="148">
        <f t="shared" si="215"/>
        <v>0</v>
      </c>
      <c r="AI100" s="148">
        <f t="shared" si="216"/>
        <v>60910.659594179029</v>
      </c>
      <c r="AJ100" s="148">
        <f t="shared" si="217"/>
        <v>-584.06636350664166</v>
      </c>
      <c r="AK100" s="148">
        <f t="shared" si="218"/>
        <v>82913.949964243366</v>
      </c>
      <c r="AL100" s="148">
        <f t="shared" si="219"/>
        <v>0</v>
      </c>
      <c r="AM100" s="148">
        <f t="shared" si="220"/>
        <v>82329.883600736721</v>
      </c>
    </row>
    <row r="101" spans="1:39" s="66" customFormat="1" x14ac:dyDescent="0.25">
      <c r="A101" s="66">
        <v>16</v>
      </c>
      <c r="B101" s="148">
        <f t="shared" ref="B101:D101" si="234">B74</f>
        <v>1000</v>
      </c>
      <c r="C101" s="148">
        <f t="shared" si="234"/>
        <v>500</v>
      </c>
      <c r="D101" s="148">
        <f t="shared" si="234"/>
        <v>100</v>
      </c>
      <c r="E101" s="148">
        <f t="shared" si="199"/>
        <v>784.77433972858341</v>
      </c>
      <c r="F101" s="148">
        <f t="shared" si="200"/>
        <v>0</v>
      </c>
      <c r="G101" s="148">
        <f t="shared" si="201"/>
        <v>0</v>
      </c>
      <c r="H101" s="148">
        <f t="shared" si="202"/>
        <v>784.77433972858341</v>
      </c>
      <c r="I101" s="148">
        <f t="shared" si="153"/>
        <v>29</v>
      </c>
      <c r="J101" s="148">
        <f t="shared" si="154"/>
        <v>33</v>
      </c>
      <c r="K101" s="148">
        <v>40</v>
      </c>
      <c r="L101" s="148">
        <f t="shared" si="194"/>
        <v>31.03</v>
      </c>
      <c r="M101" s="148">
        <f t="shared" si="203"/>
        <v>22758.455852128918</v>
      </c>
      <c r="N101" s="148">
        <f t="shared" si="195"/>
        <v>0</v>
      </c>
      <c r="O101" s="148">
        <f t="shared" si="196"/>
        <v>0</v>
      </c>
      <c r="P101" s="148">
        <f t="shared" si="204"/>
        <v>22758.455852128918</v>
      </c>
      <c r="Q101" s="7">
        <f>'Seasonal (WITHOUT)'!Q101</f>
        <v>64548.344445197428</v>
      </c>
      <c r="R101" s="7">
        <f>-'LOAD DATA and INPUT SEASONAL'!$A$60*U101</f>
        <v>-59.379831134515925</v>
      </c>
      <c r="S101" s="7">
        <f t="shared" si="205"/>
        <v>64488.964614062912</v>
      </c>
      <c r="T101" s="154">
        <v>3.6968597273830683</v>
      </c>
      <c r="U101" s="148">
        <v>5.9379831134515921</v>
      </c>
      <c r="V101" s="148">
        <f t="shared" si="206"/>
        <v>-2.2411233860685238</v>
      </c>
      <c r="W101" s="148">
        <v>735.67508574923056</v>
      </c>
      <c r="X101" s="148"/>
      <c r="Y101" s="148">
        <f t="shared" si="197"/>
        <v>733.43396236316198</v>
      </c>
      <c r="Z101" s="148">
        <f t="shared" si="207"/>
        <v>784.77433972858341</v>
      </c>
      <c r="AA101" s="148" t="b">
        <f t="shared" si="208"/>
        <v>1</v>
      </c>
      <c r="AB101" s="148">
        <f t="shared" ref="AB101:AB105" si="235">V101*L101</f>
        <v>-69.542058669706293</v>
      </c>
      <c r="AC101" s="148">
        <f t="shared" si="210"/>
        <v>22827.997910798626</v>
      </c>
      <c r="AD101" s="148">
        <f t="shared" si="211"/>
        <v>0</v>
      </c>
      <c r="AE101" s="148">
        <f t="shared" si="212"/>
        <v>22758.455852128918</v>
      </c>
      <c r="AF101" s="148">
        <f t="shared" si="213"/>
        <v>-197.05622340455315</v>
      </c>
      <c r="AG101" s="148">
        <f t="shared" si="214"/>
        <v>64686.020837467469</v>
      </c>
      <c r="AH101" s="148">
        <f t="shared" si="215"/>
        <v>0</v>
      </c>
      <c r="AI101" s="148">
        <f t="shared" si="216"/>
        <v>64488.964614062919</v>
      </c>
      <c r="AJ101" s="148">
        <f t="shared" si="217"/>
        <v>-266.59828207425943</v>
      </c>
      <c r="AK101" s="148">
        <f t="shared" si="218"/>
        <v>87514.018748266099</v>
      </c>
      <c r="AL101" s="148">
        <f t="shared" si="219"/>
        <v>0</v>
      </c>
      <c r="AM101" s="148">
        <f t="shared" si="220"/>
        <v>87247.420466191834</v>
      </c>
    </row>
    <row r="102" spans="1:39" s="66" customFormat="1" x14ac:dyDescent="0.25">
      <c r="A102" s="66">
        <v>17</v>
      </c>
      <c r="B102" s="148">
        <f t="shared" ref="B102:D102" si="236">B75</f>
        <v>1000</v>
      </c>
      <c r="C102" s="148">
        <f t="shared" si="236"/>
        <v>500</v>
      </c>
      <c r="D102" s="148">
        <f t="shared" si="236"/>
        <v>100</v>
      </c>
      <c r="E102" s="148">
        <f t="shared" si="199"/>
        <v>865.53025561962943</v>
      </c>
      <c r="F102" s="148">
        <f t="shared" si="200"/>
        <v>0</v>
      </c>
      <c r="G102" s="148">
        <f t="shared" si="201"/>
        <v>0</v>
      </c>
      <c r="H102" s="148">
        <f t="shared" si="202"/>
        <v>865.53025561962943</v>
      </c>
      <c r="I102" s="148">
        <f t="shared" si="153"/>
        <v>29</v>
      </c>
      <c r="J102" s="148">
        <f t="shared" si="154"/>
        <v>33</v>
      </c>
      <c r="K102" s="148">
        <v>40</v>
      </c>
      <c r="L102" s="148">
        <f t="shared" si="194"/>
        <v>31.03</v>
      </c>
      <c r="M102" s="148">
        <f t="shared" si="203"/>
        <v>25100.377412969254</v>
      </c>
      <c r="N102" s="148">
        <f t="shared" si="195"/>
        <v>0</v>
      </c>
      <c r="O102" s="148">
        <f t="shared" si="196"/>
        <v>0</v>
      </c>
      <c r="P102" s="148">
        <f t="shared" si="204"/>
        <v>25100.377412969254</v>
      </c>
      <c r="Q102" s="7">
        <f>'Seasonal (WITHOUT)'!Q102</f>
        <v>70910.986301379045</v>
      </c>
      <c r="R102" s="7">
        <f>-'LOAD DATA and INPUT SEASONAL'!$A$60*U102</f>
        <v>-33.463348776397943</v>
      </c>
      <c r="S102" s="7">
        <f t="shared" si="205"/>
        <v>70877.522952602652</v>
      </c>
      <c r="T102" s="154">
        <v>4.0612655791528223</v>
      </c>
      <c r="U102" s="148">
        <v>3.3463348776397943</v>
      </c>
      <c r="V102" s="148">
        <f t="shared" si="206"/>
        <v>0.71493070151302796</v>
      </c>
      <c r="W102" s="148">
        <v>808.19185025141167</v>
      </c>
      <c r="X102" s="148"/>
      <c r="Y102" s="148">
        <f t="shared" si="197"/>
        <v>808.90678095292469</v>
      </c>
      <c r="Z102" s="148">
        <f t="shared" si="207"/>
        <v>865.53025561962943</v>
      </c>
      <c r="AA102" s="148" t="b">
        <f t="shared" si="208"/>
        <v>1</v>
      </c>
      <c r="AB102" s="148">
        <f t="shared" si="235"/>
        <v>22.184299667949258</v>
      </c>
      <c r="AC102" s="148">
        <f t="shared" si="210"/>
        <v>25078.193113301306</v>
      </c>
      <c r="AD102" s="148">
        <f t="shared" si="211"/>
        <v>0</v>
      </c>
      <c r="AE102" s="148">
        <f t="shared" si="212"/>
        <v>25100.377412969254</v>
      </c>
      <c r="AF102" s="148">
        <f t="shared" si="213"/>
        <v>62.643209822416985</v>
      </c>
      <c r="AG102" s="148">
        <f t="shared" si="214"/>
        <v>70814.879742780235</v>
      </c>
      <c r="AH102" s="148">
        <f t="shared" si="215"/>
        <v>0</v>
      </c>
      <c r="AI102" s="148">
        <f t="shared" si="216"/>
        <v>70877.522952602652</v>
      </c>
      <c r="AJ102" s="148">
        <f t="shared" si="217"/>
        <v>84.827509490366239</v>
      </c>
      <c r="AK102" s="148">
        <f t="shared" si="218"/>
        <v>95893.072856081533</v>
      </c>
      <c r="AL102" s="148">
        <f t="shared" si="219"/>
        <v>0</v>
      </c>
      <c r="AM102" s="148">
        <f t="shared" si="220"/>
        <v>95977.900365571899</v>
      </c>
    </row>
    <row r="103" spans="1:39" s="66" customFormat="1" x14ac:dyDescent="0.25">
      <c r="A103" s="66">
        <v>18</v>
      </c>
      <c r="B103" s="148">
        <f t="shared" ref="B103:D103" si="237">B76</f>
        <v>1000</v>
      </c>
      <c r="C103" s="148">
        <f t="shared" si="237"/>
        <v>500</v>
      </c>
      <c r="D103" s="148">
        <f t="shared" si="237"/>
        <v>100</v>
      </c>
      <c r="E103" s="148">
        <f t="shared" si="199"/>
        <v>965.23993571527694</v>
      </c>
      <c r="F103" s="148">
        <f t="shared" si="200"/>
        <v>0</v>
      </c>
      <c r="G103" s="148">
        <f t="shared" si="201"/>
        <v>0</v>
      </c>
      <c r="H103" s="148">
        <f t="shared" si="202"/>
        <v>965.23993571527694</v>
      </c>
      <c r="I103" s="148">
        <f t="shared" si="153"/>
        <v>29</v>
      </c>
      <c r="J103" s="148">
        <f t="shared" si="154"/>
        <v>33</v>
      </c>
      <c r="K103" s="148">
        <v>40</v>
      </c>
      <c r="L103" s="148">
        <f t="shared" si="194"/>
        <v>31.030000000000005</v>
      </c>
      <c r="M103" s="148">
        <f t="shared" si="203"/>
        <v>27991.958135743032</v>
      </c>
      <c r="N103" s="148">
        <f t="shared" si="195"/>
        <v>0</v>
      </c>
      <c r="O103" s="148">
        <f t="shared" si="196"/>
        <v>0</v>
      </c>
      <c r="P103" s="148">
        <f t="shared" si="204"/>
        <v>27991.958135743032</v>
      </c>
      <c r="Q103" s="7">
        <f>'Seasonal (WITHOUT)'!Q103</f>
        <v>78820.949882315894</v>
      </c>
      <c r="R103" s="7">
        <f>-'LOAD DATA and INPUT SEASONAL'!$A$60*U103</f>
        <v>-7.6475534910749872</v>
      </c>
      <c r="S103" s="7">
        <f t="shared" si="205"/>
        <v>78813.302328824822</v>
      </c>
      <c r="T103" s="154">
        <v>4.5142907660692613</v>
      </c>
      <c r="U103" s="148">
        <v>0.76475534910749876</v>
      </c>
      <c r="V103" s="148">
        <f t="shared" si="206"/>
        <v>3.7495354169617627</v>
      </c>
      <c r="W103" s="148">
        <v>898.34386244778295</v>
      </c>
      <c r="X103" s="148"/>
      <c r="Y103" s="148">
        <f t="shared" si="197"/>
        <v>902.0933978647447</v>
      </c>
      <c r="Z103" s="148">
        <f t="shared" si="207"/>
        <v>965.23993571527694</v>
      </c>
      <c r="AA103" s="148" t="b">
        <f t="shared" si="208"/>
        <v>1</v>
      </c>
      <c r="AB103" s="148">
        <f t="shared" si="235"/>
        <v>116.34808398832351</v>
      </c>
      <c r="AC103" s="148">
        <f t="shared" si="210"/>
        <v>27875.610051754709</v>
      </c>
      <c r="AD103" s="148">
        <f t="shared" si="211"/>
        <v>0</v>
      </c>
      <c r="AE103" s="148">
        <f t="shared" si="212"/>
        <v>27991.958135743032</v>
      </c>
      <c r="AF103" s="148">
        <f t="shared" si="213"/>
        <v>327.58611149258337</v>
      </c>
      <c r="AG103" s="148">
        <f t="shared" si="214"/>
        <v>78485.716217332243</v>
      </c>
      <c r="AH103" s="148">
        <f t="shared" si="215"/>
        <v>0</v>
      </c>
      <c r="AI103" s="148">
        <f t="shared" si="216"/>
        <v>78813.302328824822</v>
      </c>
      <c r="AJ103" s="148">
        <f t="shared" si="217"/>
        <v>443.93419548090685</v>
      </c>
      <c r="AK103" s="148">
        <f t="shared" si="218"/>
        <v>106361.32626908695</v>
      </c>
      <c r="AL103" s="148">
        <f t="shared" si="219"/>
        <v>0</v>
      </c>
      <c r="AM103" s="148">
        <f t="shared" si="220"/>
        <v>106805.26046456785</v>
      </c>
    </row>
    <row r="104" spans="1:39" s="66" customFormat="1" x14ac:dyDescent="0.25">
      <c r="A104" s="66">
        <v>19</v>
      </c>
      <c r="B104" s="148">
        <f t="shared" ref="B104:D104" si="238">B77</f>
        <v>1000</v>
      </c>
      <c r="C104" s="148">
        <f t="shared" si="238"/>
        <v>500</v>
      </c>
      <c r="D104" s="148">
        <f t="shared" si="238"/>
        <v>100</v>
      </c>
      <c r="E104" s="148">
        <f t="shared" si="199"/>
        <v>1000</v>
      </c>
      <c r="F104" s="148">
        <f t="shared" si="200"/>
        <v>14.73802335092364</v>
      </c>
      <c r="G104" s="148">
        <f t="shared" si="201"/>
        <v>0</v>
      </c>
      <c r="H104" s="148">
        <f t="shared" si="202"/>
        <v>1014.7380233509236</v>
      </c>
      <c r="I104" s="148">
        <f t="shared" si="153"/>
        <v>29</v>
      </c>
      <c r="J104" s="148">
        <f t="shared" si="154"/>
        <v>33</v>
      </c>
      <c r="K104" s="148">
        <v>40</v>
      </c>
      <c r="L104" s="148">
        <f t="shared" si="194"/>
        <v>31.092162586293608</v>
      </c>
      <c r="M104" s="148">
        <f t="shared" si="203"/>
        <v>29000</v>
      </c>
      <c r="N104" s="148">
        <f t="shared" si="195"/>
        <v>486.35477058048014</v>
      </c>
      <c r="O104" s="148">
        <f t="shared" si="196"/>
        <v>0</v>
      </c>
      <c r="P104" s="148">
        <f t="shared" si="204"/>
        <v>29486.354770580481</v>
      </c>
      <c r="Q104" s="7">
        <f>'Seasonal (WITHOUT)'!Q104</f>
        <v>82792.848564114058</v>
      </c>
      <c r="R104" s="7">
        <f>-'LOAD DATA and INPUT SEASONAL'!$A$60*U104</f>
        <v>-1.1543548552097613E-2</v>
      </c>
      <c r="S104" s="7">
        <f t="shared" si="205"/>
        <v>82792.837020565508</v>
      </c>
      <c r="T104" s="154">
        <v>4.7417722360309282</v>
      </c>
      <c r="U104" s="148">
        <v>1.1543548552097613E-3</v>
      </c>
      <c r="V104" s="148">
        <f t="shared" si="206"/>
        <v>4.7406178811757185</v>
      </c>
      <c r="W104" s="148">
        <v>943.61267497015479</v>
      </c>
      <c r="X104" s="148"/>
      <c r="Y104" s="148">
        <f t="shared" si="197"/>
        <v>948.35329285133048</v>
      </c>
      <c r="Z104" s="148">
        <f t="shared" si="207"/>
        <v>1014.7380233509236</v>
      </c>
      <c r="AA104" s="148" t="b">
        <f t="shared" si="208"/>
        <v>1</v>
      </c>
      <c r="AB104" s="148">
        <f t="shared" si="235"/>
        <v>147.39606192100615</v>
      </c>
      <c r="AC104" s="148">
        <f t="shared" si="210"/>
        <v>29338.958708659477</v>
      </c>
      <c r="AD104" s="148">
        <f t="shared" si="211"/>
        <v>0</v>
      </c>
      <c r="AE104" s="148">
        <f t="shared" si="212"/>
        <v>29486.354770580481</v>
      </c>
      <c r="AF104" s="148">
        <f t="shared" si="213"/>
        <v>413.86391186864239</v>
      </c>
      <c r="AG104" s="148">
        <f t="shared" si="214"/>
        <v>82378.973108696868</v>
      </c>
      <c r="AH104" s="148">
        <f t="shared" si="215"/>
        <v>0</v>
      </c>
      <c r="AI104" s="148">
        <f t="shared" si="216"/>
        <v>82792.837020565508</v>
      </c>
      <c r="AJ104" s="148">
        <f t="shared" si="217"/>
        <v>561.25997378964848</v>
      </c>
      <c r="AK104" s="148">
        <f t="shared" si="218"/>
        <v>111717.93181735635</v>
      </c>
      <c r="AL104" s="148">
        <f t="shared" si="219"/>
        <v>0</v>
      </c>
      <c r="AM104" s="148">
        <f t="shared" si="220"/>
        <v>112279.191791146</v>
      </c>
    </row>
    <row r="105" spans="1:39" s="66" customFormat="1" x14ac:dyDescent="0.25">
      <c r="A105" s="66">
        <v>20</v>
      </c>
      <c r="B105" s="148">
        <f t="shared" ref="B105:D105" si="239">B78</f>
        <v>1000</v>
      </c>
      <c r="C105" s="148">
        <f t="shared" si="239"/>
        <v>500</v>
      </c>
      <c r="D105" s="148">
        <f t="shared" si="239"/>
        <v>100</v>
      </c>
      <c r="E105" s="148">
        <f t="shared" si="199"/>
        <v>996.19019697846875</v>
      </c>
      <c r="F105" s="148">
        <f t="shared" si="200"/>
        <v>0</v>
      </c>
      <c r="G105" s="148">
        <f t="shared" si="201"/>
        <v>0</v>
      </c>
      <c r="H105" s="148">
        <f t="shared" si="202"/>
        <v>996.19019697846875</v>
      </c>
      <c r="I105" s="148">
        <f t="shared" si="153"/>
        <v>29</v>
      </c>
      <c r="J105" s="148">
        <f t="shared" si="154"/>
        <v>33</v>
      </c>
      <c r="K105" s="148">
        <v>40</v>
      </c>
      <c r="L105" s="148">
        <f t="shared" si="194"/>
        <v>31.029999999999998</v>
      </c>
      <c r="M105" s="148">
        <f t="shared" si="203"/>
        <v>28889.515712375593</v>
      </c>
      <c r="N105" s="148">
        <f t="shared" si="195"/>
        <v>0</v>
      </c>
      <c r="O105" s="148">
        <f t="shared" si="196"/>
        <v>0</v>
      </c>
      <c r="P105" s="148">
        <f t="shared" si="204"/>
        <v>28889.515712375593</v>
      </c>
      <c r="Q105" s="7">
        <f>'Seasonal (WITHOUT)'!Q105</f>
        <v>81279.425653196246</v>
      </c>
      <c r="R105" s="7">
        <f>-'LOAD DATA and INPUT SEASONAL'!$A$60*U105</f>
        <v>0</v>
      </c>
      <c r="S105" s="7">
        <f t="shared" si="205"/>
        <v>81279.425653196246</v>
      </c>
      <c r="T105" s="154">
        <v>4.6550943784040593</v>
      </c>
      <c r="U105" s="148">
        <v>0</v>
      </c>
      <c r="V105" s="148">
        <f t="shared" si="206"/>
        <v>4.6550943784040593</v>
      </c>
      <c r="W105" s="148">
        <v>926.3637813024078</v>
      </c>
      <c r="X105" s="148"/>
      <c r="Y105" s="148">
        <f t="shared" si="197"/>
        <v>931.0188756808119</v>
      </c>
      <c r="Z105" s="148">
        <f t="shared" si="207"/>
        <v>996.19019697846875</v>
      </c>
      <c r="AA105" s="148" t="b">
        <f t="shared" si="208"/>
        <v>1</v>
      </c>
      <c r="AB105" s="148">
        <f t="shared" si="235"/>
        <v>144.44757856187795</v>
      </c>
      <c r="AC105" s="148">
        <f t="shared" si="210"/>
        <v>28745.068133813711</v>
      </c>
      <c r="AD105" s="148">
        <f t="shared" si="211"/>
        <v>0</v>
      </c>
      <c r="AE105" s="148">
        <f t="shared" si="212"/>
        <v>28889.515712375589</v>
      </c>
      <c r="AF105" s="148">
        <f t="shared" si="213"/>
        <v>406.39712826598117</v>
      </c>
      <c r="AG105" s="148">
        <f t="shared" si="214"/>
        <v>80873.028524930254</v>
      </c>
      <c r="AH105" s="148">
        <f t="shared" si="215"/>
        <v>0</v>
      </c>
      <c r="AI105" s="148">
        <f t="shared" si="216"/>
        <v>81279.425653196231</v>
      </c>
      <c r="AJ105" s="148">
        <f t="shared" si="217"/>
        <v>550.84470682785911</v>
      </c>
      <c r="AK105" s="148">
        <f t="shared" si="218"/>
        <v>109618.09665874396</v>
      </c>
      <c r="AL105" s="148">
        <f t="shared" si="219"/>
        <v>0</v>
      </c>
      <c r="AM105" s="148">
        <f t="shared" si="220"/>
        <v>110168.94136557182</v>
      </c>
    </row>
    <row r="106" spans="1:39" s="66" customFormat="1" x14ac:dyDescent="0.25">
      <c r="A106" s="66">
        <v>21</v>
      </c>
      <c r="B106" s="148">
        <f t="shared" ref="B106:D106" si="240">B79</f>
        <v>1000</v>
      </c>
      <c r="C106" s="148">
        <f t="shared" si="240"/>
        <v>500</v>
      </c>
      <c r="D106" s="148">
        <f t="shared" si="240"/>
        <v>100</v>
      </c>
      <c r="E106" s="148">
        <f t="shared" si="199"/>
        <v>992.38320405554862</v>
      </c>
      <c r="F106" s="148">
        <f t="shared" si="200"/>
        <v>0</v>
      </c>
      <c r="G106" s="148">
        <f t="shared" si="201"/>
        <v>0</v>
      </c>
      <c r="H106" s="148">
        <f>SUM(E106:G106)</f>
        <v>992.38320405554862</v>
      </c>
      <c r="I106" s="148">
        <f t="shared" si="153"/>
        <v>29</v>
      </c>
      <c r="J106" s="148">
        <f t="shared" si="154"/>
        <v>33</v>
      </c>
      <c r="K106" s="148">
        <v>40</v>
      </c>
      <c r="L106" s="148">
        <f t="shared" si="194"/>
        <v>31.03</v>
      </c>
      <c r="M106" s="148">
        <f>E106*I106</f>
        <v>28779.11291761091</v>
      </c>
      <c r="N106" s="148">
        <f t="shared" si="195"/>
        <v>0</v>
      </c>
      <c r="O106" s="148">
        <f t="shared" si="196"/>
        <v>0</v>
      </c>
      <c r="P106" s="148">
        <f>SUM(M106:O106)</f>
        <v>28779.11291761091</v>
      </c>
      <c r="Q106" s="7">
        <f>'Seasonal (WITHOUT)'!Q106</f>
        <v>80968.812078419796</v>
      </c>
      <c r="R106" s="7">
        <f>-'LOAD DATA and INPUT SEASONAL'!$A$60*U106</f>
        <v>0</v>
      </c>
      <c r="S106" s="7">
        <f t="shared" si="205"/>
        <v>80968.812078419796</v>
      </c>
      <c r="T106" s="154">
        <v>4.6373046918483576</v>
      </c>
      <c r="U106" s="148">
        <v>0</v>
      </c>
      <c r="V106" s="148">
        <f t="shared" si="206"/>
        <v>4.6373046918483576</v>
      </c>
      <c r="W106" s="148">
        <v>922.82363367782318</v>
      </c>
      <c r="X106" s="148"/>
      <c r="Y106" s="148">
        <f t="shared" si="197"/>
        <v>927.46093836967157</v>
      </c>
      <c r="Z106" s="148">
        <f>Y106*1.07</f>
        <v>992.38320405554862</v>
      </c>
      <c r="AA106" s="148" t="b">
        <f>Z106=H106</f>
        <v>1</v>
      </c>
      <c r="AB106" s="148">
        <f>V106*L106</f>
        <v>143.89556458805455</v>
      </c>
      <c r="AC106" s="148">
        <f>W106*$L106</f>
        <v>28635.217353022854</v>
      </c>
      <c r="AD106" s="148">
        <f>X106*$L106</f>
        <v>0</v>
      </c>
      <c r="AE106" s="148">
        <f>SUM(AB106:AD106)</f>
        <v>28779.11291761091</v>
      </c>
      <c r="AF106" s="148">
        <f>$S106/$Y106*V106</f>
        <v>404.84406039209898</v>
      </c>
      <c r="AG106" s="148">
        <f t="shared" si="214"/>
        <v>80563.968018027692</v>
      </c>
      <c r="AH106" s="148">
        <f t="shared" si="215"/>
        <v>0</v>
      </c>
      <c r="AI106" s="148">
        <f>SUM(AF106:AH106)</f>
        <v>80968.812078419796</v>
      </c>
      <c r="AJ106" s="148">
        <f>AB106+AF106</f>
        <v>548.73962498015351</v>
      </c>
      <c r="AK106" s="148">
        <f>AC106+AG106</f>
        <v>109199.18537105055</v>
      </c>
      <c r="AL106" s="148">
        <f>AD106+AH106</f>
        <v>0</v>
      </c>
      <c r="AM106" s="148">
        <f>SUM(AJ106:AL106)</f>
        <v>109747.92499603071</v>
      </c>
    </row>
    <row r="107" spans="1:39" s="66" customFormat="1" x14ac:dyDescent="0.25">
      <c r="A107" s="66">
        <v>22</v>
      </c>
      <c r="B107" s="148">
        <f t="shared" ref="B107:D107" si="241">B80</f>
        <v>1000</v>
      </c>
      <c r="C107" s="148">
        <f t="shared" si="241"/>
        <v>500</v>
      </c>
      <c r="D107" s="148">
        <f t="shared" si="241"/>
        <v>100</v>
      </c>
      <c r="E107" s="148">
        <f t="shared" si="199"/>
        <v>938.11103549069787</v>
      </c>
      <c r="F107" s="148">
        <f t="shared" si="200"/>
        <v>0</v>
      </c>
      <c r="G107" s="148">
        <f t="shared" si="201"/>
        <v>0</v>
      </c>
      <c r="H107" s="148">
        <f t="shared" ref="H107:H108" si="242">SUM(E107:G107)</f>
        <v>938.11103549069787</v>
      </c>
      <c r="I107" s="148">
        <f t="shared" si="153"/>
        <v>29</v>
      </c>
      <c r="J107" s="148">
        <f t="shared" si="154"/>
        <v>33</v>
      </c>
      <c r="K107" s="148">
        <v>40</v>
      </c>
      <c r="L107" s="148">
        <f t="shared" si="194"/>
        <v>31.03</v>
      </c>
      <c r="M107" s="148">
        <f t="shared" ref="M107:M108" si="243">E107*I107</f>
        <v>27205.220029230237</v>
      </c>
      <c r="N107" s="148">
        <f t="shared" si="195"/>
        <v>0</v>
      </c>
      <c r="O107" s="148">
        <f t="shared" si="196"/>
        <v>0</v>
      </c>
      <c r="P107" s="148">
        <f t="shared" ref="P107:P108" si="244">SUM(M107:O107)</f>
        <v>27205.220029230237</v>
      </c>
      <c r="Q107" s="7">
        <f>'Seasonal (WITHOUT)'!Q107</f>
        <v>76540.731272882753</v>
      </c>
      <c r="R107" s="7">
        <f>-'LOAD DATA and INPUT SEASONAL'!$A$60*U107</f>
        <v>0</v>
      </c>
      <c r="S107" s="7">
        <f t="shared" si="205"/>
        <v>76540.731272882753</v>
      </c>
      <c r="T107" s="154">
        <v>4.3836964275266252</v>
      </c>
      <c r="U107" s="148">
        <v>0</v>
      </c>
      <c r="V107" s="148">
        <f t="shared" si="206"/>
        <v>4.3836964275266252</v>
      </c>
      <c r="W107" s="148">
        <v>872.35558907779841</v>
      </c>
      <c r="X107" s="148"/>
      <c r="Y107" s="148">
        <f t="shared" si="197"/>
        <v>876.73928550532503</v>
      </c>
      <c r="Z107" s="148">
        <f t="shared" si="207"/>
        <v>938.11103549069787</v>
      </c>
      <c r="AA107" s="148" t="b">
        <f t="shared" ref="AA107:AA108" si="245">Z107=H107</f>
        <v>1</v>
      </c>
      <c r="AB107" s="148">
        <f t="shared" ref="AB107:AB108" si="246">V107*L107</f>
        <v>136.02610014615118</v>
      </c>
      <c r="AC107" s="148">
        <f t="shared" ref="AC107:AC108" si="247">W107*$L107</f>
        <v>27069.193929084086</v>
      </c>
      <c r="AD107" s="148">
        <f t="shared" ref="AD107:AD108" si="248">X107*$L107</f>
        <v>0</v>
      </c>
      <c r="AE107" s="148">
        <f t="shared" ref="AE107:AE108" si="249">SUM(AB107:AD107)</f>
        <v>27205.220029230237</v>
      </c>
      <c r="AF107" s="148">
        <f t="shared" ref="AF107:AF108" si="250">$S107/$Y107*V107</f>
        <v>382.70365636441375</v>
      </c>
      <c r="AG107" s="148">
        <f t="shared" si="214"/>
        <v>76158.027616518346</v>
      </c>
      <c r="AH107" s="148">
        <f t="shared" si="215"/>
        <v>0</v>
      </c>
      <c r="AI107" s="148">
        <f t="shared" ref="AI107:AI108" si="251">SUM(AF107:AH107)</f>
        <v>76540.731272882753</v>
      </c>
      <c r="AJ107" s="148">
        <f t="shared" ref="AJ107:AJ108" si="252">AB107+AF107</f>
        <v>518.72975651056493</v>
      </c>
      <c r="AK107" s="148">
        <f t="shared" ref="AK107:AK108" si="253">AC107+AG107</f>
        <v>103227.22154560243</v>
      </c>
      <c r="AL107" s="148">
        <f t="shared" ref="AL107:AL108" si="254">AD107+AH107</f>
        <v>0</v>
      </c>
      <c r="AM107" s="148">
        <f t="shared" ref="AM107:AM108" si="255">SUM(AJ107:AL107)</f>
        <v>103745.951302113</v>
      </c>
    </row>
    <row r="108" spans="1:39" s="66" customFormat="1" x14ac:dyDescent="0.25">
      <c r="A108" s="66">
        <v>23</v>
      </c>
      <c r="B108" s="148">
        <f t="shared" ref="B108:D108" si="256">B81</f>
        <v>1000</v>
      </c>
      <c r="C108" s="148">
        <f t="shared" si="256"/>
        <v>500</v>
      </c>
      <c r="D108" s="148">
        <f t="shared" si="256"/>
        <v>100</v>
      </c>
      <c r="E108" s="148">
        <f t="shared" si="199"/>
        <v>774.17404545238867</v>
      </c>
      <c r="F108" s="148">
        <f t="shared" si="200"/>
        <v>0</v>
      </c>
      <c r="G108" s="148">
        <f t="shared" si="201"/>
        <v>0</v>
      </c>
      <c r="H108" s="148">
        <f t="shared" si="242"/>
        <v>774.17404545238867</v>
      </c>
      <c r="I108" s="148">
        <f t="shared" si="153"/>
        <v>29</v>
      </c>
      <c r="J108" s="148">
        <f t="shared" si="154"/>
        <v>33</v>
      </c>
      <c r="K108" s="148">
        <v>40</v>
      </c>
      <c r="L108" s="148">
        <f t="shared" si="194"/>
        <v>31.030000000000005</v>
      </c>
      <c r="M108" s="148">
        <f t="shared" si="243"/>
        <v>22451.047318119272</v>
      </c>
      <c r="N108" s="148">
        <f t="shared" si="195"/>
        <v>0</v>
      </c>
      <c r="O108" s="148">
        <f t="shared" si="196"/>
        <v>0</v>
      </c>
      <c r="P108" s="148">
        <f t="shared" si="244"/>
        <v>22451.047318119272</v>
      </c>
      <c r="Q108" s="7">
        <f>'Seasonal (WITHOUT)'!Q108</f>
        <v>63165.068237809224</v>
      </c>
      <c r="R108" s="7">
        <f>-'LOAD DATA and INPUT SEASONAL'!$A$60*U108</f>
        <v>0</v>
      </c>
      <c r="S108" s="7">
        <f t="shared" si="205"/>
        <v>63165.068237809224</v>
      </c>
      <c r="T108" s="154">
        <v>3.617635726413031</v>
      </c>
      <c r="U108" s="148">
        <v>0</v>
      </c>
      <c r="V108" s="148">
        <f t="shared" si="206"/>
        <v>3.617635726413031</v>
      </c>
      <c r="W108" s="148">
        <v>719.90950955619314</v>
      </c>
      <c r="X108" s="148"/>
      <c r="Y108" s="148">
        <f t="shared" si="197"/>
        <v>723.52714528260617</v>
      </c>
      <c r="Z108" s="148">
        <f t="shared" si="207"/>
        <v>774.17404545238867</v>
      </c>
      <c r="AA108" s="148" t="b">
        <f t="shared" si="245"/>
        <v>1</v>
      </c>
      <c r="AB108" s="148">
        <f t="shared" si="246"/>
        <v>112.25523659059637</v>
      </c>
      <c r="AC108" s="148">
        <f t="shared" si="247"/>
        <v>22338.792081528678</v>
      </c>
      <c r="AD108" s="148">
        <f t="shared" si="248"/>
        <v>0</v>
      </c>
      <c r="AE108" s="148">
        <f t="shared" si="249"/>
        <v>22451.047318119276</v>
      </c>
      <c r="AF108" s="148">
        <f t="shared" si="250"/>
        <v>315.82534118904613</v>
      </c>
      <c r="AG108" s="148">
        <f t="shared" si="214"/>
        <v>62849.242896620177</v>
      </c>
      <c r="AH108" s="148">
        <f t="shared" si="215"/>
        <v>0</v>
      </c>
      <c r="AI108" s="148">
        <f t="shared" si="251"/>
        <v>63165.068237809224</v>
      </c>
      <c r="AJ108" s="148">
        <f t="shared" si="252"/>
        <v>428.08057777964251</v>
      </c>
      <c r="AK108" s="148">
        <f t="shared" si="253"/>
        <v>85188.034978148848</v>
      </c>
      <c r="AL108" s="148">
        <f t="shared" si="254"/>
        <v>0</v>
      </c>
      <c r="AM108" s="148">
        <f t="shared" si="255"/>
        <v>85616.115555928496</v>
      </c>
    </row>
    <row r="109" spans="1:39" s="66" customFormat="1" x14ac:dyDescent="0.25">
      <c r="A109" s="66">
        <v>24</v>
      </c>
      <c r="B109" s="148">
        <f t="shared" ref="B109:D109" si="257">B82</f>
        <v>1000</v>
      </c>
      <c r="C109" s="148">
        <f t="shared" si="257"/>
        <v>500</v>
      </c>
      <c r="D109" s="148">
        <f t="shared" si="257"/>
        <v>100</v>
      </c>
      <c r="E109" s="148">
        <f t="shared" si="199"/>
        <v>604.06150506033055</v>
      </c>
      <c r="F109" s="148">
        <f t="shared" si="200"/>
        <v>0</v>
      </c>
      <c r="G109" s="148">
        <f t="shared" si="201"/>
        <v>0</v>
      </c>
      <c r="H109" s="148">
        <f>SUM(E109:G109)</f>
        <v>604.06150506033055</v>
      </c>
      <c r="I109" s="148">
        <f t="shared" si="153"/>
        <v>29</v>
      </c>
      <c r="J109" s="148">
        <f t="shared" si="154"/>
        <v>33</v>
      </c>
      <c r="K109" s="148">
        <v>40</v>
      </c>
      <c r="L109" s="148">
        <f>P109/Y109</f>
        <v>31.03</v>
      </c>
      <c r="M109" s="148">
        <f>E109*I109</f>
        <v>17517.783646749587</v>
      </c>
      <c r="N109" s="148">
        <f t="shared" si="195"/>
        <v>0</v>
      </c>
      <c r="O109" s="148">
        <f t="shared" si="196"/>
        <v>0</v>
      </c>
      <c r="P109" s="148">
        <f>SUM(M109:O109)</f>
        <v>17517.783646749587</v>
      </c>
      <c r="Q109" s="7">
        <f>'Seasonal (WITHOUT)'!Q109</f>
        <v>49285.540391209193</v>
      </c>
      <c r="R109" s="7">
        <f>-'LOAD DATA and INPUT SEASONAL'!$A$60*U109</f>
        <v>0</v>
      </c>
      <c r="S109" s="7">
        <f t="shared" si="205"/>
        <v>49285.540391209193</v>
      </c>
      <c r="T109" s="154">
        <v>2.8227173133660308</v>
      </c>
      <c r="U109" s="148">
        <v>0</v>
      </c>
      <c r="V109" s="148">
        <f>T109-U109</f>
        <v>2.8227173133660308</v>
      </c>
      <c r="W109" s="148">
        <v>561.72074535984007</v>
      </c>
      <c r="X109" s="148"/>
      <c r="Y109" s="148">
        <f>SUM(V109:X109)</f>
        <v>564.54346267320614</v>
      </c>
      <c r="Z109" s="148">
        <f>Y109*1.07</f>
        <v>604.06150506033055</v>
      </c>
      <c r="AA109" s="148" t="b">
        <f>Z109=H109</f>
        <v>1</v>
      </c>
      <c r="AB109" s="148">
        <f>V109*L109</f>
        <v>87.588918233747933</v>
      </c>
      <c r="AC109" s="148">
        <f>W109*$L109</f>
        <v>17430.194728515839</v>
      </c>
      <c r="AD109" s="148">
        <f>X109*$L109</f>
        <v>0</v>
      </c>
      <c r="AE109" s="148">
        <f>SUM(AB109:AD109)</f>
        <v>17517.783646749587</v>
      </c>
      <c r="AF109" s="148">
        <f>$S109/$Y109*V109</f>
        <v>246.42770195604598</v>
      </c>
      <c r="AG109" s="148">
        <f t="shared" si="214"/>
        <v>49039.112689253147</v>
      </c>
      <c r="AH109" s="148">
        <f t="shared" si="215"/>
        <v>0</v>
      </c>
      <c r="AI109" s="148">
        <f>SUM(AF109:AH109)</f>
        <v>49285.540391209193</v>
      </c>
      <c r="AJ109" s="148">
        <f>AB109+AF109</f>
        <v>334.01662018979391</v>
      </c>
      <c r="AK109" s="148">
        <f>AC109+AG109</f>
        <v>66469.307417768985</v>
      </c>
      <c r="AL109" s="148">
        <f>AD109+AH109</f>
        <v>0</v>
      </c>
      <c r="AM109" s="148">
        <f>SUM(AJ109:AL109)</f>
        <v>66803.324037958781</v>
      </c>
    </row>
    <row r="110" spans="1:39" s="66" customFormat="1" x14ac:dyDescent="0.25">
      <c r="A110" s="66" t="s">
        <v>36</v>
      </c>
      <c r="B110" s="66">
        <f t="shared" ref="B110:AA110" si="258">SUM(B86:B109)</f>
        <v>24000</v>
      </c>
      <c r="C110" s="66">
        <f t="shared" si="258"/>
        <v>12000</v>
      </c>
      <c r="D110" s="66">
        <f t="shared" si="258"/>
        <v>2400</v>
      </c>
      <c r="E110" s="66">
        <f t="shared" si="258"/>
        <v>16337.135081071896</v>
      </c>
      <c r="F110" s="66">
        <f t="shared" si="258"/>
        <v>14.73802335092364</v>
      </c>
      <c r="G110" s="66">
        <f t="shared" si="258"/>
        <v>0</v>
      </c>
      <c r="H110" s="66">
        <f t="shared" si="258"/>
        <v>16351.873104422819</v>
      </c>
      <c r="I110" s="140">
        <f>I109</f>
        <v>29</v>
      </c>
      <c r="J110" s="155">
        <f t="shared" si="154"/>
        <v>33</v>
      </c>
      <c r="K110" s="155">
        <f t="shared" si="154"/>
        <v>40</v>
      </c>
      <c r="L110" s="66">
        <f t="shared" si="258"/>
        <v>744.78216258629345</v>
      </c>
      <c r="M110" s="66">
        <f t="shared" si="258"/>
        <v>473776.91735108505</v>
      </c>
      <c r="N110" s="66">
        <f t="shared" si="258"/>
        <v>486.35477058048014</v>
      </c>
      <c r="O110" s="66">
        <f t="shared" si="258"/>
        <v>0</v>
      </c>
      <c r="P110" s="66">
        <f t="shared" si="258"/>
        <v>474263.27212166553</v>
      </c>
      <c r="Q110" s="66">
        <f t="shared" si="258"/>
        <v>1340082.7966384885</v>
      </c>
      <c r="R110" s="66">
        <f t="shared" si="258"/>
        <v>-679.14910572207486</v>
      </c>
      <c r="S110" s="66">
        <f t="shared" si="258"/>
        <v>1339403.6475327665</v>
      </c>
      <c r="T110" s="66">
        <f t="shared" si="258"/>
        <v>76.750196536145253</v>
      </c>
      <c r="U110" s="66">
        <f t="shared" si="258"/>
        <v>67.914910572207475</v>
      </c>
      <c r="V110" s="66">
        <f t="shared" si="258"/>
        <v>8.8352859639377783</v>
      </c>
      <c r="W110" s="66">
        <f t="shared" si="258"/>
        <v>15273.289110692904</v>
      </c>
      <c r="X110" s="66">
        <f t="shared" si="258"/>
        <v>0</v>
      </c>
      <c r="Y110" s="66">
        <f t="shared" si="258"/>
        <v>15282.124396656842</v>
      </c>
      <c r="Z110" s="66">
        <f t="shared" si="258"/>
        <v>16351.873104422819</v>
      </c>
      <c r="AA110" s="66">
        <f t="shared" si="258"/>
        <v>0</v>
      </c>
      <c r="AB110" s="66">
        <f t="shared" ref="AB110" si="259">SUM(AB86:AB109)</f>
        <v>274.45361252911277</v>
      </c>
      <c r="AC110" s="66">
        <f t="shared" ref="AC110" si="260">SUM(AC86:AC109)</f>
        <v>473988.81850913644</v>
      </c>
      <c r="AD110" s="66">
        <f t="shared" ref="AD110" si="261">SUM(AD86:AD109)</f>
        <v>0</v>
      </c>
      <c r="AE110" s="66">
        <f t="shared" ref="AE110" si="262">SUM(AE86:AE109)</f>
        <v>474263.27212166553</v>
      </c>
      <c r="AF110" s="66">
        <f t="shared" ref="AF110" si="263">SUM(AF86:AF109)</f>
        <v>734.85671777446146</v>
      </c>
      <c r="AG110" s="66">
        <f t="shared" ref="AG110" si="264">SUM(AG86:AG109)</f>
        <v>1338668.7908149923</v>
      </c>
      <c r="AH110" s="66">
        <f t="shared" ref="AH110" si="265">SUM(AH86:AH109)</f>
        <v>0</v>
      </c>
      <c r="AI110" s="66">
        <f t="shared" ref="AI110" si="266">SUM(AI86:AI109)</f>
        <v>1339403.6475327665</v>
      </c>
      <c r="AJ110" s="66">
        <f t="shared" ref="AJ110" si="267">SUM(AJ86:AJ109)</f>
        <v>1009.3103303035743</v>
      </c>
      <c r="AK110" s="66">
        <f t="shared" ref="AK110" si="268">SUM(AK86:AK109)</f>
        <v>1812657.6093241281</v>
      </c>
      <c r="AL110" s="66">
        <f t="shared" ref="AL110" si="269">SUM(AL86:AL109)</f>
        <v>0</v>
      </c>
      <c r="AM110" s="66">
        <f>SUM(AM86:AM109)</f>
        <v>1813666.9196544325</v>
      </c>
    </row>
    <row r="112" spans="1:39" x14ac:dyDescent="0.25">
      <c r="AB112" s="199" t="s">
        <v>17</v>
      </c>
      <c r="AC112" s="200"/>
      <c r="AD112" s="200"/>
      <c r="AE112" s="201"/>
      <c r="AF112" s="199" t="s">
        <v>18</v>
      </c>
      <c r="AG112" s="200"/>
      <c r="AH112" s="200"/>
      <c r="AI112" s="201"/>
      <c r="AJ112" s="199" t="s">
        <v>19</v>
      </c>
      <c r="AK112" s="200"/>
      <c r="AL112" s="200"/>
      <c r="AM112" s="201"/>
    </row>
    <row r="113" spans="1:39" x14ac:dyDescent="0.25">
      <c r="AB113" s="156" t="s">
        <v>26</v>
      </c>
      <c r="AC113" s="68" t="s">
        <v>2</v>
      </c>
      <c r="AD113" s="68" t="s">
        <v>3</v>
      </c>
      <c r="AE113" s="157" t="s">
        <v>6</v>
      </c>
      <c r="AF113" s="156" t="s">
        <v>26</v>
      </c>
      <c r="AG113" s="68" t="s">
        <v>2</v>
      </c>
      <c r="AH113" s="68" t="s">
        <v>3</v>
      </c>
      <c r="AI113" s="157" t="s">
        <v>6</v>
      </c>
      <c r="AJ113" s="156" t="s">
        <v>26</v>
      </c>
      <c r="AK113" s="68" t="s">
        <v>2</v>
      </c>
      <c r="AL113" s="68" t="s">
        <v>3</v>
      </c>
      <c r="AM113" s="157" t="s">
        <v>6</v>
      </c>
    </row>
    <row r="114" spans="1:39" s="66" customFormat="1" x14ac:dyDescent="0.25">
      <c r="A114" s="158" t="s">
        <v>44</v>
      </c>
      <c r="B114" s="68" t="s">
        <v>53</v>
      </c>
      <c r="D114" s="145"/>
      <c r="E114" s="159">
        <f t="shared" ref="E114:Z114" si="270">E29</f>
        <v>18465.160298492821</v>
      </c>
      <c r="F114" s="159">
        <f t="shared" si="270"/>
        <v>490.99115219807788</v>
      </c>
      <c r="G114" s="159">
        <f t="shared" si="270"/>
        <v>0</v>
      </c>
      <c r="H114" s="159">
        <f t="shared" si="270"/>
        <v>18956.151450690901</v>
      </c>
      <c r="I114" s="159">
        <f t="shared" si="270"/>
        <v>29</v>
      </c>
      <c r="J114" s="159">
        <f t="shared" si="270"/>
        <v>33</v>
      </c>
      <c r="K114" s="159">
        <f t="shared" si="270"/>
        <v>40</v>
      </c>
      <c r="L114" s="159">
        <f t="shared" si="270"/>
        <v>746.59969967735071</v>
      </c>
      <c r="M114" s="159">
        <f t="shared" si="270"/>
        <v>535489.64865629177</v>
      </c>
      <c r="N114" s="159">
        <f t="shared" si="270"/>
        <v>16202.70802253657</v>
      </c>
      <c r="O114" s="159">
        <f t="shared" si="270"/>
        <v>0</v>
      </c>
      <c r="P114" s="159">
        <f t="shared" si="270"/>
        <v>551692.35667882836</v>
      </c>
      <c r="Q114" s="159">
        <f t="shared" si="270"/>
        <v>1550892.175546003</v>
      </c>
      <c r="R114" s="159">
        <f t="shared" si="270"/>
        <v>-487.35527044510297</v>
      </c>
      <c r="S114" s="159">
        <f t="shared" si="270"/>
        <v>1550404.8202755582</v>
      </c>
      <c r="T114" s="159">
        <f t="shared" si="270"/>
        <v>88.823824601067869</v>
      </c>
      <c r="U114" s="159">
        <f t="shared" si="270"/>
        <v>48.735527044510299</v>
      </c>
      <c r="V114" s="159">
        <f t="shared" si="270"/>
        <v>40.088297556557585</v>
      </c>
      <c r="W114" s="159">
        <f t="shared" si="270"/>
        <v>17675.941095612507</v>
      </c>
      <c r="X114" s="159">
        <f t="shared" si="270"/>
        <v>0</v>
      </c>
      <c r="Y114" s="159">
        <f t="shared" si="270"/>
        <v>17716.029393169068</v>
      </c>
      <c r="Z114" s="159">
        <f t="shared" si="270"/>
        <v>18956.151450690901</v>
      </c>
      <c r="AA114" s="159">
        <f>AA29</f>
        <v>0</v>
      </c>
      <c r="AB114" s="159">
        <f t="shared" ref="AB114:AM114" si="271">AB29</f>
        <v>1253.7190309013649</v>
      </c>
      <c r="AC114" s="159">
        <f t="shared" si="271"/>
        <v>550438.63764792704</v>
      </c>
      <c r="AD114" s="159">
        <f t="shared" si="271"/>
        <v>0</v>
      </c>
      <c r="AE114" s="160">
        <f t="shared" si="271"/>
        <v>551692.35667882836</v>
      </c>
      <c r="AF114" s="161">
        <f>AF29</f>
        <v>3487.8886863692333</v>
      </c>
      <c r="AG114" s="159">
        <f t="shared" si="271"/>
        <v>1546916.9315891883</v>
      </c>
      <c r="AH114" s="159">
        <f t="shared" si="271"/>
        <v>0</v>
      </c>
      <c r="AI114" s="160">
        <f>AI29</f>
        <v>1550404.8202755579</v>
      </c>
      <c r="AJ114" s="161">
        <f t="shared" si="271"/>
        <v>4741.6077172705991</v>
      </c>
      <c r="AK114" s="159">
        <f t="shared" si="271"/>
        <v>2097355.5692371153</v>
      </c>
      <c r="AL114" s="159">
        <f t="shared" si="271"/>
        <v>0</v>
      </c>
      <c r="AM114" s="160">
        <f t="shared" si="271"/>
        <v>2102097.1769543863</v>
      </c>
    </row>
    <row r="115" spans="1:39" s="66" customFormat="1" x14ac:dyDescent="0.25">
      <c r="A115" s="158" t="s">
        <v>45</v>
      </c>
      <c r="B115" s="68" t="s">
        <v>53</v>
      </c>
      <c r="D115" s="145"/>
      <c r="E115" s="159">
        <f t="shared" ref="E115:Z115" si="272">E56</f>
        <v>15236.534661646108</v>
      </c>
      <c r="F115" s="159">
        <f t="shared" si="272"/>
        <v>0</v>
      </c>
      <c r="G115" s="159">
        <f t="shared" si="272"/>
        <v>0</v>
      </c>
      <c r="H115" s="159">
        <f t="shared" si="272"/>
        <v>15236.534661646108</v>
      </c>
      <c r="I115" s="159">
        <f t="shared" si="272"/>
        <v>29</v>
      </c>
      <c r="J115" s="159">
        <f t="shared" si="272"/>
        <v>33</v>
      </c>
      <c r="K115" s="159">
        <f t="shared" si="272"/>
        <v>40</v>
      </c>
      <c r="L115" s="159">
        <f t="shared" si="272"/>
        <v>744.71999999999969</v>
      </c>
      <c r="M115" s="159">
        <f t="shared" si="272"/>
        <v>441859.50518773706</v>
      </c>
      <c r="N115" s="159">
        <f t="shared" si="272"/>
        <v>0</v>
      </c>
      <c r="O115" s="159">
        <f t="shared" si="272"/>
        <v>0</v>
      </c>
      <c r="P115" s="159">
        <f t="shared" si="272"/>
        <v>441859.50518773706</v>
      </c>
      <c r="Q115" s="159">
        <f t="shared" si="272"/>
        <v>1249846.0389430968</v>
      </c>
      <c r="R115" s="159">
        <f t="shared" si="272"/>
        <v>-766.6624428758447</v>
      </c>
      <c r="S115" s="159">
        <f t="shared" si="272"/>
        <v>1249079.376500221</v>
      </c>
      <c r="T115" s="159">
        <f t="shared" si="272"/>
        <v>71.582091322587956</v>
      </c>
      <c r="U115" s="159">
        <f t="shared" si="272"/>
        <v>76.66624428758449</v>
      </c>
      <c r="V115" s="159">
        <f t="shared" si="272"/>
        <v>-5.084152964996532</v>
      </c>
      <c r="W115" s="159">
        <f t="shared" si="272"/>
        <v>14244.836173195003</v>
      </c>
      <c r="X115" s="159">
        <f t="shared" si="272"/>
        <v>0</v>
      </c>
      <c r="Y115" s="159">
        <f t="shared" si="272"/>
        <v>14239.752020230004</v>
      </c>
      <c r="Z115" s="159">
        <f t="shared" si="272"/>
        <v>15236.534661646108</v>
      </c>
      <c r="AA115" s="159">
        <f t="shared" ref="AA115" si="273">AA56</f>
        <v>0</v>
      </c>
      <c r="AB115" s="159">
        <f t="shared" ref="AB115:AM115" si="274">AB56</f>
        <v>-157.76126650384245</v>
      </c>
      <c r="AC115" s="159">
        <f t="shared" si="274"/>
        <v>442017.26645424089</v>
      </c>
      <c r="AD115" s="159">
        <f t="shared" si="274"/>
        <v>0</v>
      </c>
      <c r="AE115" s="160">
        <f t="shared" si="274"/>
        <v>441859.50518773717</v>
      </c>
      <c r="AF115" s="161">
        <f t="shared" si="274"/>
        <v>-492.369764341679</v>
      </c>
      <c r="AG115" s="159">
        <f t="shared" si="274"/>
        <v>1249571.7462645627</v>
      </c>
      <c r="AH115" s="159">
        <f t="shared" si="274"/>
        <v>0</v>
      </c>
      <c r="AI115" s="160">
        <f t="shared" si="274"/>
        <v>1249079.376500221</v>
      </c>
      <c r="AJ115" s="161">
        <f t="shared" si="274"/>
        <v>-650.13103084552131</v>
      </c>
      <c r="AK115" s="159">
        <f t="shared" si="274"/>
        <v>1691589.0127188032</v>
      </c>
      <c r="AL115" s="159">
        <f t="shared" si="274"/>
        <v>0</v>
      </c>
      <c r="AM115" s="160">
        <f t="shared" si="274"/>
        <v>1690938.8816879578</v>
      </c>
    </row>
    <row r="116" spans="1:39" s="66" customFormat="1" x14ac:dyDescent="0.25">
      <c r="A116" s="158" t="s">
        <v>46</v>
      </c>
      <c r="B116" s="68" t="s">
        <v>53</v>
      </c>
      <c r="D116" s="145"/>
      <c r="E116" s="159">
        <f t="shared" ref="E116:Z116" si="275">E83</f>
        <v>19317.916934927958</v>
      </c>
      <c r="F116" s="159">
        <f t="shared" si="275"/>
        <v>3590.2671215701366</v>
      </c>
      <c r="G116" s="159">
        <f t="shared" si="275"/>
        <v>129.34281224963888</v>
      </c>
      <c r="H116" s="159">
        <f t="shared" si="275"/>
        <v>23037.526868747736</v>
      </c>
      <c r="I116" s="159">
        <f t="shared" si="275"/>
        <v>29</v>
      </c>
      <c r="J116" s="159">
        <f t="shared" si="275"/>
        <v>33</v>
      </c>
      <c r="K116" s="159">
        <f t="shared" si="275"/>
        <v>40</v>
      </c>
      <c r="L116" s="159">
        <f t="shared" si="275"/>
        <v>756.60773286619985</v>
      </c>
      <c r="M116" s="159">
        <f t="shared" si="275"/>
        <v>560219.59111291077</v>
      </c>
      <c r="N116" s="159">
        <f t="shared" si="275"/>
        <v>118478.8150118145</v>
      </c>
      <c r="O116" s="159">
        <f t="shared" si="275"/>
        <v>5173.7124899855553</v>
      </c>
      <c r="P116" s="159">
        <f t="shared" si="275"/>
        <v>683872.11861471087</v>
      </c>
      <c r="Q116" s="159">
        <f t="shared" si="275"/>
        <v>1886576.2490367955</v>
      </c>
      <c r="R116" s="159">
        <f t="shared" si="275"/>
        <v>-794.74455695853499</v>
      </c>
      <c r="S116" s="159">
        <f t="shared" si="275"/>
        <v>1885781.5044798367</v>
      </c>
      <c r="T116" s="159">
        <f t="shared" si="275"/>
        <v>108.04936699225374</v>
      </c>
      <c r="U116" s="159">
        <f t="shared" si="275"/>
        <v>79.474455695853507</v>
      </c>
      <c r="V116" s="159">
        <f t="shared" si="275"/>
        <v>28.574911296400217</v>
      </c>
      <c r="W116" s="159">
        <f t="shared" si="275"/>
        <v>21501.824031458491</v>
      </c>
      <c r="X116" s="159">
        <f t="shared" si="275"/>
        <v>0</v>
      </c>
      <c r="Y116" s="159">
        <f t="shared" si="275"/>
        <v>21530.398942754891</v>
      </c>
      <c r="Z116" s="159">
        <f t="shared" si="275"/>
        <v>23037.526868747736</v>
      </c>
      <c r="AA116" s="159">
        <f t="shared" ref="AA116" si="276">AA83</f>
        <v>0</v>
      </c>
      <c r="AB116" s="159">
        <f t="shared" ref="AB116:AM116" si="277">AB83</f>
        <v>932.40520389806522</v>
      </c>
      <c r="AC116" s="159">
        <f t="shared" si="277"/>
        <v>682939.71341081278</v>
      </c>
      <c r="AD116" s="159">
        <f t="shared" si="277"/>
        <v>0</v>
      </c>
      <c r="AE116" s="160">
        <f t="shared" si="277"/>
        <v>683872.11861471087</v>
      </c>
      <c r="AF116" s="161">
        <f t="shared" si="277"/>
        <v>2471.1029154268417</v>
      </c>
      <c r="AG116" s="159">
        <f t="shared" si="277"/>
        <v>1883310.40156441</v>
      </c>
      <c r="AH116" s="159">
        <f t="shared" si="277"/>
        <v>0</v>
      </c>
      <c r="AI116" s="160">
        <f t="shared" si="277"/>
        <v>1885781.5044798369</v>
      </c>
      <c r="AJ116" s="161">
        <f t="shared" si="277"/>
        <v>3403.5081193249071</v>
      </c>
      <c r="AK116" s="159">
        <f t="shared" si="277"/>
        <v>2566250.1149752229</v>
      </c>
      <c r="AL116" s="159">
        <f t="shared" si="277"/>
        <v>0</v>
      </c>
      <c r="AM116" s="160">
        <f t="shared" si="277"/>
        <v>2569653.6230945475</v>
      </c>
    </row>
    <row r="117" spans="1:39" s="66" customFormat="1" x14ac:dyDescent="0.25">
      <c r="A117" s="158" t="s">
        <v>47</v>
      </c>
      <c r="B117" s="68" t="s">
        <v>53</v>
      </c>
      <c r="D117" s="145"/>
      <c r="E117" s="159">
        <f t="shared" ref="E117:Z117" si="278">E110</f>
        <v>16337.135081071896</v>
      </c>
      <c r="F117" s="159">
        <f t="shared" si="278"/>
        <v>14.73802335092364</v>
      </c>
      <c r="G117" s="159">
        <f t="shared" si="278"/>
        <v>0</v>
      </c>
      <c r="H117" s="159">
        <f t="shared" si="278"/>
        <v>16351.873104422819</v>
      </c>
      <c r="I117" s="159">
        <f t="shared" si="278"/>
        <v>29</v>
      </c>
      <c r="J117" s="159">
        <f t="shared" si="278"/>
        <v>33</v>
      </c>
      <c r="K117" s="159">
        <f t="shared" si="278"/>
        <v>40</v>
      </c>
      <c r="L117" s="159">
        <f t="shared" si="278"/>
        <v>744.78216258629345</v>
      </c>
      <c r="M117" s="159">
        <f t="shared" si="278"/>
        <v>473776.91735108505</v>
      </c>
      <c r="N117" s="159">
        <f t="shared" si="278"/>
        <v>486.35477058048014</v>
      </c>
      <c r="O117" s="159">
        <f t="shared" si="278"/>
        <v>0</v>
      </c>
      <c r="P117" s="159">
        <f t="shared" si="278"/>
        <v>474263.27212166553</v>
      </c>
      <c r="Q117" s="159">
        <f t="shared" si="278"/>
        <v>1340082.7966384885</v>
      </c>
      <c r="R117" s="159">
        <f t="shared" si="278"/>
        <v>-679.14910572207486</v>
      </c>
      <c r="S117" s="159">
        <f t="shared" si="278"/>
        <v>1339403.6475327665</v>
      </c>
      <c r="T117" s="159">
        <f t="shared" si="278"/>
        <v>76.750196536145253</v>
      </c>
      <c r="U117" s="159">
        <f t="shared" si="278"/>
        <v>67.914910572207475</v>
      </c>
      <c r="V117" s="159">
        <f t="shared" si="278"/>
        <v>8.8352859639377783</v>
      </c>
      <c r="W117" s="159">
        <f t="shared" si="278"/>
        <v>15273.289110692904</v>
      </c>
      <c r="X117" s="159">
        <f t="shared" si="278"/>
        <v>0</v>
      </c>
      <c r="Y117" s="159">
        <f t="shared" si="278"/>
        <v>15282.124396656842</v>
      </c>
      <c r="Z117" s="159">
        <f t="shared" si="278"/>
        <v>16351.873104422819</v>
      </c>
      <c r="AA117" s="159">
        <f t="shared" ref="AA117" si="279">AA110</f>
        <v>0</v>
      </c>
      <c r="AB117" s="159">
        <f t="shared" ref="AB117:AM117" si="280">AB110</f>
        <v>274.45361252911277</v>
      </c>
      <c r="AC117" s="159">
        <f t="shared" si="280"/>
        <v>473988.81850913644</v>
      </c>
      <c r="AD117" s="159">
        <f t="shared" si="280"/>
        <v>0</v>
      </c>
      <c r="AE117" s="160">
        <f t="shared" si="280"/>
        <v>474263.27212166553</v>
      </c>
      <c r="AF117" s="161">
        <f t="shared" si="280"/>
        <v>734.85671777446146</v>
      </c>
      <c r="AG117" s="159">
        <f t="shared" si="280"/>
        <v>1338668.7908149923</v>
      </c>
      <c r="AH117" s="159">
        <f t="shared" si="280"/>
        <v>0</v>
      </c>
      <c r="AI117" s="160">
        <f t="shared" si="280"/>
        <v>1339403.6475327665</v>
      </c>
      <c r="AJ117" s="161">
        <f t="shared" si="280"/>
        <v>1009.3103303035743</v>
      </c>
      <c r="AK117" s="159">
        <f t="shared" si="280"/>
        <v>1812657.6093241281</v>
      </c>
      <c r="AL117" s="159">
        <f t="shared" si="280"/>
        <v>0</v>
      </c>
      <c r="AM117" s="160">
        <f t="shared" si="280"/>
        <v>1813666.9196544325</v>
      </c>
    </row>
    <row r="118" spans="1:39" x14ac:dyDescent="0.25">
      <c r="A118" s="162"/>
      <c r="B118" s="163"/>
      <c r="AB118" s="161"/>
      <c r="AC118" s="159"/>
      <c r="AD118" s="159"/>
      <c r="AE118" s="160"/>
      <c r="AF118" s="161"/>
      <c r="AG118" s="159"/>
      <c r="AH118" s="159"/>
      <c r="AI118" s="160"/>
      <c r="AJ118" s="161"/>
      <c r="AK118" s="159"/>
      <c r="AL118" s="159"/>
      <c r="AM118" s="160"/>
    </row>
    <row r="119" spans="1:39" s="66" customFormat="1" x14ac:dyDescent="0.25">
      <c r="A119" s="158" t="s">
        <v>48</v>
      </c>
      <c r="B119" s="68" t="s">
        <v>53</v>
      </c>
      <c r="D119" s="145"/>
      <c r="E119" s="164">
        <f t="shared" ref="E119:Y122" si="281">E114*91.25</f>
        <v>1684945.8772374699</v>
      </c>
      <c r="F119" s="164">
        <f t="shared" si="281"/>
        <v>44802.942638074608</v>
      </c>
      <c r="G119" s="164">
        <f t="shared" si="281"/>
        <v>0</v>
      </c>
      <c r="H119" s="164">
        <f t="shared" si="281"/>
        <v>1729748.8198755446</v>
      </c>
      <c r="I119" s="164">
        <f t="shared" si="281"/>
        <v>2646.25</v>
      </c>
      <c r="J119" s="164">
        <f t="shared" si="281"/>
        <v>3011.25</v>
      </c>
      <c r="K119" s="164">
        <f t="shared" si="281"/>
        <v>3650</v>
      </c>
      <c r="L119" s="164">
        <f t="shared" si="281"/>
        <v>68127.222595558254</v>
      </c>
      <c r="M119" s="164">
        <f t="shared" si="281"/>
        <v>48863430.439886622</v>
      </c>
      <c r="N119" s="164">
        <f t="shared" si="281"/>
        <v>1478497.107056462</v>
      </c>
      <c r="O119" s="164">
        <f t="shared" si="281"/>
        <v>0</v>
      </c>
      <c r="P119" s="164">
        <f t="shared" si="281"/>
        <v>50341927.546943091</v>
      </c>
      <c r="Q119" s="164">
        <f t="shared" si="281"/>
        <v>141518911.01857278</v>
      </c>
      <c r="R119" s="164">
        <f t="shared" si="281"/>
        <v>-44471.168428115649</v>
      </c>
      <c r="S119" s="164">
        <f t="shared" si="281"/>
        <v>141474439.85014468</v>
      </c>
      <c r="T119" s="164">
        <f t="shared" si="281"/>
        <v>8105.1739948474433</v>
      </c>
      <c r="U119" s="164">
        <f t="shared" si="281"/>
        <v>4447.1168428115652</v>
      </c>
      <c r="V119" s="164">
        <f t="shared" si="281"/>
        <v>3658.0571520358794</v>
      </c>
      <c r="W119" s="164">
        <f t="shared" si="281"/>
        <v>1612929.6249746413</v>
      </c>
      <c r="X119" s="164">
        <f t="shared" si="281"/>
        <v>0</v>
      </c>
      <c r="Y119" s="164">
        <f t="shared" si="281"/>
        <v>1616587.6821266776</v>
      </c>
      <c r="Z119" s="164">
        <f>Z114*91.25</f>
        <v>1729748.8198755446</v>
      </c>
      <c r="AB119" s="165">
        <f>AB114*91.25</f>
        <v>114401.86156974956</v>
      </c>
      <c r="AC119" s="166">
        <f t="shared" ref="AC119:AM119" si="282">AC114*91.25</f>
        <v>50227525.685373344</v>
      </c>
      <c r="AD119" s="166">
        <f t="shared" si="282"/>
        <v>0</v>
      </c>
      <c r="AE119" s="166">
        <f t="shared" si="282"/>
        <v>50341927.546943091</v>
      </c>
      <c r="AF119" s="166">
        <f t="shared" si="282"/>
        <v>318269.84263119253</v>
      </c>
      <c r="AG119" s="166">
        <f t="shared" si="282"/>
        <v>141156170.00751343</v>
      </c>
      <c r="AH119" s="166">
        <f t="shared" si="282"/>
        <v>0</v>
      </c>
      <c r="AI119" s="166">
        <f>AI114*91.25</f>
        <v>141474439.85014465</v>
      </c>
      <c r="AJ119" s="166">
        <f t="shared" si="282"/>
        <v>432671.70420094219</v>
      </c>
      <c r="AK119" s="166">
        <f t="shared" si="282"/>
        <v>191383695.69288677</v>
      </c>
      <c r="AL119" s="166">
        <f t="shared" si="282"/>
        <v>0</v>
      </c>
      <c r="AM119" s="166">
        <f t="shared" si="282"/>
        <v>191816367.39708775</v>
      </c>
    </row>
    <row r="120" spans="1:39" s="66" customFormat="1" x14ac:dyDescent="0.25">
      <c r="A120" s="158" t="s">
        <v>49</v>
      </c>
      <c r="B120" s="68" t="s">
        <v>53</v>
      </c>
      <c r="D120" s="145"/>
      <c r="E120" s="164">
        <f t="shared" si="281"/>
        <v>1390333.7878752074</v>
      </c>
      <c r="F120" s="164">
        <f t="shared" si="281"/>
        <v>0</v>
      </c>
      <c r="G120" s="164">
        <f t="shared" si="281"/>
        <v>0</v>
      </c>
      <c r="H120" s="164">
        <f t="shared" si="281"/>
        <v>1390333.7878752074</v>
      </c>
      <c r="I120" s="164">
        <f t="shared" si="281"/>
        <v>2646.25</v>
      </c>
      <c r="J120" s="164">
        <f t="shared" si="281"/>
        <v>3011.25</v>
      </c>
      <c r="K120" s="164">
        <f t="shared" si="281"/>
        <v>3650</v>
      </c>
      <c r="L120" s="164">
        <f t="shared" si="281"/>
        <v>67955.699999999968</v>
      </c>
      <c r="M120" s="164">
        <f t="shared" si="281"/>
        <v>40319679.848381005</v>
      </c>
      <c r="N120" s="164">
        <f t="shared" si="281"/>
        <v>0</v>
      </c>
      <c r="O120" s="164">
        <f t="shared" si="281"/>
        <v>0</v>
      </c>
      <c r="P120" s="164">
        <f t="shared" si="281"/>
        <v>40319679.848381005</v>
      </c>
      <c r="Q120" s="164">
        <f t="shared" si="281"/>
        <v>114048451.05355757</v>
      </c>
      <c r="R120" s="164">
        <f t="shared" si="281"/>
        <v>-69957.94791242083</v>
      </c>
      <c r="S120" s="164">
        <f t="shared" si="281"/>
        <v>113978493.10564516</v>
      </c>
      <c r="T120" s="164">
        <f t="shared" si="281"/>
        <v>6531.8658331861507</v>
      </c>
      <c r="U120" s="164">
        <f t="shared" si="281"/>
        <v>6995.794791242085</v>
      </c>
      <c r="V120" s="164">
        <f t="shared" si="281"/>
        <v>-463.92895805593355</v>
      </c>
      <c r="W120" s="164">
        <f t="shared" si="281"/>
        <v>1299841.3008040439</v>
      </c>
      <c r="X120" s="164">
        <f t="shared" si="281"/>
        <v>0</v>
      </c>
      <c r="Y120" s="164">
        <f t="shared" si="281"/>
        <v>1299377.3718459879</v>
      </c>
      <c r="Z120" s="164">
        <f t="shared" ref="Z120" si="283">Z115*91.25</f>
        <v>1390333.7878752074</v>
      </c>
      <c r="AB120" s="165">
        <f t="shared" ref="AB120:AM120" si="284">AB115*91.25</f>
        <v>-14395.715568475624</v>
      </c>
      <c r="AC120" s="166">
        <f t="shared" si="284"/>
        <v>40334075.563949481</v>
      </c>
      <c r="AD120" s="166">
        <f t="shared" si="284"/>
        <v>0</v>
      </c>
      <c r="AE120" s="166">
        <f t="shared" si="284"/>
        <v>40319679.84838102</v>
      </c>
      <c r="AF120" s="166">
        <f t="shared" si="284"/>
        <v>-44928.74099617821</v>
      </c>
      <c r="AG120" s="166">
        <f t="shared" si="284"/>
        <v>114023421.84664135</v>
      </c>
      <c r="AH120" s="166">
        <f t="shared" si="284"/>
        <v>0</v>
      </c>
      <c r="AI120" s="166">
        <f t="shared" si="284"/>
        <v>113978493.10564516</v>
      </c>
      <c r="AJ120" s="166">
        <f t="shared" si="284"/>
        <v>-59324.456564653818</v>
      </c>
      <c r="AK120" s="166">
        <f t="shared" si="284"/>
        <v>154357497.4105908</v>
      </c>
      <c r="AL120" s="166">
        <f t="shared" si="284"/>
        <v>0</v>
      </c>
      <c r="AM120" s="166">
        <f t="shared" si="284"/>
        <v>154298172.95402616</v>
      </c>
    </row>
    <row r="121" spans="1:39" s="66" customFormat="1" x14ac:dyDescent="0.25">
      <c r="A121" s="158" t="s">
        <v>50</v>
      </c>
      <c r="B121" s="68" t="s">
        <v>53</v>
      </c>
      <c r="D121" s="145"/>
      <c r="E121" s="164">
        <f t="shared" si="281"/>
        <v>1762759.9203121762</v>
      </c>
      <c r="F121" s="164">
        <f t="shared" si="281"/>
        <v>327611.87484327494</v>
      </c>
      <c r="G121" s="164">
        <f t="shared" si="281"/>
        <v>11802.531617779548</v>
      </c>
      <c r="H121" s="164">
        <f t="shared" si="281"/>
        <v>2102174.3267732309</v>
      </c>
      <c r="I121" s="164">
        <f t="shared" si="281"/>
        <v>2646.25</v>
      </c>
      <c r="J121" s="164">
        <f t="shared" si="281"/>
        <v>3011.25</v>
      </c>
      <c r="K121" s="164">
        <f t="shared" si="281"/>
        <v>3650</v>
      </c>
      <c r="L121" s="164">
        <f t="shared" si="281"/>
        <v>69040.45562404074</v>
      </c>
      <c r="M121" s="164">
        <f t="shared" si="281"/>
        <v>51120037.689053111</v>
      </c>
      <c r="N121" s="164">
        <f t="shared" si="281"/>
        <v>10811191.869828073</v>
      </c>
      <c r="O121" s="164">
        <f t="shared" si="281"/>
        <v>472101.26471118192</v>
      </c>
      <c r="P121" s="164">
        <f t="shared" si="281"/>
        <v>62403330.823592365</v>
      </c>
      <c r="Q121" s="164">
        <f t="shared" si="281"/>
        <v>172150082.72460759</v>
      </c>
      <c r="R121" s="164">
        <f t="shared" si="281"/>
        <v>-72520.44082246632</v>
      </c>
      <c r="S121" s="164">
        <f t="shared" si="281"/>
        <v>172077562.2837851</v>
      </c>
      <c r="T121" s="164">
        <f t="shared" si="281"/>
        <v>9859.5047380431533</v>
      </c>
      <c r="U121" s="164">
        <f t="shared" si="281"/>
        <v>7252.0440822466326</v>
      </c>
      <c r="V121" s="164">
        <f t="shared" si="281"/>
        <v>2607.4606557965199</v>
      </c>
      <c r="W121" s="164">
        <f t="shared" si="281"/>
        <v>1962041.4428705873</v>
      </c>
      <c r="X121" s="164">
        <f t="shared" si="281"/>
        <v>0</v>
      </c>
      <c r="Y121" s="164">
        <f t="shared" si="281"/>
        <v>1964648.9035263839</v>
      </c>
      <c r="Z121" s="164">
        <f t="shared" ref="Z121" si="285">Z116*91.25</f>
        <v>2102174.3267732309</v>
      </c>
      <c r="AB121" s="165">
        <f t="shared" ref="AB121:AM121" si="286">AB116*91.25</f>
        <v>85081.974855698456</v>
      </c>
      <c r="AC121" s="166">
        <f t="shared" si="286"/>
        <v>62318248.848736666</v>
      </c>
      <c r="AD121" s="166">
        <f t="shared" si="286"/>
        <v>0</v>
      </c>
      <c r="AE121" s="166">
        <f t="shared" si="286"/>
        <v>62403330.823592365</v>
      </c>
      <c r="AF121" s="166">
        <f t="shared" si="286"/>
        <v>225488.14103269932</v>
      </c>
      <c r="AG121" s="166">
        <f t="shared" si="286"/>
        <v>171852074.14275241</v>
      </c>
      <c r="AH121" s="166">
        <f t="shared" si="286"/>
        <v>0</v>
      </c>
      <c r="AI121" s="166">
        <f t="shared" si="286"/>
        <v>172077562.2837851</v>
      </c>
      <c r="AJ121" s="166">
        <f t="shared" si="286"/>
        <v>310570.11588839779</v>
      </c>
      <c r="AK121" s="166">
        <f t="shared" si="286"/>
        <v>234170322.99148908</v>
      </c>
      <c r="AL121" s="166">
        <f t="shared" si="286"/>
        <v>0</v>
      </c>
      <c r="AM121" s="166">
        <f t="shared" si="286"/>
        <v>234480893.10737747</v>
      </c>
    </row>
    <row r="122" spans="1:39" s="66" customFormat="1" x14ac:dyDescent="0.25">
      <c r="A122" s="158" t="s">
        <v>51</v>
      </c>
      <c r="B122" s="68" t="s">
        <v>53</v>
      </c>
      <c r="D122" s="145"/>
      <c r="E122" s="164">
        <f t="shared" si="281"/>
        <v>1490763.5761478106</v>
      </c>
      <c r="F122" s="164">
        <f t="shared" si="281"/>
        <v>1344.8446307717822</v>
      </c>
      <c r="G122" s="164">
        <f t="shared" si="281"/>
        <v>0</v>
      </c>
      <c r="H122" s="164">
        <f t="shared" si="281"/>
        <v>1492108.4207785823</v>
      </c>
      <c r="I122" s="164">
        <f t="shared" si="281"/>
        <v>2646.25</v>
      </c>
      <c r="J122" s="164">
        <f t="shared" si="281"/>
        <v>3011.25</v>
      </c>
      <c r="K122" s="164">
        <f t="shared" si="281"/>
        <v>3650</v>
      </c>
      <c r="L122" s="164">
        <f t="shared" si="281"/>
        <v>67961.372335999273</v>
      </c>
      <c r="M122" s="164">
        <f t="shared" si="281"/>
        <v>43232143.708286509</v>
      </c>
      <c r="N122" s="164">
        <f t="shared" si="281"/>
        <v>44379.872815468814</v>
      </c>
      <c r="O122" s="164">
        <f t="shared" si="281"/>
        <v>0</v>
      </c>
      <c r="P122" s="164">
        <f t="shared" si="281"/>
        <v>43276523.581101976</v>
      </c>
      <c r="Q122" s="164">
        <f t="shared" si="281"/>
        <v>122282555.19326209</v>
      </c>
      <c r="R122" s="164">
        <f t="shared" si="281"/>
        <v>-61972.355897139329</v>
      </c>
      <c r="S122" s="164">
        <f t="shared" si="281"/>
        <v>122220582.83736494</v>
      </c>
      <c r="T122" s="164">
        <f t="shared" si="281"/>
        <v>7003.4554339232545</v>
      </c>
      <c r="U122" s="164">
        <f t="shared" si="281"/>
        <v>6197.2355897139323</v>
      </c>
      <c r="V122" s="164">
        <f t="shared" si="281"/>
        <v>806.21984420932222</v>
      </c>
      <c r="W122" s="164">
        <f t="shared" si="281"/>
        <v>1393687.6313507275</v>
      </c>
      <c r="X122" s="164">
        <f t="shared" si="281"/>
        <v>0</v>
      </c>
      <c r="Y122" s="164">
        <f t="shared" si="281"/>
        <v>1394493.8511949368</v>
      </c>
      <c r="Z122" s="164">
        <f t="shared" ref="Z122" si="287">Z117*91.25</f>
        <v>1492108.4207785823</v>
      </c>
      <c r="AB122" s="167">
        <f t="shared" ref="AB122:AM122" si="288">AB117*91.25</f>
        <v>25043.89214328154</v>
      </c>
      <c r="AC122" s="168">
        <f t="shared" si="288"/>
        <v>43251479.688958697</v>
      </c>
      <c r="AD122" s="168">
        <f t="shared" si="288"/>
        <v>0</v>
      </c>
      <c r="AE122" s="168">
        <f t="shared" si="288"/>
        <v>43276523.581101976</v>
      </c>
      <c r="AF122" s="168">
        <f t="shared" si="288"/>
        <v>67055.675496919604</v>
      </c>
      <c r="AG122" s="168">
        <f t="shared" si="288"/>
        <v>122153527.16186805</v>
      </c>
      <c r="AH122" s="168">
        <f t="shared" si="288"/>
        <v>0</v>
      </c>
      <c r="AI122" s="168">
        <f t="shared" si="288"/>
        <v>122220582.83736494</v>
      </c>
      <c r="AJ122" s="168">
        <f t="shared" si="288"/>
        <v>92099.56764020116</v>
      </c>
      <c r="AK122" s="168">
        <f t="shared" si="288"/>
        <v>165405006.85082668</v>
      </c>
      <c r="AL122" s="168">
        <f t="shared" si="288"/>
        <v>0</v>
      </c>
      <c r="AM122" s="168">
        <f t="shared" si="288"/>
        <v>165497106.41846696</v>
      </c>
    </row>
    <row r="123" spans="1:39" x14ac:dyDescent="0.25"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</row>
    <row r="124" spans="1:39" x14ac:dyDescent="0.25">
      <c r="A124" s="3" t="s">
        <v>52</v>
      </c>
      <c r="E124" s="169">
        <f t="shared" ref="E124:AA124" si="289">SUM(E119:E122)</f>
        <v>6328803.161572664</v>
      </c>
      <c r="F124" s="169">
        <f t="shared" si="289"/>
        <v>373759.66211212135</v>
      </c>
      <c r="G124" s="169">
        <f t="shared" si="289"/>
        <v>11802.531617779548</v>
      </c>
      <c r="H124" s="169">
        <f t="shared" si="289"/>
        <v>6714365.3553025648</v>
      </c>
      <c r="I124" s="169">
        <f t="shared" si="289"/>
        <v>10585</v>
      </c>
      <c r="J124" s="169">
        <f t="shared" si="289"/>
        <v>12045</v>
      </c>
      <c r="K124" s="169">
        <f t="shared" si="289"/>
        <v>14600</v>
      </c>
      <c r="L124" s="169">
        <f t="shared" si="289"/>
        <v>273084.75055559824</v>
      </c>
      <c r="M124" s="169">
        <f t="shared" si="289"/>
        <v>183535291.68560725</v>
      </c>
      <c r="N124" s="169">
        <f t="shared" si="289"/>
        <v>12334068.849700004</v>
      </c>
      <c r="O124" s="169">
        <f t="shared" si="289"/>
        <v>472101.26471118192</v>
      </c>
      <c r="P124" s="169">
        <f t="shared" si="289"/>
        <v>196341461.80001846</v>
      </c>
      <c r="Q124" s="169">
        <f t="shared" si="289"/>
        <v>549999999.99000001</v>
      </c>
      <c r="R124" s="169">
        <f t="shared" si="289"/>
        <v>-248921.91306014211</v>
      </c>
      <c r="S124" s="169">
        <f t="shared" si="289"/>
        <v>549751078.07693994</v>
      </c>
      <c r="T124" s="169">
        <f t="shared" si="289"/>
        <v>31500</v>
      </c>
      <c r="U124" s="169">
        <f t="shared" si="289"/>
        <v>24892.191306014214</v>
      </c>
      <c r="V124" s="169">
        <f t="shared" si="289"/>
        <v>6607.8086939857885</v>
      </c>
      <c r="W124" s="169">
        <f t="shared" si="289"/>
        <v>6268500</v>
      </c>
      <c r="X124" s="169">
        <f t="shared" si="289"/>
        <v>0</v>
      </c>
      <c r="Y124" s="169">
        <f t="shared" si="289"/>
        <v>6275107.8086939864</v>
      </c>
      <c r="Z124" s="169">
        <f t="shared" si="289"/>
        <v>6714365.3553025648</v>
      </c>
      <c r="AA124" s="169">
        <f t="shared" si="289"/>
        <v>0</v>
      </c>
      <c r="AB124" s="169">
        <f>SUM(AB119:AB122)</f>
        <v>210132.01300025394</v>
      </c>
      <c r="AC124" s="169">
        <f t="shared" ref="AC124:AM124" si="290">SUM(AC119:AC122)</f>
        <v>196131329.78701821</v>
      </c>
      <c r="AD124" s="169">
        <f t="shared" si="290"/>
        <v>0</v>
      </c>
      <c r="AE124" s="169">
        <f t="shared" si="290"/>
        <v>196341461.80001846</v>
      </c>
      <c r="AF124" s="169">
        <f>SUM(AF119:AF122)</f>
        <v>565884.91816463321</v>
      </c>
      <c r="AG124" s="169">
        <f t="shared" si="290"/>
        <v>549185193.15877521</v>
      </c>
      <c r="AH124" s="169">
        <f t="shared" si="290"/>
        <v>0</v>
      </c>
      <c r="AI124" s="169">
        <f>SUM(AI119:AI122)</f>
        <v>549751078.07693982</v>
      </c>
      <c r="AJ124" s="169">
        <f t="shared" si="290"/>
        <v>776016.93116488727</v>
      </c>
      <c r="AK124" s="169">
        <f t="shared" si="290"/>
        <v>745316522.94579339</v>
      </c>
      <c r="AL124" s="169">
        <f t="shared" si="290"/>
        <v>0</v>
      </c>
      <c r="AM124" s="169">
        <f t="shared" si="290"/>
        <v>746092539.87695825</v>
      </c>
    </row>
  </sheetData>
  <mergeCells count="12">
    <mergeCell ref="AB1:AE1"/>
    <mergeCell ref="AF1:AI1"/>
    <mergeCell ref="AJ1:AM1"/>
    <mergeCell ref="AB112:AE112"/>
    <mergeCell ref="AF112:AI112"/>
    <mergeCell ref="AJ112:AM112"/>
    <mergeCell ref="V1:Z1"/>
    <mergeCell ref="B1:D1"/>
    <mergeCell ref="E1:G1"/>
    <mergeCell ref="I1:K1"/>
    <mergeCell ref="M1:O1"/>
    <mergeCell ref="T1:U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M131"/>
  <sheetViews>
    <sheetView workbookViewId="0">
      <pane ySplit="3255" activePane="bottomLeft"/>
      <selection sqref="A1:XFD2"/>
      <selection pane="bottomLeft" activeCell="G68" sqref="G68"/>
    </sheetView>
  </sheetViews>
  <sheetFormatPr defaultColWidth="10.42578125" defaultRowHeight="15" x14ac:dyDescent="0.25"/>
  <cols>
    <col min="1" max="15" width="10.42578125" style="3"/>
    <col min="16" max="16" width="14.7109375" style="3" customWidth="1"/>
    <col min="17" max="17" width="12.42578125" style="3" customWidth="1"/>
    <col min="18" max="27" width="10.42578125" style="3"/>
    <col min="28" max="39" width="13.28515625" style="3" customWidth="1"/>
    <col min="40" max="16384" width="10.42578125" style="3"/>
  </cols>
  <sheetData>
    <row r="1" spans="1:39" s="146" customFormat="1" ht="87.75" customHeight="1" x14ac:dyDescent="0.25">
      <c r="B1" s="196" t="s">
        <v>13</v>
      </c>
      <c r="C1" s="196"/>
      <c r="D1" s="196"/>
      <c r="E1" s="196" t="s">
        <v>8</v>
      </c>
      <c r="F1" s="196"/>
      <c r="G1" s="196"/>
      <c r="H1" s="186"/>
      <c r="I1" s="197" t="s">
        <v>7</v>
      </c>
      <c r="J1" s="197"/>
      <c r="K1" s="197"/>
      <c r="L1" s="187"/>
      <c r="M1" s="197" t="s">
        <v>9</v>
      </c>
      <c r="N1" s="197"/>
      <c r="O1" s="197"/>
      <c r="P1" s="187"/>
      <c r="Q1" s="187"/>
      <c r="R1" s="187"/>
      <c r="S1" s="188" t="s">
        <v>14</v>
      </c>
      <c r="T1" s="198" t="s">
        <v>15</v>
      </c>
      <c r="U1" s="198"/>
      <c r="V1" s="196" t="s">
        <v>16</v>
      </c>
      <c r="W1" s="196"/>
      <c r="X1" s="196"/>
      <c r="Y1" s="196"/>
      <c r="Z1" s="196"/>
      <c r="AA1" s="186"/>
      <c r="AB1" s="197" t="s">
        <v>17</v>
      </c>
      <c r="AC1" s="197"/>
      <c r="AD1" s="197"/>
      <c r="AE1" s="197"/>
      <c r="AF1" s="197" t="s">
        <v>18</v>
      </c>
      <c r="AG1" s="197"/>
      <c r="AH1" s="197"/>
      <c r="AI1" s="197"/>
      <c r="AJ1" s="197" t="s">
        <v>19</v>
      </c>
      <c r="AK1" s="197"/>
      <c r="AL1" s="197"/>
      <c r="AM1" s="197"/>
    </row>
    <row r="2" spans="1:39" s="146" customFormat="1" ht="45" x14ac:dyDescent="0.25">
      <c r="A2" s="146" t="s">
        <v>20</v>
      </c>
      <c r="B2" s="187" t="s">
        <v>4</v>
      </c>
      <c r="C2" s="187" t="s">
        <v>5</v>
      </c>
      <c r="D2" s="187" t="s">
        <v>21</v>
      </c>
      <c r="E2" s="187" t="s">
        <v>4</v>
      </c>
      <c r="F2" s="187" t="s">
        <v>5</v>
      </c>
      <c r="G2" s="187" t="s">
        <v>21</v>
      </c>
      <c r="H2" s="187" t="s">
        <v>6</v>
      </c>
      <c r="I2" s="187" t="s">
        <v>4</v>
      </c>
      <c r="J2" s="187" t="s">
        <v>5</v>
      </c>
      <c r="K2" s="187" t="s">
        <v>21</v>
      </c>
      <c r="L2" s="187" t="s">
        <v>22</v>
      </c>
      <c r="M2" s="187" t="s">
        <v>4</v>
      </c>
      <c r="N2" s="187" t="s">
        <v>5</v>
      </c>
      <c r="O2" s="187" t="s">
        <v>21</v>
      </c>
      <c r="P2" s="187" t="s">
        <v>6</v>
      </c>
      <c r="Q2" s="187" t="s">
        <v>23</v>
      </c>
      <c r="R2" s="186" t="s">
        <v>43</v>
      </c>
      <c r="S2" s="187" t="s">
        <v>23</v>
      </c>
      <c r="T2" s="188" t="s">
        <v>24</v>
      </c>
      <c r="U2" s="188" t="s">
        <v>25</v>
      </c>
      <c r="V2" s="146" t="s">
        <v>26</v>
      </c>
      <c r="W2" s="189" t="s">
        <v>2</v>
      </c>
      <c r="X2" s="189" t="s">
        <v>3</v>
      </c>
      <c r="Y2" s="146" t="s">
        <v>6</v>
      </c>
      <c r="Z2" s="189" t="s">
        <v>27</v>
      </c>
      <c r="AA2" s="189" t="s">
        <v>28</v>
      </c>
      <c r="AB2" s="146" t="s">
        <v>26</v>
      </c>
      <c r="AC2" s="146" t="s">
        <v>2</v>
      </c>
      <c r="AD2" s="146" t="s">
        <v>3</v>
      </c>
      <c r="AE2" s="146" t="s">
        <v>6</v>
      </c>
      <c r="AF2" s="146" t="s">
        <v>26</v>
      </c>
      <c r="AG2" s="146" t="s">
        <v>2</v>
      </c>
      <c r="AH2" s="146" t="s">
        <v>3</v>
      </c>
      <c r="AI2" s="146" t="s">
        <v>6</v>
      </c>
      <c r="AJ2" s="146" t="s">
        <v>26</v>
      </c>
      <c r="AK2" s="146" t="s">
        <v>2</v>
      </c>
      <c r="AL2" s="146" t="s">
        <v>3</v>
      </c>
      <c r="AM2" s="146" t="s">
        <v>6</v>
      </c>
    </row>
    <row r="3" spans="1:39" s="66" customFormat="1" x14ac:dyDescent="0.25">
      <c r="B3" s="145"/>
      <c r="C3" s="145"/>
      <c r="D3" s="145"/>
      <c r="E3" s="145"/>
      <c r="F3" s="145"/>
      <c r="G3" s="145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2"/>
      <c r="S3" s="143"/>
      <c r="T3" s="144"/>
      <c r="U3" s="144"/>
      <c r="V3" s="146"/>
      <c r="W3" s="147"/>
      <c r="X3" s="147"/>
      <c r="Z3" s="147"/>
      <c r="AA3" s="147"/>
    </row>
    <row r="4" spans="1:39" s="66" customFormat="1" x14ac:dyDescent="0.25">
      <c r="A4" s="66" t="s">
        <v>30</v>
      </c>
      <c r="B4" s="148"/>
      <c r="C4" s="148"/>
      <c r="D4" s="148"/>
      <c r="E4" s="148"/>
      <c r="F4" s="148"/>
      <c r="G4" s="148"/>
      <c r="H4" s="148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4"/>
      <c r="U4" s="144"/>
      <c r="V4" s="146"/>
      <c r="Z4" s="147"/>
      <c r="AA4" s="147"/>
    </row>
    <row r="5" spans="1:39" s="66" customFormat="1" x14ac:dyDescent="0.25">
      <c r="A5" s="66">
        <v>1</v>
      </c>
      <c r="B5" s="7">
        <v>1000</v>
      </c>
      <c r="C5" s="148">
        <v>500</v>
      </c>
      <c r="D5" s="148">
        <v>100</v>
      </c>
      <c r="E5" s="148">
        <f>IF(B5&lt;Z5,B5,Z5)</f>
        <v>631.0727252145241</v>
      </c>
      <c r="F5" s="148">
        <f t="shared" ref="F5:F14" si="0">IF(C5&lt;Z5-E5,C5,Z5-E5)</f>
        <v>0</v>
      </c>
      <c r="G5" s="148">
        <f>IF(SUM(E5,F5)&lt;Z5,IF(SUM(E5,F5,D5)&lt;Z5,D5,Z5-E5-F5),0)</f>
        <v>0</v>
      </c>
      <c r="H5" s="148">
        <f>SUM(E5:G5)</f>
        <v>631.0727252145241</v>
      </c>
      <c r="I5" s="148">
        <f>'Seasonal (WITH)'!I5</f>
        <v>29</v>
      </c>
      <c r="J5" s="148">
        <f>'Seasonal (WITH)'!J5</f>
        <v>33</v>
      </c>
      <c r="K5" s="148">
        <f>'Seasonal (WITH)'!K5</f>
        <v>40</v>
      </c>
      <c r="L5" s="148">
        <f t="shared" ref="L5:L27" si="1">P5/Y5</f>
        <v>31.030000000000005</v>
      </c>
      <c r="M5" s="148">
        <f>E5*I5</f>
        <v>18301.1090312212</v>
      </c>
      <c r="N5" s="148">
        <f t="shared" ref="N5:O20" si="2">F5*J5</f>
        <v>0</v>
      </c>
      <c r="O5" s="148">
        <f t="shared" si="2"/>
        <v>0</v>
      </c>
      <c r="P5" s="148">
        <f>SUM(M5:O5)</f>
        <v>18301.1090312212</v>
      </c>
      <c r="Q5" s="7">
        <f>Y5*'LOAD DATA and INPUT SEASONAL'!$E$12*1000</f>
        <v>51489.393096228676</v>
      </c>
      <c r="R5" s="7"/>
      <c r="S5" s="7">
        <f>Q5+R5</f>
        <v>51489.393096228676</v>
      </c>
      <c r="T5" s="154">
        <f>'Seasonal (WITH)'!T5</f>
        <v>2.9489379682921686</v>
      </c>
      <c r="U5" s="148"/>
      <c r="V5" s="170">
        <f>T5-U5</f>
        <v>2.9489379682921686</v>
      </c>
      <c r="W5" s="159">
        <f>'Seasonal (WITH)'!W5</f>
        <v>586.83865569014154</v>
      </c>
      <c r="X5" s="148">
        <f>'Seasonal (WITH)'!X5</f>
        <v>0</v>
      </c>
      <c r="Y5" s="148">
        <f>SUM(V5:X5)</f>
        <v>589.78759365843371</v>
      </c>
      <c r="Z5" s="148">
        <f>Y5*1.07</f>
        <v>631.0727252145241</v>
      </c>
      <c r="AA5" s="148" t="b">
        <f>Z5=H5</f>
        <v>1</v>
      </c>
      <c r="AB5" s="148">
        <f>V5*L5</f>
        <v>91.50554515610601</v>
      </c>
      <c r="AC5" s="148">
        <f>W5*$L5</f>
        <v>18209.603486065094</v>
      </c>
      <c r="AD5" s="148">
        <f>X5*$L5</f>
        <v>0</v>
      </c>
      <c r="AE5" s="148">
        <f>SUM(AB5:AD5)</f>
        <v>18301.1090312212</v>
      </c>
      <c r="AF5" s="148">
        <f>$S5/$Y5*V5</f>
        <v>257.44696548114337</v>
      </c>
      <c r="AG5" s="148">
        <f>$S5/$Y5*W5</f>
        <v>51231.946130747529</v>
      </c>
      <c r="AH5" s="148">
        <f>$S5/$Y5*X5</f>
        <v>0</v>
      </c>
      <c r="AI5" s="148">
        <f>SUM(AF5:AH5)</f>
        <v>51489.393096228669</v>
      </c>
      <c r="AJ5" s="148">
        <f>AB5+AF5</f>
        <v>348.95251063724936</v>
      </c>
      <c r="AK5" s="148">
        <f>AC5+AG5</f>
        <v>69441.549616812626</v>
      </c>
      <c r="AL5" s="148">
        <f>AD5+AH5</f>
        <v>0</v>
      </c>
      <c r="AM5" s="148">
        <f>SUM(AJ5:AL5)</f>
        <v>69790.502127449872</v>
      </c>
    </row>
    <row r="6" spans="1:39" s="66" customFormat="1" x14ac:dyDescent="0.25">
      <c r="A6" s="66">
        <v>2</v>
      </c>
      <c r="B6" s="7">
        <v>1000</v>
      </c>
      <c r="C6" s="148">
        <v>500</v>
      </c>
      <c r="D6" s="148">
        <v>100</v>
      </c>
      <c r="E6" s="148">
        <f t="shared" ref="E6:E28" si="3">IF(B6&lt;Z6,B6,Z6)</f>
        <v>575.32435975481076</v>
      </c>
      <c r="F6" s="148">
        <f t="shared" si="0"/>
        <v>0</v>
      </c>
      <c r="G6" s="148">
        <f t="shared" ref="G6:G24" si="4">IF(SUM(E6,F6)&lt;Z6,IF(SUM(E6,F6,D6)&lt;Z6,D6,Z6-E6-F6),0)</f>
        <v>0</v>
      </c>
      <c r="H6" s="148">
        <f t="shared" ref="H6:H24" si="5">SUM(E6:G6)</f>
        <v>575.32435975481076</v>
      </c>
      <c r="I6" s="148">
        <f>'Seasonal (WITH)'!I6</f>
        <v>29</v>
      </c>
      <c r="J6" s="148">
        <f>'Seasonal (WITH)'!J6</f>
        <v>33</v>
      </c>
      <c r="K6" s="148">
        <f>'Seasonal (WITH)'!K6</f>
        <v>40</v>
      </c>
      <c r="L6" s="148">
        <f t="shared" si="1"/>
        <v>31.029999999999998</v>
      </c>
      <c r="M6" s="148">
        <f t="shared" ref="M6:O24" si="6">E6*I6</f>
        <v>16684.406432889511</v>
      </c>
      <c r="N6" s="148">
        <f t="shared" si="2"/>
        <v>0</v>
      </c>
      <c r="O6" s="148">
        <f t="shared" si="2"/>
        <v>0</v>
      </c>
      <c r="P6" s="148">
        <f t="shared" ref="P6:P24" si="7">SUM(M6:O6)</f>
        <v>16684.406432889511</v>
      </c>
      <c r="Q6" s="7">
        <f>Y6*'LOAD DATA and INPUT SEASONAL'!$E$12*1000</f>
        <v>46940.86898967404</v>
      </c>
      <c r="R6" s="7"/>
      <c r="S6" s="7">
        <f t="shared" ref="S6:S28" si="8">Q6+R6</f>
        <v>46940.86898967404</v>
      </c>
      <c r="T6" s="154">
        <f>'Seasonal (WITH)'!T6</f>
        <v>2.6884315876393026</v>
      </c>
      <c r="U6" s="148"/>
      <c r="V6" s="170">
        <f t="shared" ref="V6:V28" si="9">T6-U6</f>
        <v>2.6884315876393026</v>
      </c>
      <c r="W6" s="159">
        <f>'Seasonal (WITH)'!W6</f>
        <v>534.99788594022118</v>
      </c>
      <c r="X6" s="148">
        <f>'Seasonal (WITH)'!X6</f>
        <v>0</v>
      </c>
      <c r="Y6" s="148">
        <f t="shared" ref="Y6:Y24" si="10">SUM(V6:X6)</f>
        <v>537.68631752786052</v>
      </c>
      <c r="Z6" s="148">
        <f t="shared" ref="Z6:Z27" si="11">Y6*1.07</f>
        <v>575.32435975481076</v>
      </c>
      <c r="AA6" s="148" t="b">
        <f t="shared" ref="AA6:AA24" si="12">Z6=H6</f>
        <v>1</v>
      </c>
      <c r="AB6" s="148">
        <f t="shared" ref="AB6:AB24" si="13">V6*L6</f>
        <v>83.422032164447558</v>
      </c>
      <c r="AC6" s="148">
        <f t="shared" ref="AC6:AD24" si="14">W6*$L6</f>
        <v>16600.984400725061</v>
      </c>
      <c r="AD6" s="148">
        <f t="shared" si="14"/>
        <v>0</v>
      </c>
      <c r="AE6" s="148">
        <f t="shared" ref="AE6:AE24" si="15">SUM(AB6:AD6)</f>
        <v>16684.406432889507</v>
      </c>
      <c r="AF6" s="148">
        <f t="shared" ref="AF6:AH24" si="16">$S6/$Y6*V6</f>
        <v>234.70434494837019</v>
      </c>
      <c r="AG6" s="148">
        <f t="shared" si="16"/>
        <v>46706.164644725664</v>
      </c>
      <c r="AH6" s="148">
        <f t="shared" si="16"/>
        <v>0</v>
      </c>
      <c r="AI6" s="148">
        <f t="shared" ref="AI6:AI24" si="17">SUM(AF6:AH6)</f>
        <v>46940.868989674032</v>
      </c>
      <c r="AJ6" s="148">
        <f t="shared" ref="AJ6:AL24" si="18">AB6+AF6</f>
        <v>318.12637711281775</v>
      </c>
      <c r="AK6" s="148">
        <f t="shared" si="18"/>
        <v>63307.149045450729</v>
      </c>
      <c r="AL6" s="148">
        <f t="shared" si="18"/>
        <v>0</v>
      </c>
      <c r="AM6" s="148">
        <f t="shared" ref="AM6:AM24" si="19">SUM(AJ6:AL6)</f>
        <v>63625.275422563544</v>
      </c>
    </row>
    <row r="7" spans="1:39" s="66" customFormat="1" x14ac:dyDescent="0.25">
      <c r="A7" s="66">
        <v>3</v>
      </c>
      <c r="B7" s="7">
        <v>1000</v>
      </c>
      <c r="C7" s="148">
        <v>500</v>
      </c>
      <c r="D7" s="148">
        <v>100</v>
      </c>
      <c r="E7" s="148">
        <f t="shared" si="3"/>
        <v>544.77981412772988</v>
      </c>
      <c r="F7" s="148">
        <f t="shared" si="0"/>
        <v>0</v>
      </c>
      <c r="G7" s="148">
        <f t="shared" si="4"/>
        <v>0</v>
      </c>
      <c r="H7" s="148">
        <f t="shared" si="5"/>
        <v>544.77981412772988</v>
      </c>
      <c r="I7" s="148">
        <f>'Seasonal (WITH)'!I7</f>
        <v>29</v>
      </c>
      <c r="J7" s="148">
        <f>'Seasonal (WITH)'!J7</f>
        <v>33</v>
      </c>
      <c r="K7" s="148">
        <f>'Seasonal (WITH)'!K7</f>
        <v>40</v>
      </c>
      <c r="L7" s="148">
        <f t="shared" si="1"/>
        <v>31.03</v>
      </c>
      <c r="M7" s="148">
        <f t="shared" si="6"/>
        <v>15798.614609704167</v>
      </c>
      <c r="N7" s="148">
        <f t="shared" si="2"/>
        <v>0</v>
      </c>
      <c r="O7" s="148">
        <f t="shared" si="2"/>
        <v>0</v>
      </c>
      <c r="P7" s="148">
        <f t="shared" si="7"/>
        <v>15798.614609704167</v>
      </c>
      <c r="Q7" s="7">
        <f>Y7*'LOAD DATA and INPUT SEASONAL'!$E$12*1000</f>
        <v>44448.731310607269</v>
      </c>
      <c r="R7" s="7"/>
      <c r="S7" s="7">
        <f t="shared" si="8"/>
        <v>44448.731310607269</v>
      </c>
      <c r="T7" s="154">
        <f>'Seasonal (WITH)'!T7</f>
        <v>2.5457000660174294</v>
      </c>
      <c r="U7" s="148"/>
      <c r="V7" s="170">
        <f t="shared" si="9"/>
        <v>2.5457000660174294</v>
      </c>
      <c r="W7" s="159">
        <f>'Seasonal (WITH)'!W7</f>
        <v>506.59431313746842</v>
      </c>
      <c r="X7" s="148">
        <f>'Seasonal (WITH)'!X7</f>
        <v>0</v>
      </c>
      <c r="Y7" s="148">
        <f t="shared" si="10"/>
        <v>509.14001320348586</v>
      </c>
      <c r="Z7" s="148">
        <f t="shared" si="11"/>
        <v>544.77981412772988</v>
      </c>
      <c r="AA7" s="148" t="b">
        <f t="shared" si="12"/>
        <v>1</v>
      </c>
      <c r="AB7" s="148">
        <f t="shared" si="13"/>
        <v>78.993073048520841</v>
      </c>
      <c r="AC7" s="148">
        <f t="shared" si="14"/>
        <v>15719.621536655646</v>
      </c>
      <c r="AD7" s="148">
        <f t="shared" si="14"/>
        <v>0</v>
      </c>
      <c r="AE7" s="148">
        <f t="shared" si="15"/>
        <v>15798.614609704167</v>
      </c>
      <c r="AF7" s="148">
        <f t="shared" si="16"/>
        <v>222.24365655303635</v>
      </c>
      <c r="AG7" s="148">
        <f t="shared" si="16"/>
        <v>44226.487654054232</v>
      </c>
      <c r="AH7" s="148">
        <f t="shared" si="16"/>
        <v>0</v>
      </c>
      <c r="AI7" s="148">
        <f t="shared" si="17"/>
        <v>44448.731310607269</v>
      </c>
      <c r="AJ7" s="148">
        <f t="shared" si="18"/>
        <v>301.23672960155716</v>
      </c>
      <c r="AK7" s="148">
        <f t="shared" si="18"/>
        <v>59946.109190709874</v>
      </c>
      <c r="AL7" s="148">
        <f t="shared" si="18"/>
        <v>0</v>
      </c>
      <c r="AM7" s="148">
        <f t="shared" si="19"/>
        <v>60247.345920311433</v>
      </c>
    </row>
    <row r="8" spans="1:39" s="66" customFormat="1" x14ac:dyDescent="0.25">
      <c r="A8" s="66">
        <v>4</v>
      </c>
      <c r="B8" s="7">
        <v>1000</v>
      </c>
      <c r="C8" s="148">
        <v>500</v>
      </c>
      <c r="D8" s="148">
        <v>100</v>
      </c>
      <c r="E8" s="148">
        <f t="shared" si="3"/>
        <v>535.6111103487732</v>
      </c>
      <c r="F8" s="148">
        <f t="shared" si="0"/>
        <v>0</v>
      </c>
      <c r="G8" s="148">
        <f t="shared" si="4"/>
        <v>0</v>
      </c>
      <c r="H8" s="148">
        <f t="shared" si="5"/>
        <v>535.6111103487732</v>
      </c>
      <c r="I8" s="148">
        <f>'Seasonal (WITH)'!I8</f>
        <v>29</v>
      </c>
      <c r="J8" s="148">
        <f>'Seasonal (WITH)'!J8</f>
        <v>33</v>
      </c>
      <c r="K8" s="148">
        <f>'Seasonal (WITH)'!K8</f>
        <v>40</v>
      </c>
      <c r="L8" s="148">
        <f t="shared" si="1"/>
        <v>31.029999999999998</v>
      </c>
      <c r="M8" s="148">
        <f t="shared" si="6"/>
        <v>15532.722200114422</v>
      </c>
      <c r="N8" s="148">
        <f t="shared" si="2"/>
        <v>0</v>
      </c>
      <c r="O8" s="148">
        <f t="shared" si="2"/>
        <v>0</v>
      </c>
      <c r="P8" s="148">
        <f t="shared" si="7"/>
        <v>15532.722200114422</v>
      </c>
      <c r="Q8" s="7">
        <f>Y8*'LOAD DATA and INPUT SEASONAL'!$E$12*1000</f>
        <v>43700.654307442383</v>
      </c>
      <c r="R8" s="7"/>
      <c r="S8" s="7">
        <f t="shared" si="8"/>
        <v>43700.654307442383</v>
      </c>
      <c r="T8" s="154">
        <f>'Seasonal (WITH)'!T8</f>
        <v>2.5028556558353889</v>
      </c>
      <c r="U8" s="148"/>
      <c r="V8" s="170">
        <f t="shared" si="9"/>
        <v>2.5028556558353889</v>
      </c>
      <c r="W8" s="159">
        <f>'Seasonal (WITH)'!W8</f>
        <v>498.06827551124235</v>
      </c>
      <c r="X8" s="148">
        <f>'Seasonal (WITH)'!X8</f>
        <v>0</v>
      </c>
      <c r="Y8" s="148">
        <f t="shared" si="10"/>
        <v>500.57113116707774</v>
      </c>
      <c r="Z8" s="148">
        <f t="shared" si="11"/>
        <v>535.6111103487732</v>
      </c>
      <c r="AA8" s="148" t="b">
        <f t="shared" si="12"/>
        <v>1</v>
      </c>
      <c r="AB8" s="148">
        <f t="shared" si="13"/>
        <v>77.663611000572118</v>
      </c>
      <c r="AC8" s="148">
        <f t="shared" si="14"/>
        <v>15455.058589113849</v>
      </c>
      <c r="AD8" s="148">
        <f t="shared" si="14"/>
        <v>0</v>
      </c>
      <c r="AE8" s="148">
        <f t="shared" si="15"/>
        <v>15532.722200114422</v>
      </c>
      <c r="AF8" s="148">
        <f t="shared" si="16"/>
        <v>218.50327153721196</v>
      </c>
      <c r="AG8" s="148">
        <f t="shared" si="16"/>
        <v>43482.151035905175</v>
      </c>
      <c r="AH8" s="148">
        <f t="shared" si="16"/>
        <v>0</v>
      </c>
      <c r="AI8" s="148">
        <f t="shared" si="17"/>
        <v>43700.65430744239</v>
      </c>
      <c r="AJ8" s="148">
        <f t="shared" si="18"/>
        <v>296.16688253778409</v>
      </c>
      <c r="AK8" s="148">
        <f t="shared" si="18"/>
        <v>58937.209625019022</v>
      </c>
      <c r="AL8" s="148">
        <f t="shared" si="18"/>
        <v>0</v>
      </c>
      <c r="AM8" s="148">
        <f t="shared" si="19"/>
        <v>59233.376507556808</v>
      </c>
    </row>
    <row r="9" spans="1:39" s="66" customFormat="1" x14ac:dyDescent="0.25">
      <c r="A9" s="66">
        <v>5</v>
      </c>
      <c r="B9" s="7">
        <v>1000</v>
      </c>
      <c r="C9" s="148">
        <v>500</v>
      </c>
      <c r="D9" s="148">
        <v>100</v>
      </c>
      <c r="E9" s="148">
        <f t="shared" si="3"/>
        <v>551.10358088313774</v>
      </c>
      <c r="F9" s="148">
        <f t="shared" si="0"/>
        <v>0</v>
      </c>
      <c r="G9" s="148">
        <f t="shared" si="4"/>
        <v>0</v>
      </c>
      <c r="H9" s="148">
        <f t="shared" si="5"/>
        <v>551.10358088313774</v>
      </c>
      <c r="I9" s="148">
        <f>'Seasonal (WITH)'!I9</f>
        <v>29</v>
      </c>
      <c r="J9" s="148">
        <f>'Seasonal (WITH)'!J9</f>
        <v>33</v>
      </c>
      <c r="K9" s="148">
        <f>'Seasonal (WITH)'!K9</f>
        <v>40</v>
      </c>
      <c r="L9" s="148">
        <f t="shared" si="1"/>
        <v>31.03</v>
      </c>
      <c r="M9" s="148">
        <f t="shared" si="6"/>
        <v>15982.003845610994</v>
      </c>
      <c r="N9" s="148">
        <f t="shared" si="2"/>
        <v>0</v>
      </c>
      <c r="O9" s="148">
        <f t="shared" si="2"/>
        <v>0</v>
      </c>
      <c r="P9" s="148">
        <f t="shared" si="7"/>
        <v>15982.003845610994</v>
      </c>
      <c r="Q9" s="7">
        <f>Y9*'LOAD DATA and INPUT SEASONAL'!$E$12*1000</f>
        <v>44964.689138141919</v>
      </c>
      <c r="R9" s="7"/>
      <c r="S9" s="7">
        <f t="shared" si="8"/>
        <v>44964.689138141919</v>
      </c>
      <c r="T9" s="154">
        <f>'Seasonal (WITH)'!T9</f>
        <v>2.5752503779585876</v>
      </c>
      <c r="U9" s="148"/>
      <c r="V9" s="170">
        <f t="shared" si="9"/>
        <v>2.5752503779585876</v>
      </c>
      <c r="W9" s="159">
        <f>'Seasonal (WITH)'!W9</f>
        <v>512.47482521375889</v>
      </c>
      <c r="X9" s="148">
        <f>'Seasonal (WITH)'!X9</f>
        <v>0</v>
      </c>
      <c r="Y9" s="148">
        <f t="shared" si="10"/>
        <v>515.05007559171747</v>
      </c>
      <c r="Z9" s="148">
        <f t="shared" si="11"/>
        <v>551.10358088313774</v>
      </c>
      <c r="AA9" s="148" t="b">
        <f t="shared" si="12"/>
        <v>1</v>
      </c>
      <c r="AB9" s="148">
        <f t="shared" si="13"/>
        <v>79.910019228054978</v>
      </c>
      <c r="AC9" s="148">
        <f t="shared" si="14"/>
        <v>15902.093826382939</v>
      </c>
      <c r="AD9" s="148">
        <f t="shared" si="14"/>
        <v>0</v>
      </c>
      <c r="AE9" s="148">
        <f t="shared" si="15"/>
        <v>15982.003845610994</v>
      </c>
      <c r="AF9" s="148">
        <f t="shared" si="16"/>
        <v>224.8234456907096</v>
      </c>
      <c r="AG9" s="148">
        <f t="shared" si="16"/>
        <v>44739.865692451211</v>
      </c>
      <c r="AH9" s="148">
        <f t="shared" si="16"/>
        <v>0</v>
      </c>
      <c r="AI9" s="148">
        <f t="shared" si="17"/>
        <v>44964.689138141919</v>
      </c>
      <c r="AJ9" s="148">
        <f t="shared" si="18"/>
        <v>304.73346491876458</v>
      </c>
      <c r="AK9" s="148">
        <f t="shared" si="18"/>
        <v>60641.959518834148</v>
      </c>
      <c r="AL9" s="148">
        <f t="shared" si="18"/>
        <v>0</v>
      </c>
      <c r="AM9" s="148">
        <f t="shared" si="19"/>
        <v>60946.69298375291</v>
      </c>
    </row>
    <row r="10" spans="1:39" s="66" customFormat="1" x14ac:dyDescent="0.25">
      <c r="A10" s="66">
        <v>6</v>
      </c>
      <c r="B10" s="7">
        <v>1000</v>
      </c>
      <c r="C10" s="148">
        <v>500</v>
      </c>
      <c r="D10" s="148">
        <v>100</v>
      </c>
      <c r="E10" s="148">
        <f t="shared" si="3"/>
        <v>599.35463631391576</v>
      </c>
      <c r="F10" s="148">
        <f t="shared" si="0"/>
        <v>0</v>
      </c>
      <c r="G10" s="148">
        <f t="shared" si="4"/>
        <v>0</v>
      </c>
      <c r="H10" s="148">
        <f t="shared" si="5"/>
        <v>599.35463631391576</v>
      </c>
      <c r="I10" s="148">
        <f>'Seasonal (WITH)'!I10</f>
        <v>29</v>
      </c>
      <c r="J10" s="148">
        <f>'Seasonal (WITH)'!J10</f>
        <v>33</v>
      </c>
      <c r="K10" s="148">
        <f>'Seasonal (WITH)'!K10</f>
        <v>40</v>
      </c>
      <c r="L10" s="148">
        <f t="shared" si="1"/>
        <v>31.030000000000005</v>
      </c>
      <c r="M10" s="148">
        <f t="shared" si="6"/>
        <v>17381.284453103559</v>
      </c>
      <c r="N10" s="148">
        <f t="shared" si="2"/>
        <v>0</v>
      </c>
      <c r="O10" s="148">
        <f t="shared" si="2"/>
        <v>0</v>
      </c>
      <c r="P10" s="148">
        <f t="shared" si="7"/>
        <v>17381.284453103559</v>
      </c>
      <c r="Q10" s="7">
        <f>Y10*'LOAD DATA and INPUT SEASONAL'!$E$12*1000</f>
        <v>48901.505706372962</v>
      </c>
      <c r="R10" s="7"/>
      <c r="S10" s="7">
        <f t="shared" si="8"/>
        <v>48901.505706372962</v>
      </c>
      <c r="T10" s="154">
        <f>'Seasonal (WITH)'!T10</f>
        <v>2.8007225995977372</v>
      </c>
      <c r="U10" s="148"/>
      <c r="V10" s="170">
        <f t="shared" si="9"/>
        <v>2.8007225995977372</v>
      </c>
      <c r="W10" s="159">
        <f>'Seasonal (WITH)'!W10</f>
        <v>557.34379731994966</v>
      </c>
      <c r="X10" s="148">
        <f>'Seasonal (WITH)'!X10</f>
        <v>0</v>
      </c>
      <c r="Y10" s="148">
        <f t="shared" si="10"/>
        <v>560.14451991954741</v>
      </c>
      <c r="Z10" s="148">
        <f t="shared" si="11"/>
        <v>599.35463631391576</v>
      </c>
      <c r="AA10" s="148" t="b">
        <f t="shared" si="12"/>
        <v>1</v>
      </c>
      <c r="AB10" s="148">
        <f t="shared" si="13"/>
        <v>86.906422265517804</v>
      </c>
      <c r="AC10" s="148">
        <f t="shared" si="14"/>
        <v>17294.378030838041</v>
      </c>
      <c r="AD10" s="148">
        <f t="shared" si="14"/>
        <v>0</v>
      </c>
      <c r="AE10" s="148">
        <f t="shared" si="15"/>
        <v>17381.284453103559</v>
      </c>
      <c r="AF10" s="148">
        <f t="shared" si="16"/>
        <v>244.50752853186481</v>
      </c>
      <c r="AG10" s="148">
        <f t="shared" si="16"/>
        <v>48656.998177841095</v>
      </c>
      <c r="AH10" s="148">
        <f t="shared" si="16"/>
        <v>0</v>
      </c>
      <c r="AI10" s="148">
        <f t="shared" si="17"/>
        <v>48901.505706372962</v>
      </c>
      <c r="AJ10" s="148">
        <f t="shared" si="18"/>
        <v>331.4139507973826</v>
      </c>
      <c r="AK10" s="148">
        <f t="shared" si="18"/>
        <v>65951.376208679139</v>
      </c>
      <c r="AL10" s="148">
        <f t="shared" si="18"/>
        <v>0</v>
      </c>
      <c r="AM10" s="148">
        <f t="shared" si="19"/>
        <v>66282.790159476528</v>
      </c>
    </row>
    <row r="11" spans="1:39" s="66" customFormat="1" x14ac:dyDescent="0.25">
      <c r="A11" s="66">
        <v>7</v>
      </c>
      <c r="B11" s="7">
        <v>1000</v>
      </c>
      <c r="C11" s="148">
        <v>500</v>
      </c>
      <c r="D11" s="148">
        <v>100</v>
      </c>
      <c r="E11" s="148">
        <f t="shared" si="3"/>
        <v>701.98393086240037</v>
      </c>
      <c r="F11" s="148">
        <f t="shared" si="0"/>
        <v>0</v>
      </c>
      <c r="G11" s="148">
        <f t="shared" si="4"/>
        <v>0</v>
      </c>
      <c r="H11" s="148">
        <f t="shared" si="5"/>
        <v>701.98393086240037</v>
      </c>
      <c r="I11" s="148">
        <f>'Seasonal (WITH)'!I11</f>
        <v>29</v>
      </c>
      <c r="J11" s="148">
        <f>'Seasonal (WITH)'!J11</f>
        <v>33</v>
      </c>
      <c r="K11" s="148">
        <f>'Seasonal (WITH)'!K11</f>
        <v>40</v>
      </c>
      <c r="L11" s="148">
        <f t="shared" si="1"/>
        <v>31.03</v>
      </c>
      <c r="M11" s="148">
        <f t="shared" si="6"/>
        <v>20357.533995009609</v>
      </c>
      <c r="N11" s="148">
        <f t="shared" si="2"/>
        <v>0</v>
      </c>
      <c r="O11" s="148">
        <f t="shared" si="2"/>
        <v>0</v>
      </c>
      <c r="P11" s="148">
        <f t="shared" si="7"/>
        <v>20357.533995009609</v>
      </c>
      <c r="Q11" s="7">
        <f>Y11*'LOAD DATA and INPUT SEASONAL'!$E$12*1000</f>
        <v>57275.057405028972</v>
      </c>
      <c r="R11" s="7"/>
      <c r="S11" s="7">
        <f t="shared" si="8"/>
        <v>57275.057405028972</v>
      </c>
      <c r="T11" s="154">
        <f>'Seasonal (WITH)'!T11</f>
        <v>3.2802987423476653</v>
      </c>
      <c r="U11" s="148"/>
      <c r="V11" s="170">
        <f t="shared" si="9"/>
        <v>3.2802987423476653</v>
      </c>
      <c r="W11" s="159">
        <f>'Seasonal (WITH)'!W11</f>
        <v>652.77944972718535</v>
      </c>
      <c r="X11" s="148">
        <f>'Seasonal (WITH)'!X11</f>
        <v>0</v>
      </c>
      <c r="Y11" s="148">
        <f t="shared" si="10"/>
        <v>656.05974846953302</v>
      </c>
      <c r="Z11" s="148">
        <f t="shared" si="11"/>
        <v>701.98393086240037</v>
      </c>
      <c r="AA11" s="148" t="b">
        <f t="shared" si="12"/>
        <v>1</v>
      </c>
      <c r="AB11" s="148">
        <f t="shared" si="13"/>
        <v>101.78766997504806</v>
      </c>
      <c r="AC11" s="148">
        <f t="shared" si="14"/>
        <v>20255.746325034561</v>
      </c>
      <c r="AD11" s="148">
        <f t="shared" si="14"/>
        <v>0</v>
      </c>
      <c r="AE11" s="148">
        <f t="shared" si="15"/>
        <v>20357.533995009609</v>
      </c>
      <c r="AF11" s="148">
        <f t="shared" si="16"/>
        <v>286.37528702514487</v>
      </c>
      <c r="AG11" s="148">
        <f t="shared" si="16"/>
        <v>56988.682118003831</v>
      </c>
      <c r="AH11" s="148">
        <f t="shared" si="16"/>
        <v>0</v>
      </c>
      <c r="AI11" s="148">
        <f t="shared" si="17"/>
        <v>57275.05740502898</v>
      </c>
      <c r="AJ11" s="148">
        <f t="shared" si="18"/>
        <v>388.16295700019293</v>
      </c>
      <c r="AK11" s="148">
        <f t="shared" si="18"/>
        <v>77244.4284430384</v>
      </c>
      <c r="AL11" s="148">
        <f t="shared" si="18"/>
        <v>0</v>
      </c>
      <c r="AM11" s="148">
        <f t="shared" si="19"/>
        <v>77632.591400038596</v>
      </c>
    </row>
    <row r="12" spans="1:39" s="66" customFormat="1" x14ac:dyDescent="0.25">
      <c r="A12" s="66">
        <v>8</v>
      </c>
      <c r="B12" s="7">
        <v>1000</v>
      </c>
      <c r="C12" s="148">
        <v>500</v>
      </c>
      <c r="D12" s="148">
        <v>100</v>
      </c>
      <c r="E12" s="148">
        <f t="shared" si="3"/>
        <v>779.492605699102</v>
      </c>
      <c r="F12" s="148">
        <f t="shared" si="0"/>
        <v>0</v>
      </c>
      <c r="G12" s="148">
        <f t="shared" si="4"/>
        <v>0</v>
      </c>
      <c r="H12" s="148">
        <f t="shared" si="5"/>
        <v>779.492605699102</v>
      </c>
      <c r="I12" s="148">
        <f>'Seasonal (WITH)'!I12</f>
        <v>29</v>
      </c>
      <c r="J12" s="148">
        <f>'Seasonal (WITH)'!J12</f>
        <v>33</v>
      </c>
      <c r="K12" s="148">
        <f>'Seasonal (WITH)'!K12</f>
        <v>40</v>
      </c>
      <c r="L12" s="148">
        <f t="shared" si="1"/>
        <v>31.029999999999998</v>
      </c>
      <c r="M12" s="148">
        <f t="shared" si="6"/>
        <v>22605.285565273956</v>
      </c>
      <c r="N12" s="148">
        <f t="shared" si="2"/>
        <v>0</v>
      </c>
      <c r="O12" s="148">
        <f t="shared" si="2"/>
        <v>0</v>
      </c>
      <c r="P12" s="148">
        <f t="shared" si="7"/>
        <v>22605.285565273956</v>
      </c>
      <c r="Q12" s="7">
        <f>Y12*'LOAD DATA and INPUT SEASONAL'!$E$12*1000</f>
        <v>63599.01099639685</v>
      </c>
      <c r="R12" s="7"/>
      <c r="S12" s="7">
        <f t="shared" si="8"/>
        <v>63599.01099639685</v>
      </c>
      <c r="T12" s="154">
        <f>'Seasonal (WITH)'!T12</f>
        <v>3.6424888116780467</v>
      </c>
      <c r="U12" s="148"/>
      <c r="V12" s="170">
        <f t="shared" si="9"/>
        <v>3.6424888116780467</v>
      </c>
      <c r="W12" s="159">
        <f>'Seasonal (WITH)'!W12</f>
        <v>724.85527352393126</v>
      </c>
      <c r="X12" s="148">
        <f>'Seasonal (WITH)'!X12</f>
        <v>0</v>
      </c>
      <c r="Y12" s="148">
        <f t="shared" si="10"/>
        <v>728.49776233560931</v>
      </c>
      <c r="Z12" s="148">
        <f t="shared" si="11"/>
        <v>779.492605699102</v>
      </c>
      <c r="AA12" s="148" t="b">
        <f t="shared" si="12"/>
        <v>1</v>
      </c>
      <c r="AB12" s="148">
        <f t="shared" si="13"/>
        <v>113.02642782636978</v>
      </c>
      <c r="AC12" s="148">
        <f t="shared" si="14"/>
        <v>22492.259137447585</v>
      </c>
      <c r="AD12" s="148">
        <f t="shared" si="14"/>
        <v>0</v>
      </c>
      <c r="AE12" s="148">
        <f t="shared" si="15"/>
        <v>22605.285565273956</v>
      </c>
      <c r="AF12" s="148">
        <f t="shared" si="16"/>
        <v>317.99505498198431</v>
      </c>
      <c r="AG12" s="148">
        <f t="shared" si="16"/>
        <v>63281.015941414873</v>
      </c>
      <c r="AH12" s="148">
        <f t="shared" si="16"/>
        <v>0</v>
      </c>
      <c r="AI12" s="148">
        <f t="shared" si="17"/>
        <v>63599.010996396857</v>
      </c>
      <c r="AJ12" s="148">
        <f t="shared" si="18"/>
        <v>431.02148280835411</v>
      </c>
      <c r="AK12" s="148">
        <f t="shared" si="18"/>
        <v>85773.275078862454</v>
      </c>
      <c r="AL12" s="148">
        <f t="shared" si="18"/>
        <v>0</v>
      </c>
      <c r="AM12" s="148">
        <f t="shared" si="19"/>
        <v>86204.29656167081</v>
      </c>
    </row>
    <row r="13" spans="1:39" s="66" customFormat="1" x14ac:dyDescent="0.25">
      <c r="A13" s="66">
        <v>9</v>
      </c>
      <c r="B13" s="7">
        <v>1000</v>
      </c>
      <c r="C13" s="148">
        <v>500</v>
      </c>
      <c r="D13" s="148">
        <v>100</v>
      </c>
      <c r="E13" s="148">
        <f t="shared" si="3"/>
        <v>750.89069610401577</v>
      </c>
      <c r="F13" s="148">
        <f t="shared" si="0"/>
        <v>0</v>
      </c>
      <c r="G13" s="148">
        <f t="shared" si="4"/>
        <v>0</v>
      </c>
      <c r="H13" s="148">
        <f t="shared" si="5"/>
        <v>750.89069610401577</v>
      </c>
      <c r="I13" s="148">
        <f>'Seasonal (WITH)'!I13</f>
        <v>29</v>
      </c>
      <c r="J13" s="148">
        <f>'Seasonal (WITH)'!J13</f>
        <v>33</v>
      </c>
      <c r="K13" s="148">
        <f>'Seasonal (WITH)'!K13</f>
        <v>40</v>
      </c>
      <c r="L13" s="148">
        <f t="shared" si="1"/>
        <v>31.030000000000005</v>
      </c>
      <c r="M13" s="148">
        <f t="shared" si="6"/>
        <v>21775.830187016458</v>
      </c>
      <c r="N13" s="148">
        <f t="shared" si="2"/>
        <v>0</v>
      </c>
      <c r="O13" s="148">
        <f t="shared" si="2"/>
        <v>0</v>
      </c>
      <c r="P13" s="148">
        <f t="shared" si="7"/>
        <v>21775.830187016458</v>
      </c>
      <c r="Q13" s="7">
        <f>Y13*'LOAD DATA and INPUT SEASONAL'!$E$12*1000</f>
        <v>61265.373512787381</v>
      </c>
      <c r="R13" s="7"/>
      <c r="S13" s="7">
        <f t="shared" si="8"/>
        <v>61265.373512787381</v>
      </c>
      <c r="T13" s="154">
        <f>'Seasonal (WITH)'!T13</f>
        <v>3.5088350285234378</v>
      </c>
      <c r="U13" s="148"/>
      <c r="V13" s="170">
        <f t="shared" si="9"/>
        <v>3.5088350285234378</v>
      </c>
      <c r="W13" s="159">
        <f>'Seasonal (WITH)'!W13</f>
        <v>698.25817067616413</v>
      </c>
      <c r="X13" s="148">
        <f>'Seasonal (WITH)'!X13</f>
        <v>0</v>
      </c>
      <c r="Y13" s="148">
        <f t="shared" si="10"/>
        <v>701.76700570468756</v>
      </c>
      <c r="Z13" s="148">
        <f t="shared" si="11"/>
        <v>750.89069610401577</v>
      </c>
      <c r="AA13" s="148" t="b">
        <f t="shared" si="12"/>
        <v>1</v>
      </c>
      <c r="AB13" s="148">
        <f t="shared" si="13"/>
        <v>108.87915093508229</v>
      </c>
      <c r="AC13" s="148">
        <f t="shared" si="14"/>
        <v>21666.951036081377</v>
      </c>
      <c r="AD13" s="148">
        <f t="shared" si="14"/>
        <v>0</v>
      </c>
      <c r="AE13" s="148">
        <f t="shared" si="15"/>
        <v>21775.830187016458</v>
      </c>
      <c r="AF13" s="148">
        <f t="shared" si="16"/>
        <v>306.3268675639369</v>
      </c>
      <c r="AG13" s="148">
        <f t="shared" si="16"/>
        <v>60959.046645223447</v>
      </c>
      <c r="AH13" s="148">
        <f t="shared" si="16"/>
        <v>0</v>
      </c>
      <c r="AI13" s="148">
        <f t="shared" si="17"/>
        <v>61265.373512787381</v>
      </c>
      <c r="AJ13" s="148">
        <f t="shared" si="18"/>
        <v>415.20601849901919</v>
      </c>
      <c r="AK13" s="148">
        <f t="shared" si="18"/>
        <v>82625.997681304827</v>
      </c>
      <c r="AL13" s="148">
        <f t="shared" si="18"/>
        <v>0</v>
      </c>
      <c r="AM13" s="148">
        <f t="shared" si="19"/>
        <v>83041.203699803853</v>
      </c>
    </row>
    <row r="14" spans="1:39" s="66" customFormat="1" ht="17.25" customHeight="1" x14ac:dyDescent="0.25">
      <c r="A14" s="66">
        <v>10</v>
      </c>
      <c r="B14" s="7">
        <v>1000</v>
      </c>
      <c r="C14" s="148">
        <v>500</v>
      </c>
      <c r="D14" s="148">
        <v>100</v>
      </c>
      <c r="E14" s="148">
        <f t="shared" si="3"/>
        <v>754.29956135436532</v>
      </c>
      <c r="F14" s="148">
        <f t="shared" si="0"/>
        <v>0</v>
      </c>
      <c r="G14" s="148">
        <f t="shared" si="4"/>
        <v>0</v>
      </c>
      <c r="H14" s="148">
        <f t="shared" si="5"/>
        <v>754.29956135436532</v>
      </c>
      <c r="I14" s="148">
        <f>'Seasonal (WITH)'!I14</f>
        <v>29</v>
      </c>
      <c r="J14" s="148">
        <f>'Seasonal (WITH)'!J14</f>
        <v>33</v>
      </c>
      <c r="K14" s="148">
        <f>'Seasonal (WITH)'!K14</f>
        <v>40</v>
      </c>
      <c r="L14" s="148">
        <f t="shared" si="1"/>
        <v>31.03</v>
      </c>
      <c r="M14" s="148">
        <f t="shared" si="6"/>
        <v>21874.687279276593</v>
      </c>
      <c r="N14" s="148">
        <f t="shared" si="2"/>
        <v>0</v>
      </c>
      <c r="O14" s="148">
        <f t="shared" si="2"/>
        <v>0</v>
      </c>
      <c r="P14" s="148">
        <f t="shared" si="7"/>
        <v>21874.687279276593</v>
      </c>
      <c r="Q14" s="7">
        <f>Y14*'LOAD DATA and INPUT SEASONAL'!$E$12*1000</f>
        <v>61543.503743859648</v>
      </c>
      <c r="R14" s="7"/>
      <c r="S14" s="7">
        <f t="shared" si="8"/>
        <v>61543.503743859648</v>
      </c>
      <c r="T14" s="154">
        <f>'Seasonal (WITH)'!T14</f>
        <v>3.5247643053942301</v>
      </c>
      <c r="U14" s="148"/>
      <c r="V14" s="170">
        <f t="shared" si="9"/>
        <v>3.5247643053942301</v>
      </c>
      <c r="W14" s="159">
        <f>'Seasonal (WITH)'!W14</f>
        <v>701.42809677345178</v>
      </c>
      <c r="X14" s="148">
        <f>'Seasonal (WITH)'!X14</f>
        <v>0</v>
      </c>
      <c r="Y14" s="148">
        <f t="shared" si="10"/>
        <v>704.95286107884601</v>
      </c>
      <c r="Z14" s="148">
        <f t="shared" si="11"/>
        <v>754.29956135436532</v>
      </c>
      <c r="AA14" s="148" t="b">
        <f t="shared" si="12"/>
        <v>1</v>
      </c>
      <c r="AB14" s="148">
        <f t="shared" si="13"/>
        <v>109.37343639638297</v>
      </c>
      <c r="AC14" s="148">
        <f t="shared" si="14"/>
        <v>21765.313842880209</v>
      </c>
      <c r="AD14" s="148">
        <f t="shared" si="14"/>
        <v>0</v>
      </c>
      <c r="AE14" s="148">
        <f t="shared" si="15"/>
        <v>21874.68727927659</v>
      </c>
      <c r="AF14" s="148">
        <f t="shared" si="16"/>
        <v>307.7175187192982</v>
      </c>
      <c r="AG14" s="148">
        <f t="shared" si="16"/>
        <v>61235.786225140342</v>
      </c>
      <c r="AH14" s="148">
        <f t="shared" si="16"/>
        <v>0</v>
      </c>
      <c r="AI14" s="148">
        <f t="shared" si="17"/>
        <v>61543.503743859641</v>
      </c>
      <c r="AJ14" s="148">
        <f t="shared" si="18"/>
        <v>417.09095511568114</v>
      </c>
      <c r="AK14" s="148">
        <f t="shared" si="18"/>
        <v>83001.100068020547</v>
      </c>
      <c r="AL14" s="148">
        <f t="shared" si="18"/>
        <v>0</v>
      </c>
      <c r="AM14" s="148">
        <f t="shared" si="19"/>
        <v>83418.191023136227</v>
      </c>
    </row>
    <row r="15" spans="1:39" s="66" customFormat="1" x14ac:dyDescent="0.25">
      <c r="A15" s="66">
        <v>11</v>
      </c>
      <c r="B15" s="7">
        <v>1000</v>
      </c>
      <c r="C15" s="148">
        <v>500</v>
      </c>
      <c r="D15" s="148">
        <v>100</v>
      </c>
      <c r="E15" s="148">
        <f t="shared" si="3"/>
        <v>770.1121235270258</v>
      </c>
      <c r="F15" s="148">
        <f>IF(C15&lt;Z15-E15,C15,Z15-E15)</f>
        <v>0</v>
      </c>
      <c r="G15" s="148">
        <f t="shared" si="4"/>
        <v>0</v>
      </c>
      <c r="H15" s="148">
        <f t="shared" si="5"/>
        <v>770.1121235270258</v>
      </c>
      <c r="I15" s="148">
        <f>'Seasonal (WITH)'!I15</f>
        <v>29</v>
      </c>
      <c r="J15" s="148">
        <f>'Seasonal (WITH)'!J15</f>
        <v>33</v>
      </c>
      <c r="K15" s="148">
        <f>'Seasonal (WITH)'!K15</f>
        <v>40</v>
      </c>
      <c r="L15" s="148">
        <f t="shared" si="1"/>
        <v>31.03</v>
      </c>
      <c r="M15" s="148">
        <f t="shared" si="6"/>
        <v>22333.251582283749</v>
      </c>
      <c r="N15" s="148">
        <f t="shared" si="2"/>
        <v>0</v>
      </c>
      <c r="O15" s="148">
        <f t="shared" si="2"/>
        <v>0</v>
      </c>
      <c r="P15" s="148">
        <f t="shared" si="7"/>
        <v>22333.251582283749</v>
      </c>
      <c r="Q15" s="7">
        <f>Y15*'LOAD DATA and INPUT SEASONAL'!$E$12*1000</f>
        <v>62833.654937273852</v>
      </c>
      <c r="R15" s="7"/>
      <c r="S15" s="7">
        <f t="shared" si="8"/>
        <v>62833.654937273852</v>
      </c>
      <c r="T15" s="154">
        <f>'Seasonal (WITH)'!T15</f>
        <v>3.5986547828365691</v>
      </c>
      <c r="U15" s="148"/>
      <c r="V15" s="170">
        <f t="shared" si="9"/>
        <v>3.5986547828365691</v>
      </c>
      <c r="W15" s="159">
        <f>'Seasonal (WITH)'!W15</f>
        <v>716.13230178447725</v>
      </c>
      <c r="X15" s="148">
        <f>'Seasonal (WITH)'!X15</f>
        <v>0</v>
      </c>
      <c r="Y15" s="148">
        <f t="shared" si="10"/>
        <v>719.7309565673138</v>
      </c>
      <c r="Z15" s="148">
        <f t="shared" si="11"/>
        <v>770.1121235270258</v>
      </c>
      <c r="AA15" s="148" t="b">
        <f t="shared" si="12"/>
        <v>1</v>
      </c>
      <c r="AB15" s="148">
        <f t="shared" si="13"/>
        <v>111.66625791141874</v>
      </c>
      <c r="AC15" s="148">
        <f t="shared" si="14"/>
        <v>22221.585324372329</v>
      </c>
      <c r="AD15" s="148">
        <f t="shared" si="14"/>
        <v>0</v>
      </c>
      <c r="AE15" s="148">
        <f t="shared" si="15"/>
        <v>22333.251582283749</v>
      </c>
      <c r="AF15" s="148">
        <f t="shared" si="16"/>
        <v>314.16827468636927</v>
      </c>
      <c r="AG15" s="148">
        <f t="shared" si="16"/>
        <v>62519.486662587486</v>
      </c>
      <c r="AH15" s="148">
        <f t="shared" si="16"/>
        <v>0</v>
      </c>
      <c r="AI15" s="148">
        <f t="shared" si="17"/>
        <v>62833.654937273852</v>
      </c>
      <c r="AJ15" s="148">
        <f t="shared" si="18"/>
        <v>425.83453259778798</v>
      </c>
      <c r="AK15" s="148">
        <f t="shared" si="18"/>
        <v>84741.071986959811</v>
      </c>
      <c r="AL15" s="148">
        <f t="shared" si="18"/>
        <v>0</v>
      </c>
      <c r="AM15" s="148">
        <f t="shared" si="19"/>
        <v>85166.906519557597</v>
      </c>
    </row>
    <row r="16" spans="1:39" s="66" customFormat="1" x14ac:dyDescent="0.25">
      <c r="A16" s="66">
        <v>12</v>
      </c>
      <c r="B16" s="7">
        <v>1000</v>
      </c>
      <c r="C16" s="148">
        <v>500</v>
      </c>
      <c r="D16" s="148">
        <v>100</v>
      </c>
      <c r="E16" s="148">
        <f t="shared" si="3"/>
        <v>771.98313665918931</v>
      </c>
      <c r="F16" s="148">
        <f t="shared" ref="F16:F28" si="20">IF(C16&lt;Z16-E16,C16,Z16-E16)</f>
        <v>0</v>
      </c>
      <c r="G16" s="148">
        <f t="shared" si="4"/>
        <v>0</v>
      </c>
      <c r="H16" s="148">
        <f t="shared" si="5"/>
        <v>771.98313665918931</v>
      </c>
      <c r="I16" s="148">
        <f>'Seasonal (WITH)'!I16</f>
        <v>29</v>
      </c>
      <c r="J16" s="148">
        <f>'Seasonal (WITH)'!J16</f>
        <v>33</v>
      </c>
      <c r="K16" s="148">
        <f>'Seasonal (WITH)'!K16</f>
        <v>40</v>
      </c>
      <c r="L16" s="148">
        <f t="shared" si="1"/>
        <v>31.03</v>
      </c>
      <c r="M16" s="148">
        <f t="shared" si="6"/>
        <v>22387.510963116489</v>
      </c>
      <c r="N16" s="148">
        <f t="shared" si="2"/>
        <v>0</v>
      </c>
      <c r="O16" s="148">
        <f t="shared" si="2"/>
        <v>0</v>
      </c>
      <c r="P16" s="148">
        <f t="shared" si="7"/>
        <v>22387.510963116489</v>
      </c>
      <c r="Q16" s="7">
        <f>Y16*'LOAD DATA and INPUT SEASONAL'!$E$12*1000</f>
        <v>62986.311401102837</v>
      </c>
      <c r="R16" s="7"/>
      <c r="S16" s="7">
        <f t="shared" si="8"/>
        <v>62986.311401102837</v>
      </c>
      <c r="T16" s="154">
        <f>'Seasonal (WITH)'!T16</f>
        <v>3.6073978348560245</v>
      </c>
      <c r="U16" s="148"/>
      <c r="V16" s="170">
        <f t="shared" si="9"/>
        <v>3.6073978348560245</v>
      </c>
      <c r="W16" s="159">
        <f>'Seasonal (WITH)'!W16</f>
        <v>717.87216913634893</v>
      </c>
      <c r="X16" s="148">
        <f>'Seasonal (WITH)'!X16</f>
        <v>0</v>
      </c>
      <c r="Y16" s="148">
        <f t="shared" si="10"/>
        <v>721.47956697120492</v>
      </c>
      <c r="Z16" s="148">
        <f t="shared" si="11"/>
        <v>771.98313665918931</v>
      </c>
      <c r="AA16" s="148" t="b">
        <f t="shared" si="12"/>
        <v>1</v>
      </c>
      <c r="AB16" s="148">
        <f t="shared" si="13"/>
        <v>111.93755481558244</v>
      </c>
      <c r="AC16" s="148">
        <f t="shared" si="14"/>
        <v>22275.573408300908</v>
      </c>
      <c r="AD16" s="148">
        <f t="shared" si="14"/>
        <v>0</v>
      </c>
      <c r="AE16" s="148">
        <f t="shared" si="15"/>
        <v>22387.510963116492</v>
      </c>
      <c r="AF16" s="148">
        <f t="shared" si="16"/>
        <v>314.93155700551421</v>
      </c>
      <c r="AG16" s="148">
        <f t="shared" si="16"/>
        <v>62671.379844097326</v>
      </c>
      <c r="AH16" s="148">
        <f t="shared" si="16"/>
        <v>0</v>
      </c>
      <c r="AI16" s="148">
        <f t="shared" si="17"/>
        <v>62986.311401102837</v>
      </c>
      <c r="AJ16" s="148">
        <f t="shared" si="18"/>
        <v>426.86911182109668</v>
      </c>
      <c r="AK16" s="148">
        <f t="shared" si="18"/>
        <v>84946.953252398234</v>
      </c>
      <c r="AL16" s="148">
        <f t="shared" si="18"/>
        <v>0</v>
      </c>
      <c r="AM16" s="148">
        <f t="shared" si="19"/>
        <v>85373.822364219333</v>
      </c>
    </row>
    <row r="17" spans="1:39" s="66" customFormat="1" x14ac:dyDescent="0.25">
      <c r="A17" s="66">
        <v>13</v>
      </c>
      <c r="B17" s="7">
        <v>1000</v>
      </c>
      <c r="C17" s="148">
        <v>500</v>
      </c>
      <c r="D17" s="148">
        <v>100</v>
      </c>
      <c r="E17" s="148">
        <f t="shared" si="3"/>
        <v>767.91409063612844</v>
      </c>
      <c r="F17" s="148">
        <f t="shared" si="20"/>
        <v>0</v>
      </c>
      <c r="G17" s="148">
        <f t="shared" si="4"/>
        <v>0</v>
      </c>
      <c r="H17" s="148">
        <f t="shared" si="5"/>
        <v>767.91409063612844</v>
      </c>
      <c r="I17" s="148">
        <f>'Seasonal (WITH)'!I17</f>
        <v>29</v>
      </c>
      <c r="J17" s="148">
        <f>'Seasonal (WITH)'!J17</f>
        <v>33</v>
      </c>
      <c r="K17" s="148">
        <f>'Seasonal (WITH)'!K17</f>
        <v>40</v>
      </c>
      <c r="L17" s="148">
        <f t="shared" si="1"/>
        <v>31.03</v>
      </c>
      <c r="M17" s="148">
        <f t="shared" si="6"/>
        <v>22269.508628447726</v>
      </c>
      <c r="N17" s="148">
        <f t="shared" si="2"/>
        <v>0</v>
      </c>
      <c r="O17" s="148">
        <f t="shared" si="2"/>
        <v>0</v>
      </c>
      <c r="P17" s="148">
        <f t="shared" si="7"/>
        <v>22269.508628447726</v>
      </c>
      <c r="Q17" s="7">
        <f>Y17*'LOAD DATA and INPUT SEASONAL'!$E$12*1000</f>
        <v>62654.316843523433</v>
      </c>
      <c r="R17" s="7"/>
      <c r="S17" s="7">
        <f t="shared" si="8"/>
        <v>62654.316843523433</v>
      </c>
      <c r="T17" s="154">
        <f>'Seasonal (WITH)'!T17</f>
        <v>3.5883836011034038</v>
      </c>
      <c r="U17" s="148"/>
      <c r="V17" s="170">
        <f t="shared" si="9"/>
        <v>3.5883836011034038</v>
      </c>
      <c r="W17" s="159">
        <f>'Seasonal (WITH)'!W17</f>
        <v>714.08833661957738</v>
      </c>
      <c r="X17" s="148">
        <f>'Seasonal (WITH)'!X17</f>
        <v>0</v>
      </c>
      <c r="Y17" s="148">
        <f t="shared" si="10"/>
        <v>717.67672022068075</v>
      </c>
      <c r="Z17" s="148">
        <f t="shared" si="11"/>
        <v>767.91409063612844</v>
      </c>
      <c r="AA17" s="148" t="b">
        <f t="shared" si="12"/>
        <v>1</v>
      </c>
      <c r="AB17" s="148">
        <f t="shared" si="13"/>
        <v>111.34754314223862</v>
      </c>
      <c r="AC17" s="148">
        <f t="shared" si="14"/>
        <v>22158.161085305488</v>
      </c>
      <c r="AD17" s="148">
        <f t="shared" si="14"/>
        <v>0</v>
      </c>
      <c r="AE17" s="148">
        <f t="shared" si="15"/>
        <v>22269.508628447726</v>
      </c>
      <c r="AF17" s="148">
        <f t="shared" si="16"/>
        <v>313.27158421761715</v>
      </c>
      <c r="AG17" s="148">
        <f t="shared" si="16"/>
        <v>62341.045259305814</v>
      </c>
      <c r="AH17" s="148">
        <f t="shared" si="16"/>
        <v>0</v>
      </c>
      <c r="AI17" s="148">
        <f t="shared" si="17"/>
        <v>62654.316843523433</v>
      </c>
      <c r="AJ17" s="148">
        <f t="shared" si="18"/>
        <v>424.61912735985578</v>
      </c>
      <c r="AK17" s="148">
        <f t="shared" si="18"/>
        <v>84499.206344611302</v>
      </c>
      <c r="AL17" s="148">
        <f t="shared" si="18"/>
        <v>0</v>
      </c>
      <c r="AM17" s="148">
        <f t="shared" si="19"/>
        <v>84923.825471971155</v>
      </c>
    </row>
    <row r="18" spans="1:39" s="66" customFormat="1" x14ac:dyDescent="0.25">
      <c r="A18" s="66">
        <v>14</v>
      </c>
      <c r="B18" s="7">
        <v>1000</v>
      </c>
      <c r="C18" s="148">
        <v>500</v>
      </c>
      <c r="D18" s="148">
        <v>100</v>
      </c>
      <c r="E18" s="148">
        <f t="shared" si="3"/>
        <v>751.77546216242217</v>
      </c>
      <c r="F18" s="148">
        <f t="shared" si="20"/>
        <v>0</v>
      </c>
      <c r="G18" s="148">
        <f t="shared" si="4"/>
        <v>0</v>
      </c>
      <c r="H18" s="148">
        <f t="shared" si="5"/>
        <v>751.77546216242217</v>
      </c>
      <c r="I18" s="148">
        <f>'Seasonal (WITH)'!I18</f>
        <v>29</v>
      </c>
      <c r="J18" s="148">
        <f>'Seasonal (WITH)'!J18</f>
        <v>33</v>
      </c>
      <c r="K18" s="148">
        <f>'Seasonal (WITH)'!K18</f>
        <v>40</v>
      </c>
      <c r="L18" s="148">
        <f t="shared" si="1"/>
        <v>31.03</v>
      </c>
      <c r="M18" s="148">
        <f t="shared" si="6"/>
        <v>21801.488402710242</v>
      </c>
      <c r="N18" s="148">
        <f t="shared" si="2"/>
        <v>0</v>
      </c>
      <c r="O18" s="148">
        <f t="shared" si="2"/>
        <v>0</v>
      </c>
      <c r="P18" s="148">
        <f t="shared" si="7"/>
        <v>21801.488402710242</v>
      </c>
      <c r="Q18" s="7">
        <f>Y18*'LOAD DATA and INPUT SEASONAL'!$E$12*1000</f>
        <v>61337.561813056578</v>
      </c>
      <c r="R18" s="7"/>
      <c r="S18" s="7">
        <f t="shared" si="8"/>
        <v>61337.561813056578</v>
      </c>
      <c r="T18" s="154">
        <f>'Seasonal (WITH)'!T18</f>
        <v>3.5129694493571129</v>
      </c>
      <c r="U18" s="148"/>
      <c r="V18" s="170">
        <f t="shared" si="9"/>
        <v>3.5129694493571129</v>
      </c>
      <c r="W18" s="159">
        <f>'Seasonal (WITH)'!W18</f>
        <v>699.08092042206545</v>
      </c>
      <c r="X18" s="148">
        <f>'Seasonal (WITH)'!X18</f>
        <v>0</v>
      </c>
      <c r="Y18" s="148">
        <f t="shared" si="10"/>
        <v>702.59388987142256</v>
      </c>
      <c r="Z18" s="148">
        <f t="shared" si="11"/>
        <v>751.77546216242217</v>
      </c>
      <c r="AA18" s="148" t="b">
        <f t="shared" si="12"/>
        <v>1</v>
      </c>
      <c r="AB18" s="148">
        <f t="shared" si="13"/>
        <v>109.00744201355121</v>
      </c>
      <c r="AC18" s="148">
        <f t="shared" si="14"/>
        <v>21692.480960696692</v>
      </c>
      <c r="AD18" s="148">
        <f t="shared" si="14"/>
        <v>0</v>
      </c>
      <c r="AE18" s="148">
        <f t="shared" si="15"/>
        <v>21801.488402710242</v>
      </c>
      <c r="AF18" s="148">
        <f t="shared" si="16"/>
        <v>306.68780906528292</v>
      </c>
      <c r="AG18" s="148">
        <f t="shared" si="16"/>
        <v>61030.874003991295</v>
      </c>
      <c r="AH18" s="148">
        <f t="shared" si="16"/>
        <v>0</v>
      </c>
      <c r="AI18" s="148">
        <f t="shared" si="17"/>
        <v>61337.561813056578</v>
      </c>
      <c r="AJ18" s="148">
        <f t="shared" si="18"/>
        <v>415.69525107883413</v>
      </c>
      <c r="AK18" s="148">
        <f t="shared" si="18"/>
        <v>82723.354964687984</v>
      </c>
      <c r="AL18" s="148">
        <f t="shared" si="18"/>
        <v>0</v>
      </c>
      <c r="AM18" s="148">
        <f t="shared" si="19"/>
        <v>83139.050215766823</v>
      </c>
    </row>
    <row r="19" spans="1:39" s="66" customFormat="1" x14ac:dyDescent="0.25">
      <c r="A19" s="66">
        <v>15</v>
      </c>
      <c r="B19" s="7">
        <v>1000</v>
      </c>
      <c r="C19" s="148">
        <v>500</v>
      </c>
      <c r="D19" s="148">
        <v>100</v>
      </c>
      <c r="E19" s="148">
        <f t="shared" si="3"/>
        <v>750.41045858530003</v>
      </c>
      <c r="F19" s="148">
        <f t="shared" si="20"/>
        <v>0</v>
      </c>
      <c r="G19" s="148">
        <f t="shared" si="4"/>
        <v>0</v>
      </c>
      <c r="H19" s="148">
        <f t="shared" si="5"/>
        <v>750.41045858530003</v>
      </c>
      <c r="I19" s="148">
        <f>'Seasonal (WITH)'!I19</f>
        <v>29</v>
      </c>
      <c r="J19" s="148">
        <f>'Seasonal (WITH)'!J19</f>
        <v>33</v>
      </c>
      <c r="K19" s="148">
        <f>'Seasonal (WITH)'!K19</f>
        <v>40</v>
      </c>
      <c r="L19" s="148">
        <f t="shared" si="1"/>
        <v>31.03</v>
      </c>
      <c r="M19" s="148">
        <f t="shared" si="6"/>
        <v>21761.903298973702</v>
      </c>
      <c r="N19" s="148">
        <f t="shared" si="2"/>
        <v>0</v>
      </c>
      <c r="O19" s="148">
        <f t="shared" si="2"/>
        <v>0</v>
      </c>
      <c r="P19" s="148">
        <f t="shared" si="7"/>
        <v>21761.903298973702</v>
      </c>
      <c r="Q19" s="7">
        <f>Y19*'LOAD DATA and INPUT SEASONAL'!$E$12*1000</f>
        <v>61226.190804689344</v>
      </c>
      <c r="R19" s="7"/>
      <c r="S19" s="7">
        <f t="shared" si="8"/>
        <v>61226.190804689344</v>
      </c>
      <c r="T19" s="154">
        <f>'Seasonal (WITH)'!T19</f>
        <v>3.5065909279686918</v>
      </c>
      <c r="U19" s="148"/>
      <c r="V19" s="170">
        <f t="shared" si="9"/>
        <v>3.5065909279686918</v>
      </c>
      <c r="W19" s="159">
        <f>'Seasonal (WITH)'!W19</f>
        <v>697.81159466576969</v>
      </c>
      <c r="X19" s="148">
        <f>'Seasonal (WITH)'!X19</f>
        <v>0</v>
      </c>
      <c r="Y19" s="148">
        <f t="shared" si="10"/>
        <v>701.31818559373835</v>
      </c>
      <c r="Z19" s="148">
        <f t="shared" si="11"/>
        <v>750.41045858530003</v>
      </c>
      <c r="AA19" s="148" t="b">
        <f t="shared" si="12"/>
        <v>1</v>
      </c>
      <c r="AB19" s="148">
        <f>V19*L19</f>
        <v>108.8095164948685</v>
      </c>
      <c r="AC19" s="148">
        <f t="shared" si="14"/>
        <v>21653.093782478834</v>
      </c>
      <c r="AD19" s="148">
        <f t="shared" si="14"/>
        <v>0</v>
      </c>
      <c r="AE19" s="148">
        <f t="shared" si="15"/>
        <v>21761.903298973702</v>
      </c>
      <c r="AF19" s="148">
        <f t="shared" si="16"/>
        <v>306.13095402344675</v>
      </c>
      <c r="AG19" s="148">
        <f t="shared" si="16"/>
        <v>60920.059850665901</v>
      </c>
      <c r="AH19" s="148">
        <f t="shared" si="16"/>
        <v>0</v>
      </c>
      <c r="AI19" s="148">
        <f t="shared" si="17"/>
        <v>61226.190804689344</v>
      </c>
      <c r="AJ19" s="148">
        <f t="shared" si="18"/>
        <v>414.94047051831524</v>
      </c>
      <c r="AK19" s="148">
        <f t="shared" si="18"/>
        <v>82573.153633144742</v>
      </c>
      <c r="AL19" s="148">
        <f t="shared" si="18"/>
        <v>0</v>
      </c>
      <c r="AM19" s="148">
        <f t="shared" si="19"/>
        <v>82988.094103663054</v>
      </c>
    </row>
    <row r="20" spans="1:39" s="66" customFormat="1" x14ac:dyDescent="0.25">
      <c r="A20" s="66">
        <v>16</v>
      </c>
      <c r="B20" s="7">
        <v>1000</v>
      </c>
      <c r="C20" s="148">
        <v>500</v>
      </c>
      <c r="D20" s="148">
        <v>100</v>
      </c>
      <c r="E20" s="148">
        <f t="shared" si="3"/>
        <v>780.26797730594978</v>
      </c>
      <c r="F20" s="148">
        <f t="shared" si="20"/>
        <v>0</v>
      </c>
      <c r="G20" s="148">
        <f t="shared" si="4"/>
        <v>0</v>
      </c>
      <c r="H20" s="148">
        <f t="shared" si="5"/>
        <v>780.26797730594978</v>
      </c>
      <c r="I20" s="148">
        <f>'Seasonal (WITH)'!I20</f>
        <v>29</v>
      </c>
      <c r="J20" s="148">
        <f>'Seasonal (WITH)'!J20</f>
        <v>33</v>
      </c>
      <c r="K20" s="148">
        <f>'Seasonal (WITH)'!K20</f>
        <v>40</v>
      </c>
      <c r="L20" s="148">
        <f t="shared" si="1"/>
        <v>31.03</v>
      </c>
      <c r="M20" s="148">
        <f t="shared" si="6"/>
        <v>22627.771341872543</v>
      </c>
      <c r="N20" s="148">
        <f t="shared" si="2"/>
        <v>0</v>
      </c>
      <c r="O20" s="148">
        <f t="shared" si="2"/>
        <v>0</v>
      </c>
      <c r="P20" s="148">
        <f t="shared" si="7"/>
        <v>22627.771341872543</v>
      </c>
      <c r="Q20" s="7">
        <f>Y20*'LOAD DATA and INPUT SEASONAL'!$E$12*1000</f>
        <v>63662.273773990455</v>
      </c>
      <c r="R20" s="7"/>
      <c r="S20" s="7">
        <f t="shared" si="8"/>
        <v>63662.273773990455</v>
      </c>
      <c r="T20" s="154">
        <f>'Seasonal (WITH)'!T20</f>
        <v>3.6461120434857466</v>
      </c>
      <c r="U20" s="148"/>
      <c r="V20" s="170">
        <f t="shared" si="9"/>
        <v>3.6461120434857466</v>
      </c>
      <c r="W20" s="159">
        <f>'Seasonal (WITH)'!W20</f>
        <v>725.57629665366346</v>
      </c>
      <c r="X20" s="148">
        <f>'Seasonal (WITH)'!X20</f>
        <v>0</v>
      </c>
      <c r="Y20" s="148">
        <f t="shared" si="10"/>
        <v>729.22240869714926</v>
      </c>
      <c r="Z20" s="148">
        <f t="shared" si="11"/>
        <v>780.26797730594978</v>
      </c>
      <c r="AA20" s="148" t="b">
        <f t="shared" si="12"/>
        <v>1</v>
      </c>
      <c r="AB20" s="148">
        <f t="shared" si="13"/>
        <v>113.13885670936273</v>
      </c>
      <c r="AC20" s="148">
        <f t="shared" si="14"/>
        <v>22514.63248516318</v>
      </c>
      <c r="AD20" s="148">
        <f t="shared" si="14"/>
        <v>0</v>
      </c>
      <c r="AE20" s="148">
        <f t="shared" si="15"/>
        <v>22627.771341872543</v>
      </c>
      <c r="AF20" s="148">
        <f t="shared" si="16"/>
        <v>318.31136886995228</v>
      </c>
      <c r="AG20" s="148">
        <f t="shared" si="16"/>
        <v>63343.962405120496</v>
      </c>
      <c r="AH20" s="148">
        <f t="shared" si="16"/>
        <v>0</v>
      </c>
      <c r="AI20" s="148">
        <f t="shared" si="17"/>
        <v>63662.273773990448</v>
      </c>
      <c r="AJ20" s="148">
        <f t="shared" si="18"/>
        <v>431.45022557931497</v>
      </c>
      <c r="AK20" s="148">
        <f t="shared" si="18"/>
        <v>85858.594890283683</v>
      </c>
      <c r="AL20" s="148">
        <f t="shared" si="18"/>
        <v>0</v>
      </c>
      <c r="AM20" s="148">
        <f t="shared" si="19"/>
        <v>86290.045115863002</v>
      </c>
    </row>
    <row r="21" spans="1:39" s="66" customFormat="1" x14ac:dyDescent="0.25">
      <c r="A21" s="66">
        <v>17</v>
      </c>
      <c r="B21" s="7">
        <v>1000</v>
      </c>
      <c r="C21" s="148">
        <v>500</v>
      </c>
      <c r="D21" s="148">
        <v>100</v>
      </c>
      <c r="E21" s="148">
        <f t="shared" si="3"/>
        <v>853.96630536004807</v>
      </c>
      <c r="F21" s="148">
        <f t="shared" si="20"/>
        <v>0</v>
      </c>
      <c r="G21" s="148">
        <f t="shared" si="4"/>
        <v>0</v>
      </c>
      <c r="H21" s="148">
        <f>SUM(E21:G21)</f>
        <v>853.96630536004807</v>
      </c>
      <c r="I21" s="148">
        <f>'Seasonal (WITH)'!I21</f>
        <v>29</v>
      </c>
      <c r="J21" s="148">
        <f>'Seasonal (WITH)'!J21</f>
        <v>33</v>
      </c>
      <c r="K21" s="148">
        <f>'Seasonal (WITH)'!K21</f>
        <v>40</v>
      </c>
      <c r="L21" s="148">
        <f t="shared" si="1"/>
        <v>31.030000000000005</v>
      </c>
      <c r="M21" s="148">
        <f t="shared" si="6"/>
        <v>24765.022855441395</v>
      </c>
      <c r="N21" s="148">
        <f t="shared" si="6"/>
        <v>0</v>
      </c>
      <c r="O21" s="148">
        <f t="shared" si="6"/>
        <v>0</v>
      </c>
      <c r="P21" s="148">
        <f t="shared" si="7"/>
        <v>24765.022855441395</v>
      </c>
      <c r="Q21" s="7">
        <f>Y21*'LOAD DATA and INPUT SEASONAL'!$E$12*1000</f>
        <v>69675.340148269795</v>
      </c>
      <c r="R21" s="7"/>
      <c r="S21" s="7">
        <f t="shared" si="8"/>
        <v>69675.340148269795</v>
      </c>
      <c r="T21" s="154">
        <f>'Seasonal (WITH)'!T21</f>
        <v>3.990496754018916</v>
      </c>
      <c r="U21" s="148"/>
      <c r="V21" s="170">
        <f t="shared" si="9"/>
        <v>3.990496754018916</v>
      </c>
      <c r="W21" s="159">
        <f>'Seasonal (WITH)'!W21</f>
        <v>794.10885404976432</v>
      </c>
      <c r="X21" s="148">
        <f>'Seasonal (WITH)'!X21</f>
        <v>0</v>
      </c>
      <c r="Y21" s="148">
        <f t="shared" si="10"/>
        <v>798.09935080378318</v>
      </c>
      <c r="Z21" s="148">
        <f t="shared" si="11"/>
        <v>853.96630536004807</v>
      </c>
      <c r="AA21" s="148" t="b">
        <f t="shared" si="12"/>
        <v>1</v>
      </c>
      <c r="AB21" s="148">
        <f t="shared" si="13"/>
        <v>123.82511427720698</v>
      </c>
      <c r="AC21" s="148">
        <f t="shared" si="14"/>
        <v>24641.197741164189</v>
      </c>
      <c r="AD21" s="148">
        <f t="shared" si="14"/>
        <v>0</v>
      </c>
      <c r="AE21" s="148">
        <f t="shared" si="15"/>
        <v>24765.022855441395</v>
      </c>
      <c r="AF21" s="148">
        <f t="shared" si="16"/>
        <v>348.376700741349</v>
      </c>
      <c r="AG21" s="148">
        <f t="shared" si="16"/>
        <v>69326.963447528455</v>
      </c>
      <c r="AH21" s="148">
        <f t="shared" si="16"/>
        <v>0</v>
      </c>
      <c r="AI21" s="148">
        <f t="shared" si="17"/>
        <v>69675.34014826981</v>
      </c>
      <c r="AJ21" s="148">
        <f t="shared" si="18"/>
        <v>472.20181501855598</v>
      </c>
      <c r="AK21" s="148">
        <f t="shared" si="18"/>
        <v>93968.16118869264</v>
      </c>
      <c r="AL21" s="148">
        <f t="shared" si="18"/>
        <v>0</v>
      </c>
      <c r="AM21" s="148">
        <f t="shared" si="19"/>
        <v>94440.363003711202</v>
      </c>
    </row>
    <row r="22" spans="1:39" s="66" customFormat="1" x14ac:dyDescent="0.25">
      <c r="A22" s="66">
        <v>18</v>
      </c>
      <c r="B22" s="7">
        <v>1000</v>
      </c>
      <c r="C22" s="148">
        <v>500</v>
      </c>
      <c r="D22" s="148">
        <v>100</v>
      </c>
      <c r="E22" s="148">
        <f t="shared" si="3"/>
        <v>1000</v>
      </c>
      <c r="F22" s="148">
        <f t="shared" si="20"/>
        <v>18.749217348031038</v>
      </c>
      <c r="G22" s="148">
        <f t="shared" si="4"/>
        <v>0</v>
      </c>
      <c r="H22" s="148">
        <f t="shared" si="5"/>
        <v>1018.749217348031</v>
      </c>
      <c r="I22" s="148">
        <f>'Seasonal (WITH)'!I22</f>
        <v>29</v>
      </c>
      <c r="J22" s="148">
        <f>'Seasonal (WITH)'!J22</f>
        <v>33</v>
      </c>
      <c r="K22" s="148">
        <f>'Seasonal (WITH)'!K22</f>
        <v>40</v>
      </c>
      <c r="L22" s="148">
        <f t="shared" si="1"/>
        <v>31.108769778551064</v>
      </c>
      <c r="M22" s="148">
        <f t="shared" si="6"/>
        <v>29000</v>
      </c>
      <c r="N22" s="148">
        <f t="shared" si="6"/>
        <v>618.72417248502427</v>
      </c>
      <c r="O22" s="148">
        <f t="shared" si="6"/>
        <v>0</v>
      </c>
      <c r="P22" s="148">
        <f t="shared" si="7"/>
        <v>29618.724172485025</v>
      </c>
      <c r="Q22" s="7">
        <f>Y22*'LOAD DATA and INPUT SEASONAL'!$E$12*1000</f>
        <v>83120.022182351211</v>
      </c>
      <c r="R22" s="7"/>
      <c r="S22" s="7">
        <f t="shared" si="8"/>
        <v>83120.022182351211</v>
      </c>
      <c r="T22" s="154">
        <f>'Seasonal (WITH)'!T22</f>
        <v>4.7605103614393975</v>
      </c>
      <c r="U22" s="148"/>
      <c r="V22" s="170">
        <f t="shared" si="9"/>
        <v>4.7605103614393975</v>
      </c>
      <c r="W22" s="159">
        <f>'Seasonal (WITH)'!W22</f>
        <v>947.34156192644002</v>
      </c>
      <c r="X22" s="148">
        <f>'Seasonal (WITH)'!X22</f>
        <v>0</v>
      </c>
      <c r="Y22" s="148">
        <f t="shared" si="10"/>
        <v>952.10207228787942</v>
      </c>
      <c r="Z22" s="148">
        <f t="shared" si="11"/>
        <v>1018.749217348031</v>
      </c>
      <c r="AA22" s="148" t="b">
        <f t="shared" si="12"/>
        <v>1</v>
      </c>
      <c r="AB22" s="148">
        <f t="shared" si="13"/>
        <v>148.09362086242513</v>
      </c>
      <c r="AC22" s="148">
        <f t="shared" si="14"/>
        <v>29470.630551622598</v>
      </c>
      <c r="AD22" s="148">
        <f t="shared" si="14"/>
        <v>0</v>
      </c>
      <c r="AE22" s="148">
        <f t="shared" si="15"/>
        <v>29618.724172485025</v>
      </c>
      <c r="AF22" s="148">
        <f t="shared" si="16"/>
        <v>415.60011091175608</v>
      </c>
      <c r="AG22" s="148">
        <f t="shared" si="16"/>
        <v>82704.422071439461</v>
      </c>
      <c r="AH22" s="148">
        <f t="shared" si="16"/>
        <v>0</v>
      </c>
      <c r="AI22" s="148">
        <f t="shared" si="17"/>
        <v>83120.022182351211</v>
      </c>
      <c r="AJ22" s="148">
        <f t="shared" si="18"/>
        <v>563.69373177418117</v>
      </c>
      <c r="AK22" s="148">
        <f t="shared" si="18"/>
        <v>112175.05262306206</v>
      </c>
      <c r="AL22" s="148">
        <f t="shared" si="18"/>
        <v>0</v>
      </c>
      <c r="AM22" s="148">
        <f t="shared" si="19"/>
        <v>112738.74635483624</v>
      </c>
    </row>
    <row r="23" spans="1:39" s="66" customFormat="1" x14ac:dyDescent="0.25">
      <c r="A23" s="66">
        <v>19</v>
      </c>
      <c r="B23" s="7">
        <v>1000</v>
      </c>
      <c r="C23" s="148">
        <v>500</v>
      </c>
      <c r="D23" s="148">
        <v>100</v>
      </c>
      <c r="E23" s="148">
        <f t="shared" si="3"/>
        <v>1000</v>
      </c>
      <c r="F23" s="148">
        <f t="shared" si="20"/>
        <v>132.75435737916064</v>
      </c>
      <c r="G23" s="148">
        <f t="shared" si="4"/>
        <v>0</v>
      </c>
      <c r="H23" s="148">
        <f t="shared" si="5"/>
        <v>1132.7543573791606</v>
      </c>
      <c r="I23" s="148">
        <f>'Seasonal (WITH)'!I23</f>
        <v>29</v>
      </c>
      <c r="J23" s="148">
        <f>'Seasonal (WITH)'!J23</f>
        <v>33</v>
      </c>
      <c r="K23" s="148">
        <f>'Seasonal (WITH)'!K23</f>
        <v>40</v>
      </c>
      <c r="L23" s="148">
        <f t="shared" si="1"/>
        <v>31.531599173626152</v>
      </c>
      <c r="M23" s="148">
        <f t="shared" si="6"/>
        <v>29000</v>
      </c>
      <c r="N23" s="148">
        <f t="shared" si="6"/>
        <v>4380.8937935123013</v>
      </c>
      <c r="O23" s="148">
        <f t="shared" si="6"/>
        <v>0</v>
      </c>
      <c r="P23" s="148">
        <f t="shared" si="7"/>
        <v>33380.893793512303</v>
      </c>
      <c r="Q23" s="7">
        <f>Y23*'LOAD DATA and INPUT SEASONAL'!$E$12*1000</f>
        <v>92421.73216840392</v>
      </c>
      <c r="R23" s="7"/>
      <c r="S23" s="7">
        <f t="shared" si="8"/>
        <v>92421.73216840392</v>
      </c>
      <c r="T23" s="154">
        <f>'Seasonal (WITH)'!T23</f>
        <v>5.2932446606502834</v>
      </c>
      <c r="U23" s="148"/>
      <c r="V23" s="170">
        <f t="shared" si="9"/>
        <v>5.2932446606502834</v>
      </c>
      <c r="W23" s="159">
        <f>'Seasonal (WITH)'!W23</f>
        <v>1053.3556874694063</v>
      </c>
      <c r="X23" s="148">
        <f>'Seasonal (WITH)'!X23</f>
        <v>0</v>
      </c>
      <c r="Y23" s="148">
        <f t="shared" si="10"/>
        <v>1058.6489321300567</v>
      </c>
      <c r="Z23" s="148">
        <f t="shared" si="11"/>
        <v>1132.7543573791606</v>
      </c>
      <c r="AA23" s="148" t="b">
        <f t="shared" si="12"/>
        <v>1</v>
      </c>
      <c r="AB23" s="148">
        <f t="shared" si="13"/>
        <v>166.90446896756151</v>
      </c>
      <c r="AC23" s="148">
        <f t="shared" si="14"/>
        <v>33213.989324544738</v>
      </c>
      <c r="AD23" s="148">
        <f t="shared" si="14"/>
        <v>0</v>
      </c>
      <c r="AE23" s="148">
        <f t="shared" si="15"/>
        <v>33380.893793512303</v>
      </c>
      <c r="AF23" s="148">
        <f t="shared" si="16"/>
        <v>462.10866084201962</v>
      </c>
      <c r="AG23" s="148">
        <f t="shared" si="16"/>
        <v>91959.623507561904</v>
      </c>
      <c r="AH23" s="148">
        <f t="shared" si="16"/>
        <v>0</v>
      </c>
      <c r="AI23" s="148">
        <f t="shared" si="17"/>
        <v>92421.73216840392</v>
      </c>
      <c r="AJ23" s="148">
        <f t="shared" si="18"/>
        <v>629.01312980958119</v>
      </c>
      <c r="AK23" s="148">
        <f t="shared" si="18"/>
        <v>125173.61283210665</v>
      </c>
      <c r="AL23" s="148">
        <f t="shared" si="18"/>
        <v>0</v>
      </c>
      <c r="AM23" s="148">
        <f t="shared" si="19"/>
        <v>125802.62596191623</v>
      </c>
    </row>
    <row r="24" spans="1:39" s="66" customFormat="1" x14ac:dyDescent="0.25">
      <c r="A24" s="66">
        <v>20</v>
      </c>
      <c r="B24" s="7">
        <v>1000</v>
      </c>
      <c r="C24" s="148">
        <v>500</v>
      </c>
      <c r="D24" s="148">
        <v>100</v>
      </c>
      <c r="E24" s="148">
        <f t="shared" si="3"/>
        <v>1000</v>
      </c>
      <c r="F24" s="148">
        <f t="shared" si="20"/>
        <v>135.36935237251555</v>
      </c>
      <c r="G24" s="148">
        <f t="shared" si="4"/>
        <v>0</v>
      </c>
      <c r="H24" s="148">
        <f t="shared" si="5"/>
        <v>1135.3693523725156</v>
      </c>
      <c r="I24" s="148">
        <f>'Seasonal (WITH)'!I24</f>
        <v>29</v>
      </c>
      <c r="J24" s="148">
        <f>'Seasonal (WITH)'!J24</f>
        <v>33</v>
      </c>
      <c r="K24" s="148">
        <f>'Seasonal (WITH)'!K24</f>
        <v>40</v>
      </c>
      <c r="L24" s="148">
        <f t="shared" si="1"/>
        <v>31.540301627345912</v>
      </c>
      <c r="M24" s="148">
        <f t="shared" si="6"/>
        <v>29000</v>
      </c>
      <c r="N24" s="148">
        <f t="shared" si="6"/>
        <v>4467.1886282930136</v>
      </c>
      <c r="O24" s="148">
        <f t="shared" si="6"/>
        <v>0</v>
      </c>
      <c r="P24" s="148">
        <f t="shared" si="7"/>
        <v>33467.188628293014</v>
      </c>
      <c r="Q24" s="7">
        <f>Y24*'LOAD DATA and INPUT SEASONAL'!$E$12*1000</f>
        <v>92635.090312050117</v>
      </c>
      <c r="R24" s="7"/>
      <c r="S24" s="7">
        <f t="shared" si="8"/>
        <v>92635.090312050117</v>
      </c>
      <c r="T24" s="154">
        <f>'Seasonal (WITH)'!T24</f>
        <v>5.3054642634229694</v>
      </c>
      <c r="U24" s="148"/>
      <c r="V24" s="170">
        <f t="shared" si="9"/>
        <v>5.3054642634229694</v>
      </c>
      <c r="W24" s="159">
        <f>'Seasonal (WITH)'!W24</f>
        <v>1055.787388421171</v>
      </c>
      <c r="X24" s="148">
        <f>'Seasonal (WITH)'!X24</f>
        <v>0</v>
      </c>
      <c r="Y24" s="148">
        <f t="shared" si="10"/>
        <v>1061.0928526845939</v>
      </c>
      <c r="Z24" s="148">
        <f t="shared" si="11"/>
        <v>1135.3693523725156</v>
      </c>
      <c r="AA24" s="148" t="b">
        <f t="shared" si="12"/>
        <v>1</v>
      </c>
      <c r="AB24" s="148">
        <f t="shared" si="13"/>
        <v>167.33594314146507</v>
      </c>
      <c r="AC24" s="148">
        <f t="shared" si="14"/>
        <v>33299.852685151549</v>
      </c>
      <c r="AD24" s="148">
        <f t="shared" si="14"/>
        <v>0</v>
      </c>
      <c r="AE24" s="148">
        <f t="shared" si="15"/>
        <v>33467.188628293014</v>
      </c>
      <c r="AF24" s="148">
        <f t="shared" si="16"/>
        <v>463.17545156025051</v>
      </c>
      <c r="AG24" s="148">
        <f t="shared" si="16"/>
        <v>92171.914860489866</v>
      </c>
      <c r="AH24" s="148">
        <f t="shared" si="16"/>
        <v>0</v>
      </c>
      <c r="AI24" s="148">
        <f t="shared" si="17"/>
        <v>92635.090312050117</v>
      </c>
      <c r="AJ24" s="148">
        <f t="shared" si="18"/>
        <v>630.51139470171552</v>
      </c>
      <c r="AK24" s="148">
        <f t="shared" si="18"/>
        <v>125471.76754564141</v>
      </c>
      <c r="AL24" s="148">
        <f t="shared" si="18"/>
        <v>0</v>
      </c>
      <c r="AM24" s="148">
        <f t="shared" si="19"/>
        <v>126102.27894034312</v>
      </c>
    </row>
    <row r="25" spans="1:39" s="66" customFormat="1" x14ac:dyDescent="0.25">
      <c r="A25" s="66">
        <v>21</v>
      </c>
      <c r="B25" s="7">
        <v>1000</v>
      </c>
      <c r="C25" s="148">
        <v>500</v>
      </c>
      <c r="D25" s="148">
        <v>100</v>
      </c>
      <c r="E25" s="148">
        <f t="shared" si="3"/>
        <v>1000</v>
      </c>
      <c r="F25" s="148">
        <f t="shared" si="20"/>
        <v>125.22704942465657</v>
      </c>
      <c r="G25" s="148">
        <f>IF(SUM(E25,F25)&lt;Z25,IF(SUM(E25,F25,D25)&lt;Z25,D25,Z25-E25-F25),0)</f>
        <v>0</v>
      </c>
      <c r="H25" s="148">
        <f>SUM(E25:G25)</f>
        <v>1125.2270494246566</v>
      </c>
      <c r="I25" s="148">
        <f>'Seasonal (WITH)'!I25</f>
        <v>29</v>
      </c>
      <c r="J25" s="148">
        <f>'Seasonal (WITH)'!J25</f>
        <v>33</v>
      </c>
      <c r="K25" s="148">
        <f>'Seasonal (WITH)'!K25</f>
        <v>40</v>
      </c>
      <c r="L25" s="148">
        <f t="shared" si="1"/>
        <v>31.506323220110623</v>
      </c>
      <c r="M25" s="148">
        <f>E25*I25</f>
        <v>29000</v>
      </c>
      <c r="N25" s="148">
        <f t="shared" ref="N25:O28" si="21">F25*J25</f>
        <v>4132.4926310136671</v>
      </c>
      <c r="O25" s="148">
        <f t="shared" si="21"/>
        <v>0</v>
      </c>
      <c r="P25" s="148">
        <f>SUM(M25:O25)</f>
        <v>33132.492631013665</v>
      </c>
      <c r="Q25" s="7">
        <f>Y25*'LOAD DATA and INPUT SEASONAL'!$E$12*1000</f>
        <v>91807.577091278581</v>
      </c>
      <c r="R25" s="7"/>
      <c r="S25" s="7">
        <f t="shared" si="8"/>
        <v>91807.577091278581</v>
      </c>
      <c r="T25" s="154">
        <f>'Seasonal (WITH)'!T25</f>
        <v>5.258070324414283</v>
      </c>
      <c r="U25" s="148"/>
      <c r="V25" s="170">
        <f t="shared" si="9"/>
        <v>5.258070324414283</v>
      </c>
      <c r="W25" s="159">
        <f>'Seasonal (WITH)'!W25</f>
        <v>1046.3559945584423</v>
      </c>
      <c r="X25" s="148">
        <f>'Seasonal (WITH)'!X25</f>
        <v>0</v>
      </c>
      <c r="Y25" s="148">
        <f>SUM(V25:X25)</f>
        <v>1051.6140648828566</v>
      </c>
      <c r="Z25" s="148">
        <f>Y25*1.07</f>
        <v>1125.2270494246566</v>
      </c>
      <c r="AA25" s="148" t="b">
        <f>Z25=H25</f>
        <v>1</v>
      </c>
      <c r="AB25" s="148">
        <f>V25*L25</f>
        <v>165.66246315506831</v>
      </c>
      <c r="AC25" s="148">
        <f>W25*$L25</f>
        <v>32966.830167858592</v>
      </c>
      <c r="AD25" s="148">
        <f>X25*$L25</f>
        <v>0</v>
      </c>
      <c r="AE25" s="148">
        <f>SUM(AB25:AD25)</f>
        <v>33132.492631013658</v>
      </c>
      <c r="AF25" s="148">
        <f>$S25/$Y25*V25</f>
        <v>459.03788545639287</v>
      </c>
      <c r="AG25" s="148">
        <f t="shared" ref="AG25:AH28" si="22">$S25/$Y25*W25</f>
        <v>91348.539205822177</v>
      </c>
      <c r="AH25" s="148">
        <f t="shared" si="22"/>
        <v>0</v>
      </c>
      <c r="AI25" s="148">
        <f>SUM(AF25:AH25)</f>
        <v>91807.577091278567</v>
      </c>
      <c r="AJ25" s="148">
        <f>AB25+AF25</f>
        <v>624.70034861146121</v>
      </c>
      <c r="AK25" s="148">
        <f>AC25+AG25</f>
        <v>124315.36937368076</v>
      </c>
      <c r="AL25" s="148">
        <f>AD25+AH25</f>
        <v>0</v>
      </c>
      <c r="AM25" s="148">
        <f>SUM(AJ25:AL25)</f>
        <v>124940.06972229222</v>
      </c>
    </row>
    <row r="26" spans="1:39" s="66" customFormat="1" x14ac:dyDescent="0.25">
      <c r="A26" s="66">
        <v>22</v>
      </c>
      <c r="B26" s="7">
        <v>1000</v>
      </c>
      <c r="C26" s="148">
        <v>500</v>
      </c>
      <c r="D26" s="148">
        <v>100</v>
      </c>
      <c r="E26" s="148">
        <f t="shared" si="3"/>
        <v>1000</v>
      </c>
      <c r="F26" s="148">
        <f t="shared" si="20"/>
        <v>79.463503439707438</v>
      </c>
      <c r="G26" s="148">
        <f t="shared" ref="G26:G27" si="23">IF(SUM(E26,F26)&lt;Z26,IF(SUM(E26,F26,D26)&lt;Z26,D26,Z26-E26-F26),0)</f>
        <v>0</v>
      </c>
      <c r="H26" s="148">
        <f t="shared" ref="H26:H27" si="24">SUM(E26:G26)</f>
        <v>1079.4635034397074</v>
      </c>
      <c r="I26" s="148">
        <f>'Seasonal (WITH)'!I26</f>
        <v>29</v>
      </c>
      <c r="J26" s="148">
        <f>'Seasonal (WITH)'!J26</f>
        <v>33</v>
      </c>
      <c r="K26" s="148">
        <f>'Seasonal (WITH)'!K26</f>
        <v>40</v>
      </c>
      <c r="L26" s="148">
        <f t="shared" si="1"/>
        <v>31.34506743269986</v>
      </c>
      <c r="M26" s="148">
        <f t="shared" ref="M26:M27" si="25">E26*I26</f>
        <v>29000</v>
      </c>
      <c r="N26" s="148">
        <f t="shared" si="21"/>
        <v>2622.2956135103454</v>
      </c>
      <c r="O26" s="148">
        <f t="shared" si="21"/>
        <v>0</v>
      </c>
      <c r="P26" s="148">
        <f t="shared" ref="P26:P27" si="26">SUM(M26:O26)</f>
        <v>31622.295613510345</v>
      </c>
      <c r="Q26" s="7">
        <f>Y26*'LOAD DATA and INPUT SEASONAL'!$E$12*1000</f>
        <v>88073.717086640623</v>
      </c>
      <c r="R26" s="7"/>
      <c r="S26" s="7">
        <f t="shared" si="8"/>
        <v>88073.717086640623</v>
      </c>
      <c r="T26" s="154">
        <f>'Seasonal (WITH)'!T26</f>
        <v>5.0442219786902216</v>
      </c>
      <c r="U26" s="148"/>
      <c r="V26" s="170">
        <f t="shared" si="9"/>
        <v>5.0442219786902216</v>
      </c>
      <c r="W26" s="159">
        <f>'Seasonal (WITH)'!W26</f>
        <v>1003.8001737593542</v>
      </c>
      <c r="X26" s="148">
        <f>'Seasonal (WITH)'!X26</f>
        <v>0</v>
      </c>
      <c r="Y26" s="148">
        <f t="shared" ref="Y26:Y27" si="27">SUM(V26:X26)</f>
        <v>1008.8443957380443</v>
      </c>
      <c r="Z26" s="148">
        <f t="shared" si="11"/>
        <v>1079.4635034397074</v>
      </c>
      <c r="AA26" s="148" t="b">
        <f t="shared" ref="AA26:AA27" si="28">Z26=H26</f>
        <v>1</v>
      </c>
      <c r="AB26" s="148">
        <f t="shared" ref="AB26:AB27" si="29">V26*L26</f>
        <v>158.1114780675517</v>
      </c>
      <c r="AC26" s="148">
        <f t="shared" ref="AC26:AD27" si="30">W26*$L26</f>
        <v>31464.184135442792</v>
      </c>
      <c r="AD26" s="148">
        <f t="shared" si="30"/>
        <v>0</v>
      </c>
      <c r="AE26" s="148">
        <f t="shared" ref="AE26:AE27" si="31">SUM(AB26:AD26)</f>
        <v>31622.295613510345</v>
      </c>
      <c r="AF26" s="148">
        <f t="shared" ref="AF26:AF27" si="32">$S26/$Y26*V26</f>
        <v>440.36858543320307</v>
      </c>
      <c r="AG26" s="148">
        <f t="shared" si="22"/>
        <v>87633.348501207423</v>
      </c>
      <c r="AH26" s="148">
        <f t="shared" si="22"/>
        <v>0</v>
      </c>
      <c r="AI26" s="148">
        <f t="shared" ref="AI26:AI27" si="33">SUM(AF26:AH26)</f>
        <v>88073.717086640623</v>
      </c>
      <c r="AJ26" s="148">
        <f t="shared" ref="AJ26:AL27" si="34">AB26+AF26</f>
        <v>598.4800635007548</v>
      </c>
      <c r="AK26" s="148">
        <f t="shared" si="34"/>
        <v>119097.53263665021</v>
      </c>
      <c r="AL26" s="148">
        <f t="shared" si="34"/>
        <v>0</v>
      </c>
      <c r="AM26" s="148">
        <f t="shared" ref="AM26:AM27" si="35">SUM(AJ26:AL26)</f>
        <v>119696.01270015097</v>
      </c>
    </row>
    <row r="27" spans="1:39" s="66" customFormat="1" x14ac:dyDescent="0.25">
      <c r="A27" s="66">
        <v>23</v>
      </c>
      <c r="B27" s="7">
        <v>1000</v>
      </c>
      <c r="C27" s="148">
        <v>500</v>
      </c>
      <c r="D27" s="148">
        <v>100</v>
      </c>
      <c r="E27" s="148">
        <f t="shared" si="3"/>
        <v>915.04505669255047</v>
      </c>
      <c r="F27" s="148">
        <f t="shared" si="20"/>
        <v>0</v>
      </c>
      <c r="G27" s="148">
        <f t="shared" si="23"/>
        <v>0</v>
      </c>
      <c r="H27" s="148">
        <f t="shared" si="24"/>
        <v>915.04505669255047</v>
      </c>
      <c r="I27" s="148">
        <f>'Seasonal (WITH)'!I27</f>
        <v>29</v>
      </c>
      <c r="J27" s="148">
        <f>'Seasonal (WITH)'!J27</f>
        <v>33</v>
      </c>
      <c r="K27" s="148">
        <f>'Seasonal (WITH)'!K27</f>
        <v>40</v>
      </c>
      <c r="L27" s="148">
        <f t="shared" si="1"/>
        <v>31.030000000000005</v>
      </c>
      <c r="M27" s="148">
        <f t="shared" si="25"/>
        <v>26536.306644083965</v>
      </c>
      <c r="N27" s="148">
        <f t="shared" si="21"/>
        <v>0</v>
      </c>
      <c r="O27" s="148">
        <f t="shared" si="21"/>
        <v>0</v>
      </c>
      <c r="P27" s="148">
        <f t="shared" si="26"/>
        <v>26536.306644083965</v>
      </c>
      <c r="Q27" s="7">
        <f>Y27*'LOAD DATA and INPUT SEASONAL'!$E$12*1000</f>
        <v>74658.771869418808</v>
      </c>
      <c r="R27" s="7"/>
      <c r="S27" s="7">
        <f t="shared" si="8"/>
        <v>74658.771869418808</v>
      </c>
      <c r="T27" s="154">
        <f>'Seasonal (WITH)'!T27</f>
        <v>4.2759114798717306</v>
      </c>
      <c r="U27" s="148"/>
      <c r="V27" s="170">
        <f t="shared" si="9"/>
        <v>4.2759114798717306</v>
      </c>
      <c r="W27" s="159">
        <f>'Seasonal (WITH)'!W27</f>
        <v>850.90638449447442</v>
      </c>
      <c r="X27" s="148">
        <f>'Seasonal (WITH)'!X27</f>
        <v>0</v>
      </c>
      <c r="Y27" s="148">
        <f t="shared" si="27"/>
        <v>855.18229597434618</v>
      </c>
      <c r="Z27" s="148">
        <f t="shared" si="11"/>
        <v>915.04505669255047</v>
      </c>
      <c r="AA27" s="148" t="b">
        <f t="shared" si="28"/>
        <v>1</v>
      </c>
      <c r="AB27" s="148">
        <f t="shared" si="29"/>
        <v>132.68153322041982</v>
      </c>
      <c r="AC27" s="148">
        <f t="shared" si="30"/>
        <v>26403.625110863544</v>
      </c>
      <c r="AD27" s="148">
        <f t="shared" si="30"/>
        <v>0</v>
      </c>
      <c r="AE27" s="148">
        <f t="shared" si="31"/>
        <v>26536.306644083965</v>
      </c>
      <c r="AF27" s="148">
        <f t="shared" si="32"/>
        <v>373.29385934709398</v>
      </c>
      <c r="AG27" s="148">
        <f t="shared" si="22"/>
        <v>74285.478010071703</v>
      </c>
      <c r="AH27" s="148">
        <f t="shared" si="22"/>
        <v>0</v>
      </c>
      <c r="AI27" s="148">
        <f t="shared" si="33"/>
        <v>74658.771869418793</v>
      </c>
      <c r="AJ27" s="148">
        <f t="shared" si="34"/>
        <v>505.97539256751384</v>
      </c>
      <c r="AK27" s="148">
        <f t="shared" si="34"/>
        <v>100689.10312093525</v>
      </c>
      <c r="AL27" s="148">
        <f t="shared" si="34"/>
        <v>0</v>
      </c>
      <c r="AM27" s="148">
        <f t="shared" si="35"/>
        <v>101195.07851350277</v>
      </c>
    </row>
    <row r="28" spans="1:39" s="66" customFormat="1" x14ac:dyDescent="0.25">
      <c r="A28" s="66">
        <v>24</v>
      </c>
      <c r="B28" s="7">
        <v>1000</v>
      </c>
      <c r="C28" s="148">
        <v>500</v>
      </c>
      <c r="D28" s="148">
        <v>100</v>
      </c>
      <c r="E28" s="148">
        <f t="shared" si="3"/>
        <v>731.34735307306721</v>
      </c>
      <c r="F28" s="148">
        <f t="shared" si="20"/>
        <v>0</v>
      </c>
      <c r="G28" s="148">
        <f>IF(SUM(E28,F28)&lt;Z28,IF(SUM(E28,F28,D28)&lt;Z28,D28,Z28-E28-F28),0)</f>
        <v>0</v>
      </c>
      <c r="H28" s="148">
        <f>SUM(E28:G28)</f>
        <v>731.34735307306721</v>
      </c>
      <c r="I28" s="148">
        <f>'Seasonal (WITH)'!I28</f>
        <v>29</v>
      </c>
      <c r="J28" s="148">
        <f>'Seasonal (WITH)'!J28</f>
        <v>33</v>
      </c>
      <c r="K28" s="148">
        <f>'Seasonal (WITH)'!K28</f>
        <v>40</v>
      </c>
      <c r="L28" s="148">
        <f>P28/Y28</f>
        <v>31.029999999999998</v>
      </c>
      <c r="M28" s="148">
        <f>E28*I28</f>
        <v>21209.073239118949</v>
      </c>
      <c r="N28" s="148">
        <f t="shared" si="21"/>
        <v>0</v>
      </c>
      <c r="O28" s="148">
        <f t="shared" si="21"/>
        <v>0</v>
      </c>
      <c r="P28" s="148">
        <f>SUM(M28:O28)</f>
        <v>21209.073239118949</v>
      </c>
      <c r="Q28" s="7">
        <f>Y28*'LOAD DATA and INPUT SEASONAL'!$E$12*1000</f>
        <v>59670.826907413364</v>
      </c>
      <c r="R28" s="7"/>
      <c r="S28" s="7">
        <f t="shared" si="8"/>
        <v>59670.826907413364</v>
      </c>
      <c r="T28" s="154">
        <f>'Seasonal (WITH)'!T28</f>
        <v>3.4175109956685383</v>
      </c>
      <c r="U28" s="148"/>
      <c r="V28" s="170">
        <f t="shared" si="9"/>
        <v>3.4175109956685383</v>
      </c>
      <c r="W28" s="159">
        <f>'Seasonal (WITH)'!W28</f>
        <v>680.08468813803916</v>
      </c>
      <c r="X28" s="148">
        <f>'Seasonal (WITH)'!X28</f>
        <v>0</v>
      </c>
      <c r="Y28" s="148">
        <f>SUM(V28:X28)</f>
        <v>683.50219913370768</v>
      </c>
      <c r="Z28" s="148">
        <f>Y28*1.07</f>
        <v>731.34735307306721</v>
      </c>
      <c r="AA28" s="148" t="b">
        <f>Z28=H28</f>
        <v>1</v>
      </c>
      <c r="AB28" s="148">
        <f>V28*L28</f>
        <v>106.04536619559474</v>
      </c>
      <c r="AC28" s="148">
        <f>W28*$L28</f>
        <v>21103.027872923354</v>
      </c>
      <c r="AD28" s="148">
        <f>X28*$L28</f>
        <v>0</v>
      </c>
      <c r="AE28" s="148">
        <f>SUM(AB28:AD28)</f>
        <v>21209.073239118949</v>
      </c>
      <c r="AF28" s="148">
        <f>$S28/$Y28*V28</f>
        <v>298.35413453706678</v>
      </c>
      <c r="AG28" s="148">
        <f t="shared" si="22"/>
        <v>59372.472772876295</v>
      </c>
      <c r="AH28" s="148">
        <f t="shared" si="22"/>
        <v>0</v>
      </c>
      <c r="AI28" s="148">
        <f>SUM(AF28:AH28)</f>
        <v>59670.826907413364</v>
      </c>
      <c r="AJ28" s="148">
        <f>AB28+AF28</f>
        <v>404.39950073266152</v>
      </c>
      <c r="AK28" s="148">
        <f>AC28+AG28</f>
        <v>80475.50064579965</v>
      </c>
      <c r="AL28" s="148">
        <f>AD28+AH28</f>
        <v>0</v>
      </c>
      <c r="AM28" s="148">
        <f>SUM(AJ28:AL28)</f>
        <v>80879.900146532309</v>
      </c>
    </row>
    <row r="29" spans="1:39" s="66" customFormat="1" x14ac:dyDescent="0.25">
      <c r="A29" s="66" t="s">
        <v>30</v>
      </c>
      <c r="B29" s="147">
        <f t="shared" ref="B29:AA29" si="36">SUM(B5:B28)</f>
        <v>24000</v>
      </c>
      <c r="C29" s="147">
        <f t="shared" si="36"/>
        <v>12000</v>
      </c>
      <c r="D29" s="147">
        <f t="shared" si="36"/>
        <v>2400</v>
      </c>
      <c r="E29" s="147">
        <f t="shared" si="36"/>
        <v>18516.734984664454</v>
      </c>
      <c r="F29" s="147">
        <f t="shared" si="36"/>
        <v>491.56347996407123</v>
      </c>
      <c r="G29" s="147">
        <f t="shared" si="36"/>
        <v>0</v>
      </c>
      <c r="H29" s="147">
        <f t="shared" si="36"/>
        <v>19008.298464628529</v>
      </c>
      <c r="I29" s="147">
        <f t="shared" si="36"/>
        <v>696</v>
      </c>
      <c r="J29" s="147">
        <f t="shared" si="36"/>
        <v>792</v>
      </c>
      <c r="K29" s="147">
        <f t="shared" si="36"/>
        <v>960</v>
      </c>
      <c r="L29" s="147">
        <f t="shared" si="36"/>
        <v>746.60206123233343</v>
      </c>
      <c r="M29" s="147">
        <f t="shared" si="36"/>
        <v>536985.3145552692</v>
      </c>
      <c r="N29" s="147">
        <f t="shared" si="36"/>
        <v>16221.594838814352</v>
      </c>
      <c r="O29" s="147">
        <f t="shared" si="36"/>
        <v>0</v>
      </c>
      <c r="P29" s="147">
        <f t="shared" si="36"/>
        <v>553206.90939408343</v>
      </c>
      <c r="Q29" s="147">
        <f t="shared" si="36"/>
        <v>1550892.175546003</v>
      </c>
      <c r="R29" s="147">
        <f t="shared" si="36"/>
        <v>0</v>
      </c>
      <c r="S29" s="147">
        <f t="shared" si="36"/>
        <v>1550892.175546003</v>
      </c>
      <c r="T29" s="147">
        <f t="shared" si="36"/>
        <v>88.823824601067869</v>
      </c>
      <c r="U29" s="147">
        <f t="shared" si="36"/>
        <v>0</v>
      </c>
      <c r="V29" s="147">
        <f t="shared" si="36"/>
        <v>88.823824601067869</v>
      </c>
      <c r="W29" s="147">
        <f t="shared" si="36"/>
        <v>17675.941095612507</v>
      </c>
      <c r="X29" s="147">
        <f t="shared" si="36"/>
        <v>0</v>
      </c>
      <c r="Y29" s="147">
        <f t="shared" si="36"/>
        <v>17764.76492021358</v>
      </c>
      <c r="Z29" s="147">
        <f t="shared" si="36"/>
        <v>19008.298464628529</v>
      </c>
      <c r="AA29" s="147">
        <f t="shared" si="36"/>
        <v>0</v>
      </c>
      <c r="AB29" s="147">
        <f t="shared" ref="AB29:AL29" si="37">SUM(AB5:AB28)</f>
        <v>2766.034546970418</v>
      </c>
      <c r="AC29" s="147">
        <f t="shared" si="37"/>
        <v>550440.87484711315</v>
      </c>
      <c r="AD29" s="147">
        <f t="shared" si="37"/>
        <v>0</v>
      </c>
      <c r="AE29" s="147">
        <f t="shared" si="37"/>
        <v>553206.90939408343</v>
      </c>
      <c r="AF29" s="147">
        <f t="shared" si="37"/>
        <v>7754.4608777300164</v>
      </c>
      <c r="AG29" s="147">
        <f t="shared" si="37"/>
        <v>1543137.7146682728</v>
      </c>
      <c r="AH29" s="147">
        <f t="shared" si="37"/>
        <v>0</v>
      </c>
      <c r="AI29" s="147">
        <f t="shared" si="37"/>
        <v>1550892.1755460028</v>
      </c>
      <c r="AJ29" s="147">
        <f t="shared" si="37"/>
        <v>10520.495424700432</v>
      </c>
      <c r="AK29" s="147">
        <f t="shared" si="37"/>
        <v>2093578.5895153857</v>
      </c>
      <c r="AL29" s="147">
        <f t="shared" si="37"/>
        <v>0</v>
      </c>
      <c r="AM29" s="147">
        <f>SUM(AM5:AM28)</f>
        <v>2104099.0849400866</v>
      </c>
    </row>
    <row r="30" spans="1:39" x14ac:dyDescent="0.25"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2"/>
      <c r="S30" s="151"/>
    </row>
    <row r="31" spans="1:39" s="66" customFormat="1" x14ac:dyDescent="0.25">
      <c r="A31" s="66" t="s">
        <v>32</v>
      </c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53"/>
      <c r="S31" s="148"/>
      <c r="T31" s="144"/>
      <c r="U31" s="144"/>
      <c r="V31" s="146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</row>
    <row r="32" spans="1:39" s="66" customFormat="1" x14ac:dyDescent="0.25">
      <c r="A32" s="66">
        <v>1</v>
      </c>
      <c r="B32" s="148">
        <f>B5</f>
        <v>1000</v>
      </c>
      <c r="C32" s="148">
        <f t="shared" ref="C32:D32" si="38">C5</f>
        <v>500</v>
      </c>
      <c r="D32" s="148">
        <f t="shared" si="38"/>
        <v>100</v>
      </c>
      <c r="E32" s="148">
        <f>IF(B32&lt;Z32,B32,Z32)</f>
        <v>497.37192071728452</v>
      </c>
      <c r="F32" s="148">
        <f t="shared" ref="F32:F41" si="39">IF(C32&lt;Z32-E32,C32,Z32-E32)</f>
        <v>0</v>
      </c>
      <c r="G32" s="148">
        <f>IF(SUM(E32,F32)&lt;Z32,IF(SUM(E32,F32,D32)&lt;Z32,D32,Z32-E32-F32),0)</f>
        <v>0</v>
      </c>
      <c r="H32" s="148">
        <f>SUM(E32:G32)</f>
        <v>497.37192071728452</v>
      </c>
      <c r="I32" s="148">
        <f>'Seasonal (WITH)'!I32</f>
        <v>29</v>
      </c>
      <c r="J32" s="148">
        <f>'Seasonal (WITH)'!J32</f>
        <v>33</v>
      </c>
      <c r="K32" s="148">
        <f>'Seasonal (WITH)'!K32</f>
        <v>40</v>
      </c>
      <c r="L32" s="148">
        <f t="shared" ref="L32:L54" si="40">P32/Y32</f>
        <v>31.029999999999998</v>
      </c>
      <c r="M32" s="148">
        <f>E32*I32</f>
        <v>14423.785700801251</v>
      </c>
      <c r="N32" s="148">
        <f t="shared" ref="N32:N55" si="41">F32*J32</f>
        <v>0</v>
      </c>
      <c r="O32" s="148">
        <f t="shared" ref="O32:O55" si="42">G32*K32</f>
        <v>0</v>
      </c>
      <c r="P32" s="148">
        <f>SUM(M32:O32)</f>
        <v>14423.785700801251</v>
      </c>
      <c r="Q32" s="7">
        <f>Y32*'LOAD DATA and INPUT SEASONAL'!$E$12*1000</f>
        <v>40580.708558008126</v>
      </c>
      <c r="R32" s="153"/>
      <c r="S32" s="148">
        <f>Q32+R32</f>
        <v>40580.708558008126</v>
      </c>
      <c r="T32" s="154">
        <f>'Seasonal (WITH)'!T32</f>
        <v>2.3241678538190866</v>
      </c>
      <c r="U32" s="148"/>
      <c r="V32" s="148">
        <f>T32-U32</f>
        <v>2.3241678538190866</v>
      </c>
      <c r="W32" s="148">
        <f>'Seasonal (WITH)'!W32</f>
        <v>462.50940290999824</v>
      </c>
      <c r="X32" s="148">
        <f>'Seasonal (WITH)'!X32</f>
        <v>0</v>
      </c>
      <c r="Y32" s="148">
        <f>SUM(V32:X32)</f>
        <v>464.83357076381731</v>
      </c>
      <c r="Z32" s="148">
        <f>Y32*1.07</f>
        <v>497.37192071728452</v>
      </c>
      <c r="AA32" s="148" t="b">
        <f>Z32=H32</f>
        <v>1</v>
      </c>
      <c r="AB32" s="148">
        <f>V32*L32</f>
        <v>72.118928504006249</v>
      </c>
      <c r="AC32" s="148">
        <f>W32*$L32</f>
        <v>14351.666772297245</v>
      </c>
      <c r="AD32" s="148">
        <f>X32*$L32</f>
        <v>0</v>
      </c>
      <c r="AE32" s="148">
        <f>SUM(AB32:AD32)</f>
        <v>14423.785700801251</v>
      </c>
      <c r="AF32" s="148">
        <f>$S32/$Y32*V32</f>
        <v>202.90354279004066</v>
      </c>
      <c r="AG32" s="148">
        <f>$S32/$Y32*W32</f>
        <v>40377.805015218088</v>
      </c>
      <c r="AH32" s="148">
        <f>$S32/$Y32*X32</f>
        <v>0</v>
      </c>
      <c r="AI32" s="148">
        <f>SUM(AF32:AH32)</f>
        <v>40580.708558008126</v>
      </c>
      <c r="AJ32" s="148">
        <f>AB32+AF32</f>
        <v>275.02247129404691</v>
      </c>
      <c r="AK32" s="148">
        <f>AC32+AG32</f>
        <v>54729.471787515329</v>
      </c>
      <c r="AL32" s="148">
        <f>AD32+AH32</f>
        <v>0</v>
      </c>
      <c r="AM32" s="148">
        <f>SUM(AJ32:AL32)</f>
        <v>55004.494258809376</v>
      </c>
    </row>
    <row r="33" spans="1:39" s="66" customFormat="1" x14ac:dyDescent="0.25">
      <c r="A33" s="66">
        <v>2</v>
      </c>
      <c r="B33" s="148">
        <f t="shared" ref="B33:D48" si="43">B6</f>
        <v>1000</v>
      </c>
      <c r="C33" s="148">
        <f t="shared" si="43"/>
        <v>500</v>
      </c>
      <c r="D33" s="148">
        <f t="shared" si="43"/>
        <v>100</v>
      </c>
      <c r="E33" s="148">
        <f t="shared" ref="E33:E55" si="44">IF(B33&lt;Z33,B33,Z33)</f>
        <v>447.86888320325966</v>
      </c>
      <c r="F33" s="148">
        <f t="shared" si="39"/>
        <v>0</v>
      </c>
      <c r="G33" s="148">
        <f t="shared" ref="G33:G51" si="45">IF(SUM(E33,F33)&lt;Z33,IF(SUM(E33,F33,D33)&lt;Z33,D33,Z33-E33-F33),0)</f>
        <v>0</v>
      </c>
      <c r="H33" s="148">
        <f t="shared" ref="H33:H47" si="46">SUM(E33:G33)</f>
        <v>447.86888320325966</v>
      </c>
      <c r="I33" s="148">
        <f>'Seasonal (WITH)'!I33</f>
        <v>29</v>
      </c>
      <c r="J33" s="148">
        <f>'Seasonal (WITH)'!J33</f>
        <v>33</v>
      </c>
      <c r="K33" s="148">
        <f>'Seasonal (WITH)'!K33</f>
        <v>40</v>
      </c>
      <c r="L33" s="148">
        <f t="shared" si="40"/>
        <v>31.03</v>
      </c>
      <c r="M33" s="148">
        <f t="shared" ref="M33:M51" si="47">E33*I33</f>
        <v>12988.19761289453</v>
      </c>
      <c r="N33" s="148">
        <f t="shared" si="41"/>
        <v>0</v>
      </c>
      <c r="O33" s="148">
        <f t="shared" si="42"/>
        <v>0</v>
      </c>
      <c r="P33" s="148">
        <f t="shared" ref="P33:P51" si="48">SUM(M33:O33)</f>
        <v>12988.19761289453</v>
      </c>
      <c r="Q33" s="7">
        <f>Y33*'LOAD DATA and INPUT SEASONAL'!$E$12*1000</f>
        <v>36541.742435441942</v>
      </c>
      <c r="R33" s="153"/>
      <c r="S33" s="148">
        <f t="shared" ref="S33:S55" si="49">Q33+R33</f>
        <v>36541.742435441942</v>
      </c>
      <c r="T33" s="154">
        <f>'Seasonal (WITH)'!T33</f>
        <v>2.0928452486133629</v>
      </c>
      <c r="U33" s="148"/>
      <c r="V33" s="148">
        <f t="shared" ref="V33:V55" si="50">T33-U33</f>
        <v>2.0928452486133629</v>
      </c>
      <c r="W33" s="148">
        <f>'Seasonal (WITH)'!W33</f>
        <v>416.47620447405922</v>
      </c>
      <c r="X33" s="148">
        <f>'Seasonal (WITH)'!X33</f>
        <v>0</v>
      </c>
      <c r="Y33" s="148">
        <f t="shared" ref="Y33:Y51" si="51">SUM(V33:X33)</f>
        <v>418.56904972267256</v>
      </c>
      <c r="Z33" s="148">
        <f t="shared" ref="Z33:Z51" si="52">Y33*1.07</f>
        <v>447.86888320325966</v>
      </c>
      <c r="AA33" s="148" t="b">
        <f t="shared" ref="AA33:AA51" si="53">Z33=H33</f>
        <v>1</v>
      </c>
      <c r="AB33" s="148">
        <f t="shared" ref="AB33:AB45" si="54">V33*L33</f>
        <v>64.940988064472648</v>
      </c>
      <c r="AC33" s="148">
        <f t="shared" ref="AC33:AC51" si="55">W33*$L33</f>
        <v>12923.256624830057</v>
      </c>
      <c r="AD33" s="148">
        <f t="shared" ref="AD33:AD51" si="56">X33*$L33</f>
        <v>0</v>
      </c>
      <c r="AE33" s="148">
        <f t="shared" ref="AE33:AE51" si="57">SUM(AB33:AD33)</f>
        <v>12988.19761289453</v>
      </c>
      <c r="AF33" s="148">
        <f t="shared" ref="AF33:AF51" si="58">$S33/$Y33*V33</f>
        <v>182.70871217720972</v>
      </c>
      <c r="AG33" s="148">
        <f t="shared" ref="AG33:AG55" si="59">$S33/$Y33*W33</f>
        <v>36359.033723264736</v>
      </c>
      <c r="AH33" s="148">
        <f t="shared" ref="AH33:AH55" si="60">$S33/$Y33*X33</f>
        <v>0</v>
      </c>
      <c r="AI33" s="148">
        <f t="shared" ref="AI33:AI51" si="61">SUM(AF33:AH33)</f>
        <v>36541.742435441949</v>
      </c>
      <c r="AJ33" s="148">
        <f t="shared" ref="AJ33:AJ51" si="62">AB33+AF33</f>
        <v>247.64970024168235</v>
      </c>
      <c r="AK33" s="148">
        <f t="shared" ref="AK33:AK51" si="63">AC33+AG33</f>
        <v>49282.290348094793</v>
      </c>
      <c r="AL33" s="148">
        <f t="shared" ref="AL33:AL51" si="64">AD33+AH33</f>
        <v>0</v>
      </c>
      <c r="AM33" s="148">
        <f t="shared" ref="AM33:AM51" si="65">SUM(AJ33:AL33)</f>
        <v>49529.940048336473</v>
      </c>
    </row>
    <row r="34" spans="1:39" s="66" customFormat="1" x14ac:dyDescent="0.25">
      <c r="A34" s="66">
        <v>3</v>
      </c>
      <c r="B34" s="148">
        <f t="shared" si="43"/>
        <v>1000</v>
      </c>
      <c r="C34" s="148">
        <f t="shared" si="43"/>
        <v>500</v>
      </c>
      <c r="D34" s="148">
        <f t="shared" si="43"/>
        <v>100</v>
      </c>
      <c r="E34" s="148">
        <f t="shared" si="44"/>
        <v>422.20314039359914</v>
      </c>
      <c r="F34" s="148">
        <f t="shared" si="39"/>
        <v>0</v>
      </c>
      <c r="G34" s="148">
        <f t="shared" si="45"/>
        <v>0</v>
      </c>
      <c r="H34" s="148">
        <f t="shared" si="46"/>
        <v>422.20314039359914</v>
      </c>
      <c r="I34" s="148">
        <f>'Seasonal (WITH)'!I34</f>
        <v>29</v>
      </c>
      <c r="J34" s="148">
        <f>'Seasonal (WITH)'!J34</f>
        <v>33</v>
      </c>
      <c r="K34" s="148">
        <f>'Seasonal (WITH)'!K34</f>
        <v>40</v>
      </c>
      <c r="L34" s="148">
        <f t="shared" si="40"/>
        <v>31.03</v>
      </c>
      <c r="M34" s="148">
        <f t="shared" si="47"/>
        <v>12243.891071414375</v>
      </c>
      <c r="N34" s="148">
        <f t="shared" si="41"/>
        <v>0</v>
      </c>
      <c r="O34" s="148">
        <f t="shared" si="42"/>
        <v>0</v>
      </c>
      <c r="P34" s="148">
        <f t="shared" si="48"/>
        <v>12243.891071414375</v>
      </c>
      <c r="Q34" s="7">
        <f>Y34*'LOAD DATA and INPUT SEASONAL'!$E$12*1000</f>
        <v>34447.667588229859</v>
      </c>
      <c r="R34" s="153"/>
      <c r="S34" s="148">
        <f t="shared" si="49"/>
        <v>34447.667588229859</v>
      </c>
      <c r="T34" s="154">
        <f>'Seasonal (WITH)'!T34</f>
        <v>1.9729118709981268</v>
      </c>
      <c r="U34" s="148"/>
      <c r="V34" s="148">
        <f t="shared" si="50"/>
        <v>1.9729118709981268</v>
      </c>
      <c r="W34" s="148">
        <f>'Seasonal (WITH)'!W34</f>
        <v>392.60946232862722</v>
      </c>
      <c r="X34" s="148">
        <f>'Seasonal (WITH)'!X34</f>
        <v>0</v>
      </c>
      <c r="Y34" s="148">
        <f t="shared" si="51"/>
        <v>394.58237419962535</v>
      </c>
      <c r="Z34" s="148">
        <f t="shared" si="52"/>
        <v>422.20314039359914</v>
      </c>
      <c r="AA34" s="148" t="b">
        <f t="shared" si="53"/>
        <v>1</v>
      </c>
      <c r="AB34" s="148">
        <f t="shared" si="54"/>
        <v>61.21945535707188</v>
      </c>
      <c r="AC34" s="148">
        <f t="shared" si="55"/>
        <v>12182.671616057303</v>
      </c>
      <c r="AD34" s="148">
        <f t="shared" si="56"/>
        <v>0</v>
      </c>
      <c r="AE34" s="148">
        <f t="shared" si="57"/>
        <v>12243.891071414375</v>
      </c>
      <c r="AF34" s="148">
        <f t="shared" si="58"/>
        <v>172.2383379411493</v>
      </c>
      <c r="AG34" s="148">
        <f t="shared" si="59"/>
        <v>34275.429250288711</v>
      </c>
      <c r="AH34" s="148">
        <f t="shared" si="60"/>
        <v>0</v>
      </c>
      <c r="AI34" s="148">
        <f t="shared" si="61"/>
        <v>34447.667588229859</v>
      </c>
      <c r="AJ34" s="148">
        <f t="shared" si="62"/>
        <v>233.45779329822119</v>
      </c>
      <c r="AK34" s="148">
        <f t="shared" si="63"/>
        <v>46458.100866346016</v>
      </c>
      <c r="AL34" s="148">
        <f t="shared" si="64"/>
        <v>0</v>
      </c>
      <c r="AM34" s="148">
        <f t="shared" si="65"/>
        <v>46691.558659644237</v>
      </c>
    </row>
    <row r="35" spans="1:39" s="66" customFormat="1" x14ac:dyDescent="0.25">
      <c r="A35" s="66">
        <v>4</v>
      </c>
      <c r="B35" s="148">
        <f t="shared" si="43"/>
        <v>1000</v>
      </c>
      <c r="C35" s="148">
        <f t="shared" si="43"/>
        <v>500</v>
      </c>
      <c r="D35" s="148">
        <f t="shared" si="43"/>
        <v>100</v>
      </c>
      <c r="E35" s="148">
        <f t="shared" si="44"/>
        <v>420.90310106921379</v>
      </c>
      <c r="F35" s="148">
        <f t="shared" si="39"/>
        <v>0</v>
      </c>
      <c r="G35" s="148">
        <f t="shared" si="45"/>
        <v>0</v>
      </c>
      <c r="H35" s="148">
        <f t="shared" si="46"/>
        <v>420.90310106921379</v>
      </c>
      <c r="I35" s="148">
        <f>'Seasonal (WITH)'!I35</f>
        <v>29</v>
      </c>
      <c r="J35" s="148">
        <f>'Seasonal (WITH)'!J35</f>
        <v>33</v>
      </c>
      <c r="K35" s="148">
        <f>'Seasonal (WITH)'!K35</f>
        <v>40</v>
      </c>
      <c r="L35" s="148">
        <f t="shared" si="40"/>
        <v>31.030000000000005</v>
      </c>
      <c r="M35" s="148">
        <f t="shared" si="47"/>
        <v>12206.1899310072</v>
      </c>
      <c r="N35" s="148">
        <f t="shared" si="41"/>
        <v>0</v>
      </c>
      <c r="O35" s="148">
        <f t="shared" si="42"/>
        <v>0</v>
      </c>
      <c r="P35" s="148">
        <f t="shared" si="48"/>
        <v>12206.1899310072</v>
      </c>
      <c r="Q35" s="7">
        <f>Y35*'LOAD DATA and INPUT SEASONAL'!$E$12*1000</f>
        <v>34341.597030686622</v>
      </c>
      <c r="R35" s="153"/>
      <c r="S35" s="148">
        <f t="shared" si="49"/>
        <v>34341.597030686622</v>
      </c>
      <c r="T35" s="154">
        <f>'Seasonal (WITH)'!T35</f>
        <v>1.9668369208841765</v>
      </c>
      <c r="U35" s="148"/>
      <c r="V35" s="148">
        <f t="shared" si="50"/>
        <v>1.9668369208841765</v>
      </c>
      <c r="W35" s="148">
        <f>'Seasonal (WITH)'!W35</f>
        <v>391.4005472559511</v>
      </c>
      <c r="X35" s="148">
        <f>'Seasonal (WITH)'!X35</f>
        <v>0</v>
      </c>
      <c r="Y35" s="148">
        <f t="shared" si="51"/>
        <v>393.36738417683529</v>
      </c>
      <c r="Z35" s="148">
        <f t="shared" si="52"/>
        <v>420.90310106921379</v>
      </c>
      <c r="AA35" s="148" t="b">
        <f t="shared" si="53"/>
        <v>1</v>
      </c>
      <c r="AB35" s="148">
        <f t="shared" si="54"/>
        <v>61.030949655036004</v>
      </c>
      <c r="AC35" s="148">
        <f t="shared" si="55"/>
        <v>12145.158981352164</v>
      </c>
      <c r="AD35" s="148">
        <f t="shared" si="56"/>
        <v>0</v>
      </c>
      <c r="AE35" s="148">
        <f t="shared" si="57"/>
        <v>12206.1899310072</v>
      </c>
      <c r="AF35" s="148">
        <f t="shared" si="58"/>
        <v>171.70798515343313</v>
      </c>
      <c r="AG35" s="148">
        <f t="shared" si="59"/>
        <v>34169.889045533186</v>
      </c>
      <c r="AH35" s="148">
        <f t="shared" si="60"/>
        <v>0</v>
      </c>
      <c r="AI35" s="148">
        <f t="shared" si="61"/>
        <v>34341.597030686622</v>
      </c>
      <c r="AJ35" s="148">
        <f t="shared" si="62"/>
        <v>232.73893480846914</v>
      </c>
      <c r="AK35" s="148">
        <f t="shared" si="63"/>
        <v>46315.04802688535</v>
      </c>
      <c r="AL35" s="148">
        <f t="shared" si="64"/>
        <v>0</v>
      </c>
      <c r="AM35" s="148">
        <f t="shared" si="65"/>
        <v>46547.786961693819</v>
      </c>
    </row>
    <row r="36" spans="1:39" s="66" customFormat="1" x14ac:dyDescent="0.25">
      <c r="A36" s="66">
        <v>5</v>
      </c>
      <c r="B36" s="148">
        <f t="shared" si="43"/>
        <v>1000</v>
      </c>
      <c r="C36" s="148">
        <f t="shared" si="43"/>
        <v>500</v>
      </c>
      <c r="D36" s="148">
        <f t="shared" si="43"/>
        <v>100</v>
      </c>
      <c r="E36" s="148">
        <f t="shared" si="44"/>
        <v>445.0074549140262</v>
      </c>
      <c r="F36" s="148">
        <f t="shared" si="39"/>
        <v>0</v>
      </c>
      <c r="G36" s="148">
        <f t="shared" si="45"/>
        <v>0</v>
      </c>
      <c r="H36" s="148">
        <f t="shared" si="46"/>
        <v>445.0074549140262</v>
      </c>
      <c r="I36" s="148">
        <f>'Seasonal (WITH)'!I36</f>
        <v>29</v>
      </c>
      <c r="J36" s="148">
        <f>'Seasonal (WITH)'!J36</f>
        <v>33</v>
      </c>
      <c r="K36" s="148">
        <f>'Seasonal (WITH)'!K36</f>
        <v>40</v>
      </c>
      <c r="L36" s="148">
        <f t="shared" si="40"/>
        <v>31.03</v>
      </c>
      <c r="M36" s="148">
        <f t="shared" si="47"/>
        <v>12905.216192506759</v>
      </c>
      <c r="N36" s="148">
        <f t="shared" si="41"/>
        <v>0</v>
      </c>
      <c r="O36" s="148">
        <f t="shared" si="42"/>
        <v>0</v>
      </c>
      <c r="P36" s="148">
        <f t="shared" si="48"/>
        <v>12905.216192506759</v>
      </c>
      <c r="Q36" s="7">
        <f>Y36*'LOAD DATA and INPUT SEASONAL'!$E$12*1000</f>
        <v>36308.277733016512</v>
      </c>
      <c r="R36" s="153"/>
      <c r="S36" s="148">
        <f t="shared" si="49"/>
        <v>36308.277733016512</v>
      </c>
      <c r="T36" s="154">
        <f>'Seasonal (WITH)'!T36</f>
        <v>2.0794740883832996</v>
      </c>
      <c r="U36" s="148"/>
      <c r="V36" s="148">
        <f t="shared" si="50"/>
        <v>2.0794740883832996</v>
      </c>
      <c r="W36" s="148">
        <f>'Seasonal (WITH)'!W36</f>
        <v>413.81534358827668</v>
      </c>
      <c r="X36" s="148">
        <f>'Seasonal (WITH)'!X36</f>
        <v>0</v>
      </c>
      <c r="Y36" s="148">
        <f t="shared" si="51"/>
        <v>415.89481767665995</v>
      </c>
      <c r="Z36" s="148">
        <f t="shared" si="52"/>
        <v>445.0074549140262</v>
      </c>
      <c r="AA36" s="148" t="b">
        <f t="shared" si="53"/>
        <v>1</v>
      </c>
      <c r="AB36" s="148">
        <f t="shared" si="54"/>
        <v>64.526080962533783</v>
      </c>
      <c r="AC36" s="148">
        <f t="shared" si="55"/>
        <v>12840.690111544225</v>
      </c>
      <c r="AD36" s="148">
        <f t="shared" si="56"/>
        <v>0</v>
      </c>
      <c r="AE36" s="148">
        <f t="shared" si="57"/>
        <v>12905.216192506759</v>
      </c>
      <c r="AF36" s="148">
        <f t="shared" si="58"/>
        <v>181.54138866508254</v>
      </c>
      <c r="AG36" s="148">
        <f t="shared" si="59"/>
        <v>36126.736344351426</v>
      </c>
      <c r="AH36" s="148">
        <f t="shared" si="60"/>
        <v>0</v>
      </c>
      <c r="AI36" s="148">
        <f t="shared" si="61"/>
        <v>36308.277733016512</v>
      </c>
      <c r="AJ36" s="148">
        <f t="shared" si="62"/>
        <v>246.06746962761633</v>
      </c>
      <c r="AK36" s="148">
        <f t="shared" si="63"/>
        <v>48967.426455895649</v>
      </c>
      <c r="AL36" s="148">
        <f t="shared" si="64"/>
        <v>0</v>
      </c>
      <c r="AM36" s="148">
        <f t="shared" si="65"/>
        <v>49213.493925523268</v>
      </c>
    </row>
    <row r="37" spans="1:39" s="66" customFormat="1" x14ac:dyDescent="0.25">
      <c r="A37" s="66">
        <v>6</v>
      </c>
      <c r="B37" s="148">
        <f t="shared" si="43"/>
        <v>1000</v>
      </c>
      <c r="C37" s="148">
        <f t="shared" si="43"/>
        <v>500</v>
      </c>
      <c r="D37" s="148">
        <f t="shared" si="43"/>
        <v>100</v>
      </c>
      <c r="E37" s="148">
        <f t="shared" si="44"/>
        <v>489.94898692933418</v>
      </c>
      <c r="F37" s="148">
        <f t="shared" si="39"/>
        <v>0</v>
      </c>
      <c r="G37" s="148">
        <f t="shared" si="45"/>
        <v>0</v>
      </c>
      <c r="H37" s="148">
        <f t="shared" si="46"/>
        <v>489.94898692933418</v>
      </c>
      <c r="I37" s="148">
        <f>'Seasonal (WITH)'!I37</f>
        <v>29</v>
      </c>
      <c r="J37" s="148">
        <f>'Seasonal (WITH)'!J37</f>
        <v>33</v>
      </c>
      <c r="K37" s="148">
        <f>'Seasonal (WITH)'!K37</f>
        <v>40</v>
      </c>
      <c r="L37" s="148">
        <f t="shared" si="40"/>
        <v>31.03</v>
      </c>
      <c r="M37" s="148">
        <f t="shared" si="47"/>
        <v>14208.52062095069</v>
      </c>
      <c r="N37" s="148">
        <f t="shared" si="41"/>
        <v>0</v>
      </c>
      <c r="O37" s="148">
        <f t="shared" si="42"/>
        <v>0</v>
      </c>
      <c r="P37" s="148">
        <f t="shared" si="48"/>
        <v>14208.52062095069</v>
      </c>
      <c r="Q37" s="7">
        <f>Y37*'LOAD DATA and INPUT SEASONAL'!$E$12*1000</f>
        <v>39975.069397156847</v>
      </c>
      <c r="R37" s="153"/>
      <c r="S37" s="148">
        <f t="shared" si="49"/>
        <v>39975.069397156847</v>
      </c>
      <c r="T37" s="154">
        <f>'Seasonal (WITH)'!T37</f>
        <v>2.2894812473333372</v>
      </c>
      <c r="U37" s="148"/>
      <c r="V37" s="148">
        <f t="shared" si="50"/>
        <v>2.2894812473333372</v>
      </c>
      <c r="W37" s="148">
        <f>'Seasonal (WITH)'!W37</f>
        <v>455.60676821933407</v>
      </c>
      <c r="X37" s="148">
        <f>'Seasonal (WITH)'!X37</f>
        <v>0</v>
      </c>
      <c r="Y37" s="148">
        <f t="shared" si="51"/>
        <v>457.89624946666743</v>
      </c>
      <c r="Z37" s="148">
        <f t="shared" si="52"/>
        <v>489.94898692933418</v>
      </c>
      <c r="AA37" s="148" t="b">
        <f t="shared" si="53"/>
        <v>1</v>
      </c>
      <c r="AB37" s="148">
        <f t="shared" si="54"/>
        <v>71.042603104753454</v>
      </c>
      <c r="AC37" s="148">
        <f t="shared" si="55"/>
        <v>14137.478017845937</v>
      </c>
      <c r="AD37" s="148">
        <f t="shared" si="56"/>
        <v>0</v>
      </c>
      <c r="AE37" s="148">
        <f t="shared" si="57"/>
        <v>14208.52062095069</v>
      </c>
      <c r="AF37" s="148">
        <f t="shared" si="58"/>
        <v>199.87534698578426</v>
      </c>
      <c r="AG37" s="148">
        <f t="shared" si="59"/>
        <v>39775.194050171063</v>
      </c>
      <c r="AH37" s="148">
        <f t="shared" si="60"/>
        <v>0</v>
      </c>
      <c r="AI37" s="148">
        <f t="shared" si="61"/>
        <v>39975.069397156847</v>
      </c>
      <c r="AJ37" s="148">
        <f t="shared" si="62"/>
        <v>270.91795009053772</v>
      </c>
      <c r="AK37" s="148">
        <f t="shared" si="63"/>
        <v>53912.672068016996</v>
      </c>
      <c r="AL37" s="148">
        <f t="shared" si="64"/>
        <v>0</v>
      </c>
      <c r="AM37" s="148">
        <f t="shared" si="65"/>
        <v>54183.590018107534</v>
      </c>
    </row>
    <row r="38" spans="1:39" s="66" customFormat="1" x14ac:dyDescent="0.25">
      <c r="A38" s="66">
        <v>7</v>
      </c>
      <c r="B38" s="148">
        <f t="shared" si="43"/>
        <v>1000</v>
      </c>
      <c r="C38" s="148">
        <f t="shared" si="43"/>
        <v>500</v>
      </c>
      <c r="D38" s="148">
        <f t="shared" si="43"/>
        <v>100</v>
      </c>
      <c r="E38" s="148">
        <f t="shared" si="44"/>
        <v>574.45708791339916</v>
      </c>
      <c r="F38" s="148">
        <f t="shared" si="39"/>
        <v>0</v>
      </c>
      <c r="G38" s="148">
        <f t="shared" si="45"/>
        <v>0</v>
      </c>
      <c r="H38" s="148">
        <f t="shared" si="46"/>
        <v>574.45708791339916</v>
      </c>
      <c r="I38" s="148">
        <f>'Seasonal (WITH)'!I38</f>
        <v>29</v>
      </c>
      <c r="J38" s="148">
        <f>'Seasonal (WITH)'!J38</f>
        <v>33</v>
      </c>
      <c r="K38" s="148">
        <f>'Seasonal (WITH)'!K38</f>
        <v>40</v>
      </c>
      <c r="L38" s="148">
        <f t="shared" si="40"/>
        <v>31.03</v>
      </c>
      <c r="M38" s="148">
        <f t="shared" si="47"/>
        <v>16659.255549488575</v>
      </c>
      <c r="N38" s="148">
        <f t="shared" si="41"/>
        <v>0</v>
      </c>
      <c r="O38" s="148">
        <f t="shared" si="42"/>
        <v>0</v>
      </c>
      <c r="P38" s="148">
        <f t="shared" si="48"/>
        <v>16659.255549488575</v>
      </c>
      <c r="Q38" s="7">
        <f>Y38*'LOAD DATA and INPUT SEASONAL'!$E$12*1000</f>
        <v>46870.108047266709</v>
      </c>
      <c r="R38" s="153"/>
      <c r="S38" s="148">
        <f t="shared" si="49"/>
        <v>46870.108047266709</v>
      </c>
      <c r="T38" s="154">
        <f>'Seasonal (WITH)'!T38</f>
        <v>2.6843789154831734</v>
      </c>
      <c r="U38" s="148"/>
      <c r="V38" s="148">
        <f t="shared" si="50"/>
        <v>2.6843789154831734</v>
      </c>
      <c r="W38" s="148">
        <f>'Seasonal (WITH)'!W38</f>
        <v>534.19140418115148</v>
      </c>
      <c r="X38" s="148">
        <f>'Seasonal (WITH)'!X38</f>
        <v>0</v>
      </c>
      <c r="Y38" s="148">
        <f t="shared" si="51"/>
        <v>536.87578309663468</v>
      </c>
      <c r="Z38" s="148">
        <f t="shared" si="52"/>
        <v>574.45708791339916</v>
      </c>
      <c r="AA38" s="148" t="b">
        <f t="shared" si="53"/>
        <v>1</v>
      </c>
      <c r="AB38" s="148">
        <f t="shared" si="54"/>
        <v>83.296277747442872</v>
      </c>
      <c r="AC38" s="148">
        <f t="shared" si="55"/>
        <v>16575.959271741132</v>
      </c>
      <c r="AD38" s="148">
        <f t="shared" si="56"/>
        <v>0</v>
      </c>
      <c r="AE38" s="148">
        <f t="shared" si="57"/>
        <v>16659.255549488575</v>
      </c>
      <c r="AF38" s="148">
        <f t="shared" si="58"/>
        <v>234.35054023633353</v>
      </c>
      <c r="AG38" s="148">
        <f t="shared" si="59"/>
        <v>46635.757507030372</v>
      </c>
      <c r="AH38" s="148">
        <f t="shared" si="60"/>
        <v>0</v>
      </c>
      <c r="AI38" s="148">
        <f t="shared" si="61"/>
        <v>46870.108047266709</v>
      </c>
      <c r="AJ38" s="148">
        <f t="shared" si="62"/>
        <v>317.64681798377637</v>
      </c>
      <c r="AK38" s="148">
        <f t="shared" si="63"/>
        <v>63211.716778771501</v>
      </c>
      <c r="AL38" s="148">
        <f t="shared" si="64"/>
        <v>0</v>
      </c>
      <c r="AM38" s="148">
        <f t="shared" si="65"/>
        <v>63529.363596755276</v>
      </c>
    </row>
    <row r="39" spans="1:39" s="66" customFormat="1" x14ac:dyDescent="0.25">
      <c r="A39" s="66">
        <v>8</v>
      </c>
      <c r="B39" s="148">
        <f t="shared" si="43"/>
        <v>1000</v>
      </c>
      <c r="C39" s="148">
        <f t="shared" si="43"/>
        <v>500</v>
      </c>
      <c r="D39" s="148">
        <f t="shared" si="43"/>
        <v>100</v>
      </c>
      <c r="E39" s="148">
        <f t="shared" si="44"/>
        <v>614.1593786410898</v>
      </c>
      <c r="F39" s="148">
        <f t="shared" si="39"/>
        <v>0</v>
      </c>
      <c r="G39" s="148">
        <f t="shared" si="45"/>
        <v>0</v>
      </c>
      <c r="H39" s="148">
        <f t="shared" si="46"/>
        <v>614.1593786410898</v>
      </c>
      <c r="I39" s="148">
        <f>'Seasonal (WITH)'!I39</f>
        <v>29</v>
      </c>
      <c r="J39" s="148">
        <f>'Seasonal (WITH)'!J39</f>
        <v>33</v>
      </c>
      <c r="K39" s="148">
        <f>'Seasonal (WITH)'!K39</f>
        <v>40</v>
      </c>
      <c r="L39" s="148">
        <f t="shared" si="40"/>
        <v>31.030000000000005</v>
      </c>
      <c r="M39" s="148">
        <f t="shared" si="47"/>
        <v>17810.621980591604</v>
      </c>
      <c r="N39" s="148">
        <f t="shared" si="41"/>
        <v>0</v>
      </c>
      <c r="O39" s="148">
        <f t="shared" si="42"/>
        <v>0</v>
      </c>
      <c r="P39" s="148">
        <f t="shared" si="48"/>
        <v>17810.621980591604</v>
      </c>
      <c r="Q39" s="7">
        <f>Y39*'LOAD DATA and INPUT SEASONAL'!$E$12*1000</f>
        <v>50109.428607989576</v>
      </c>
      <c r="R39" s="153"/>
      <c r="S39" s="148">
        <f t="shared" si="49"/>
        <v>50109.428607989576</v>
      </c>
      <c r="T39" s="154">
        <f>'Seasonal (WITH)'!T39</f>
        <v>2.8699036385097649</v>
      </c>
      <c r="U39" s="148"/>
      <c r="V39" s="148">
        <f t="shared" si="50"/>
        <v>2.8699036385097649</v>
      </c>
      <c r="W39" s="148">
        <f>'Seasonal (WITH)'!W39</f>
        <v>571.11082406344326</v>
      </c>
      <c r="X39" s="148">
        <f>'Seasonal (WITH)'!X39</f>
        <v>0</v>
      </c>
      <c r="Y39" s="148">
        <f t="shared" si="51"/>
        <v>573.98072770195301</v>
      </c>
      <c r="Z39" s="148">
        <f t="shared" si="52"/>
        <v>614.1593786410898</v>
      </c>
      <c r="AA39" s="148" t="b">
        <f t="shared" si="53"/>
        <v>1</v>
      </c>
      <c r="AB39" s="148">
        <f t="shared" si="54"/>
        <v>89.053109902958013</v>
      </c>
      <c r="AC39" s="148">
        <f t="shared" si="55"/>
        <v>17721.568870688647</v>
      </c>
      <c r="AD39" s="148">
        <f t="shared" si="56"/>
        <v>0</v>
      </c>
      <c r="AE39" s="148">
        <f t="shared" si="57"/>
        <v>17810.621980591604</v>
      </c>
      <c r="AF39" s="148">
        <f t="shared" si="58"/>
        <v>250.54714303994785</v>
      </c>
      <c r="AG39" s="148">
        <f t="shared" si="59"/>
        <v>49858.881464949627</v>
      </c>
      <c r="AH39" s="148">
        <f t="shared" si="60"/>
        <v>0</v>
      </c>
      <c r="AI39" s="148">
        <f t="shared" si="61"/>
        <v>50109.428607989576</v>
      </c>
      <c r="AJ39" s="148">
        <f t="shared" si="62"/>
        <v>339.60025294290585</v>
      </c>
      <c r="AK39" s="148">
        <f t="shared" si="63"/>
        <v>67580.450335638277</v>
      </c>
      <c r="AL39" s="148">
        <f t="shared" si="64"/>
        <v>0</v>
      </c>
      <c r="AM39" s="148">
        <f t="shared" si="65"/>
        <v>67920.050588581187</v>
      </c>
    </row>
    <row r="40" spans="1:39" s="66" customFormat="1" x14ac:dyDescent="0.25">
      <c r="A40" s="66">
        <v>9</v>
      </c>
      <c r="B40" s="148">
        <f t="shared" si="43"/>
        <v>1000</v>
      </c>
      <c r="C40" s="148">
        <f t="shared" si="43"/>
        <v>500</v>
      </c>
      <c r="D40" s="148">
        <f t="shared" si="43"/>
        <v>100</v>
      </c>
      <c r="E40" s="148">
        <f t="shared" si="44"/>
        <v>604.94272407495703</v>
      </c>
      <c r="F40" s="148">
        <f t="shared" si="39"/>
        <v>0</v>
      </c>
      <c r="G40" s="148">
        <f t="shared" si="45"/>
        <v>0</v>
      </c>
      <c r="H40" s="148">
        <f t="shared" si="46"/>
        <v>604.94272407495703</v>
      </c>
      <c r="I40" s="148">
        <f>'Seasonal (WITH)'!I40</f>
        <v>29</v>
      </c>
      <c r="J40" s="148">
        <f>'Seasonal (WITH)'!J40</f>
        <v>33</v>
      </c>
      <c r="K40" s="148">
        <f>'Seasonal (WITH)'!K40</f>
        <v>40</v>
      </c>
      <c r="L40" s="148">
        <f t="shared" si="40"/>
        <v>31.029999999999998</v>
      </c>
      <c r="M40" s="148">
        <f t="shared" si="47"/>
        <v>17543.338998173753</v>
      </c>
      <c r="N40" s="148">
        <f t="shared" si="41"/>
        <v>0</v>
      </c>
      <c r="O40" s="148">
        <f t="shared" si="42"/>
        <v>0</v>
      </c>
      <c r="P40" s="148">
        <f t="shared" si="48"/>
        <v>17543.338998173753</v>
      </c>
      <c r="Q40" s="7">
        <f>Y40*'LOAD DATA and INPUT SEASONAL'!$E$12*1000</f>
        <v>49357.439287223991</v>
      </c>
      <c r="R40" s="153"/>
      <c r="S40" s="148">
        <f t="shared" si="49"/>
        <v>49357.439287223991</v>
      </c>
      <c r="T40" s="154">
        <f>'Seasonal (WITH)'!T40</f>
        <v>2.826835159228771</v>
      </c>
      <c r="U40" s="148"/>
      <c r="V40" s="148">
        <f t="shared" si="50"/>
        <v>2.826835159228771</v>
      </c>
      <c r="W40" s="148">
        <f>'Seasonal (WITH)'!W40</f>
        <v>562.54019668652552</v>
      </c>
      <c r="X40" s="148">
        <f>'Seasonal (WITH)'!X40</f>
        <v>0</v>
      </c>
      <c r="Y40" s="148">
        <f t="shared" si="51"/>
        <v>565.36703184575424</v>
      </c>
      <c r="Z40" s="148">
        <f t="shared" si="52"/>
        <v>604.94272407495703</v>
      </c>
      <c r="AA40" s="148" t="b">
        <f t="shared" si="53"/>
        <v>1</v>
      </c>
      <c r="AB40" s="148">
        <f t="shared" si="54"/>
        <v>87.71669499086876</v>
      </c>
      <c r="AC40" s="148">
        <f t="shared" si="55"/>
        <v>17455.622303182885</v>
      </c>
      <c r="AD40" s="148">
        <f t="shared" si="56"/>
        <v>0</v>
      </c>
      <c r="AE40" s="148">
        <f t="shared" si="57"/>
        <v>17543.338998173753</v>
      </c>
      <c r="AF40" s="148">
        <f t="shared" si="58"/>
        <v>246.78719643611993</v>
      </c>
      <c r="AG40" s="148">
        <f t="shared" si="59"/>
        <v>49110.652090787873</v>
      </c>
      <c r="AH40" s="148">
        <f t="shared" si="60"/>
        <v>0</v>
      </c>
      <c r="AI40" s="148">
        <f t="shared" si="61"/>
        <v>49357.439287223991</v>
      </c>
      <c r="AJ40" s="148">
        <f t="shared" si="62"/>
        <v>334.50389142698867</v>
      </c>
      <c r="AK40" s="148">
        <f t="shared" si="63"/>
        <v>66566.274393970758</v>
      </c>
      <c r="AL40" s="148">
        <f t="shared" si="64"/>
        <v>0</v>
      </c>
      <c r="AM40" s="148">
        <f t="shared" si="65"/>
        <v>66900.778285397741</v>
      </c>
    </row>
    <row r="41" spans="1:39" s="66" customFormat="1" ht="17.25" customHeight="1" x14ac:dyDescent="0.25">
      <c r="A41" s="66">
        <v>10</v>
      </c>
      <c r="B41" s="148">
        <f t="shared" si="43"/>
        <v>1000</v>
      </c>
      <c r="C41" s="148">
        <f t="shared" si="43"/>
        <v>500</v>
      </c>
      <c r="D41" s="148">
        <f t="shared" si="43"/>
        <v>100</v>
      </c>
      <c r="E41" s="148">
        <f t="shared" si="44"/>
        <v>624.95989640383254</v>
      </c>
      <c r="F41" s="148">
        <f t="shared" si="39"/>
        <v>0</v>
      </c>
      <c r="G41" s="148">
        <f t="shared" si="45"/>
        <v>0</v>
      </c>
      <c r="H41" s="148">
        <f t="shared" si="46"/>
        <v>624.95989640383254</v>
      </c>
      <c r="I41" s="148">
        <f>'Seasonal (WITH)'!I41</f>
        <v>29</v>
      </c>
      <c r="J41" s="148">
        <f>'Seasonal (WITH)'!J41</f>
        <v>33</v>
      </c>
      <c r="K41" s="148">
        <f>'Seasonal (WITH)'!K41</f>
        <v>40</v>
      </c>
      <c r="L41" s="148">
        <f t="shared" si="40"/>
        <v>31.03</v>
      </c>
      <c r="M41" s="148">
        <f t="shared" si="47"/>
        <v>18123.836995711143</v>
      </c>
      <c r="N41" s="148">
        <f t="shared" si="41"/>
        <v>0</v>
      </c>
      <c r="O41" s="148">
        <f t="shared" si="42"/>
        <v>0</v>
      </c>
      <c r="P41" s="148">
        <f t="shared" si="48"/>
        <v>18123.836995711143</v>
      </c>
      <c r="Q41" s="7">
        <f>Y41*'LOAD DATA and INPUT SEASONAL'!$E$12*1000</f>
        <v>50990.645752241253</v>
      </c>
      <c r="R41" s="153"/>
      <c r="S41" s="148">
        <f t="shared" si="49"/>
        <v>50990.645752241253</v>
      </c>
      <c r="T41" s="154">
        <f>'Seasonal (WITH)'!T41</f>
        <v>2.9203733476814602</v>
      </c>
      <c r="U41" s="148"/>
      <c r="V41" s="148">
        <f t="shared" si="50"/>
        <v>2.9203733476814602</v>
      </c>
      <c r="W41" s="148">
        <f>'Seasonal (WITH)'!W41</f>
        <v>581.1542961886106</v>
      </c>
      <c r="X41" s="148">
        <f>'Seasonal (WITH)'!X41</f>
        <v>0</v>
      </c>
      <c r="Y41" s="148">
        <f t="shared" si="51"/>
        <v>584.07466953629205</v>
      </c>
      <c r="Z41" s="148">
        <f t="shared" si="52"/>
        <v>624.95989640383254</v>
      </c>
      <c r="AA41" s="148" t="b">
        <f t="shared" si="53"/>
        <v>1</v>
      </c>
      <c r="AB41" s="148">
        <f t="shared" si="54"/>
        <v>90.619184978555708</v>
      </c>
      <c r="AC41" s="148">
        <f t="shared" si="55"/>
        <v>18033.217810732589</v>
      </c>
      <c r="AD41" s="148">
        <f t="shared" si="56"/>
        <v>0</v>
      </c>
      <c r="AE41" s="148">
        <f t="shared" si="57"/>
        <v>18123.836995711146</v>
      </c>
      <c r="AF41" s="148">
        <f t="shared" si="58"/>
        <v>254.95322876120628</v>
      </c>
      <c r="AG41" s="148">
        <f t="shared" si="59"/>
        <v>50735.692523480051</v>
      </c>
      <c r="AH41" s="148">
        <f t="shared" si="60"/>
        <v>0</v>
      </c>
      <c r="AI41" s="148">
        <f t="shared" si="61"/>
        <v>50990.64575224126</v>
      </c>
      <c r="AJ41" s="148">
        <f t="shared" si="62"/>
        <v>345.572413739762</v>
      </c>
      <c r="AK41" s="148">
        <f t="shared" si="63"/>
        <v>68768.910334212647</v>
      </c>
      <c r="AL41" s="148">
        <f t="shared" si="64"/>
        <v>0</v>
      </c>
      <c r="AM41" s="148">
        <f t="shared" si="65"/>
        <v>69114.48274795241</v>
      </c>
    </row>
    <row r="42" spans="1:39" s="66" customFormat="1" x14ac:dyDescent="0.25">
      <c r="A42" s="66">
        <v>11</v>
      </c>
      <c r="B42" s="148">
        <f t="shared" si="43"/>
        <v>1000</v>
      </c>
      <c r="C42" s="148">
        <f t="shared" si="43"/>
        <v>500</v>
      </c>
      <c r="D42" s="148">
        <f t="shared" si="43"/>
        <v>100</v>
      </c>
      <c r="E42" s="148">
        <f t="shared" si="44"/>
        <v>637.91075767261498</v>
      </c>
      <c r="F42" s="148">
        <f>IF(C42&lt;Z42-E42,C42,Z42-E42)</f>
        <v>0</v>
      </c>
      <c r="G42" s="148">
        <f t="shared" si="45"/>
        <v>0</v>
      </c>
      <c r="H42" s="148">
        <f t="shared" si="46"/>
        <v>637.91075767261498</v>
      </c>
      <c r="I42" s="148">
        <f>'Seasonal (WITH)'!I42</f>
        <v>29</v>
      </c>
      <c r="J42" s="148">
        <f>'Seasonal (WITH)'!J42</f>
        <v>33</v>
      </c>
      <c r="K42" s="148">
        <f>'Seasonal (WITH)'!K42</f>
        <v>40</v>
      </c>
      <c r="L42" s="148">
        <f t="shared" si="40"/>
        <v>31.029999999999998</v>
      </c>
      <c r="M42" s="148">
        <f t="shared" si="47"/>
        <v>18499.411972505834</v>
      </c>
      <c r="N42" s="148">
        <f t="shared" si="41"/>
        <v>0</v>
      </c>
      <c r="O42" s="148">
        <f t="shared" si="42"/>
        <v>0</v>
      </c>
      <c r="P42" s="148">
        <f t="shared" si="48"/>
        <v>18499.411972505834</v>
      </c>
      <c r="Q42" s="7">
        <f>Y42*'LOAD DATA and INPUT SEASONAL'!$E$12*1000</f>
        <v>52047.310000527978</v>
      </c>
      <c r="R42" s="153"/>
      <c r="S42" s="148">
        <f t="shared" si="49"/>
        <v>52047.310000527978</v>
      </c>
      <c r="T42" s="154">
        <f>'Seasonal (WITH)'!T42</f>
        <v>2.980891390993528</v>
      </c>
      <c r="U42" s="148"/>
      <c r="V42" s="148">
        <f t="shared" si="50"/>
        <v>2.980891390993528</v>
      </c>
      <c r="W42" s="148">
        <f>'Seasonal (WITH)'!W42</f>
        <v>593.19738680771206</v>
      </c>
      <c r="X42" s="148">
        <f>'Seasonal (WITH)'!X42</f>
        <v>0</v>
      </c>
      <c r="Y42" s="148">
        <f t="shared" si="51"/>
        <v>596.17827819870558</v>
      </c>
      <c r="Z42" s="148">
        <f t="shared" si="52"/>
        <v>637.91075767261498</v>
      </c>
      <c r="AA42" s="148" t="b">
        <f t="shared" si="53"/>
        <v>1</v>
      </c>
      <c r="AB42" s="148">
        <f t="shared" si="54"/>
        <v>92.49705986252917</v>
      </c>
      <c r="AC42" s="148">
        <f t="shared" si="55"/>
        <v>18406.914912643304</v>
      </c>
      <c r="AD42" s="148">
        <f t="shared" si="56"/>
        <v>0</v>
      </c>
      <c r="AE42" s="148">
        <f t="shared" si="57"/>
        <v>18499.411972505834</v>
      </c>
      <c r="AF42" s="148">
        <f t="shared" si="58"/>
        <v>260.23655000263989</v>
      </c>
      <c r="AG42" s="148">
        <f t="shared" si="59"/>
        <v>51787.073450525342</v>
      </c>
      <c r="AH42" s="148">
        <f t="shared" si="60"/>
        <v>0</v>
      </c>
      <c r="AI42" s="148">
        <f t="shared" si="61"/>
        <v>52047.310000527985</v>
      </c>
      <c r="AJ42" s="148">
        <f t="shared" si="62"/>
        <v>352.73360986516906</v>
      </c>
      <c r="AK42" s="148">
        <f t="shared" si="63"/>
        <v>70193.988363168639</v>
      </c>
      <c r="AL42" s="148">
        <f t="shared" si="64"/>
        <v>0</v>
      </c>
      <c r="AM42" s="148">
        <f t="shared" si="65"/>
        <v>70546.721973033811</v>
      </c>
    </row>
    <row r="43" spans="1:39" s="66" customFormat="1" x14ac:dyDescent="0.25">
      <c r="A43" s="66">
        <v>12</v>
      </c>
      <c r="B43" s="148">
        <f t="shared" si="43"/>
        <v>1000</v>
      </c>
      <c r="C43" s="148">
        <f t="shared" si="43"/>
        <v>500</v>
      </c>
      <c r="D43" s="148">
        <f t="shared" si="43"/>
        <v>100</v>
      </c>
      <c r="E43" s="148">
        <f t="shared" si="44"/>
        <v>633.52601251175838</v>
      </c>
      <c r="F43" s="148">
        <f t="shared" ref="F43:F55" si="66">IF(C43&lt;Z43-E43,C43,Z43-E43)</f>
        <v>0</v>
      </c>
      <c r="G43" s="148">
        <f t="shared" si="45"/>
        <v>0</v>
      </c>
      <c r="H43" s="148">
        <f t="shared" si="46"/>
        <v>633.52601251175838</v>
      </c>
      <c r="I43" s="148">
        <f>'Seasonal (WITH)'!I43</f>
        <v>29</v>
      </c>
      <c r="J43" s="148">
        <f>'Seasonal (WITH)'!J43</f>
        <v>33</v>
      </c>
      <c r="K43" s="148">
        <f>'Seasonal (WITH)'!K43</f>
        <v>40</v>
      </c>
      <c r="L43" s="148">
        <f t="shared" si="40"/>
        <v>31.029999999999998</v>
      </c>
      <c r="M43" s="148">
        <f t="shared" si="47"/>
        <v>18372.254362840991</v>
      </c>
      <c r="N43" s="148">
        <f t="shared" si="41"/>
        <v>0</v>
      </c>
      <c r="O43" s="148">
        <f t="shared" si="42"/>
        <v>0</v>
      </c>
      <c r="P43" s="148">
        <f t="shared" si="48"/>
        <v>18372.254362840991</v>
      </c>
      <c r="Q43" s="7">
        <f>Y43*'LOAD DATA and INPUT SEASONAL'!$E$12*1000</f>
        <v>51689.557465529128</v>
      </c>
      <c r="R43" s="153"/>
      <c r="S43" s="148">
        <f t="shared" si="49"/>
        <v>51689.557465529128</v>
      </c>
      <c r="T43" s="154">
        <f>'Seasonal (WITH)'!T43</f>
        <v>2.9604019276250391</v>
      </c>
      <c r="U43" s="148"/>
      <c r="V43" s="148">
        <f t="shared" si="50"/>
        <v>2.9604019276250391</v>
      </c>
      <c r="W43" s="148">
        <f>'Seasonal (WITH)'!W43</f>
        <v>589.11998359738277</v>
      </c>
      <c r="X43" s="148">
        <f>'Seasonal (WITH)'!X43</f>
        <v>0</v>
      </c>
      <c r="Y43" s="148">
        <f t="shared" si="51"/>
        <v>592.08038552500784</v>
      </c>
      <c r="Z43" s="148">
        <f t="shared" si="52"/>
        <v>633.52601251175838</v>
      </c>
      <c r="AA43" s="148" t="b">
        <f t="shared" si="53"/>
        <v>1</v>
      </c>
      <c r="AB43" s="148">
        <f t="shared" si="54"/>
        <v>91.861271814204954</v>
      </c>
      <c r="AC43" s="148">
        <f t="shared" si="55"/>
        <v>18280.393091026785</v>
      </c>
      <c r="AD43" s="148">
        <f t="shared" si="56"/>
        <v>0</v>
      </c>
      <c r="AE43" s="148">
        <f t="shared" si="57"/>
        <v>18372.254362840991</v>
      </c>
      <c r="AF43" s="148">
        <f t="shared" si="58"/>
        <v>258.44778732764559</v>
      </c>
      <c r="AG43" s="148">
        <f t="shared" si="59"/>
        <v>51431.109678201479</v>
      </c>
      <c r="AH43" s="148">
        <f t="shared" si="60"/>
        <v>0</v>
      </c>
      <c r="AI43" s="148">
        <f t="shared" si="61"/>
        <v>51689.557465529128</v>
      </c>
      <c r="AJ43" s="148">
        <f t="shared" si="62"/>
        <v>350.30905914185053</v>
      </c>
      <c r="AK43" s="148">
        <f t="shared" si="63"/>
        <v>69711.50276922826</v>
      </c>
      <c r="AL43" s="148">
        <f t="shared" si="64"/>
        <v>0</v>
      </c>
      <c r="AM43" s="148">
        <f t="shared" si="65"/>
        <v>70061.811828370104</v>
      </c>
    </row>
    <row r="44" spans="1:39" s="66" customFormat="1" x14ac:dyDescent="0.25">
      <c r="A44" s="66">
        <v>13</v>
      </c>
      <c r="B44" s="148">
        <f t="shared" si="43"/>
        <v>1000</v>
      </c>
      <c r="C44" s="148">
        <f t="shared" si="43"/>
        <v>500</v>
      </c>
      <c r="D44" s="148">
        <f t="shared" si="43"/>
        <v>100</v>
      </c>
      <c r="E44" s="148">
        <f t="shared" si="44"/>
        <v>628.16062832069065</v>
      </c>
      <c r="F44" s="148">
        <f t="shared" si="66"/>
        <v>0</v>
      </c>
      <c r="G44" s="148">
        <f t="shared" si="45"/>
        <v>0</v>
      </c>
      <c r="H44" s="148">
        <f t="shared" si="46"/>
        <v>628.16062832069065</v>
      </c>
      <c r="I44" s="148">
        <f>'Seasonal (WITH)'!I44</f>
        <v>29</v>
      </c>
      <c r="J44" s="148">
        <f>'Seasonal (WITH)'!J44</f>
        <v>33</v>
      </c>
      <c r="K44" s="148">
        <f>'Seasonal (WITH)'!K44</f>
        <v>40</v>
      </c>
      <c r="L44" s="148">
        <f t="shared" si="40"/>
        <v>31.03</v>
      </c>
      <c r="M44" s="148">
        <f t="shared" si="47"/>
        <v>18216.658221300029</v>
      </c>
      <c r="N44" s="148">
        <f t="shared" si="41"/>
        <v>0</v>
      </c>
      <c r="O44" s="148">
        <f t="shared" si="42"/>
        <v>0</v>
      </c>
      <c r="P44" s="148">
        <f t="shared" si="48"/>
        <v>18216.658221300029</v>
      </c>
      <c r="Q44" s="7">
        <f>Y44*'LOAD DATA and INPUT SEASONAL'!$E$12*1000</f>
        <v>51251.794328749187</v>
      </c>
      <c r="R44" s="153"/>
      <c r="S44" s="148">
        <f t="shared" si="49"/>
        <v>51251.794328749187</v>
      </c>
      <c r="T44" s="154">
        <f>'Seasonal (WITH)'!T44</f>
        <v>2.9353300388817321</v>
      </c>
      <c r="U44" s="148"/>
      <c r="V44" s="148">
        <f t="shared" si="50"/>
        <v>2.9353300388817321</v>
      </c>
      <c r="W44" s="148">
        <f>'Seasonal (WITH)'!W44</f>
        <v>584.13067773746468</v>
      </c>
      <c r="X44" s="148">
        <f>'Seasonal (WITH)'!X44</f>
        <v>0</v>
      </c>
      <c r="Y44" s="148">
        <f t="shared" si="51"/>
        <v>587.0660077763464</v>
      </c>
      <c r="Z44" s="148">
        <f t="shared" si="52"/>
        <v>628.16062832069065</v>
      </c>
      <c r="AA44" s="148" t="b">
        <f t="shared" si="53"/>
        <v>1</v>
      </c>
      <c r="AB44" s="148">
        <f t="shared" si="54"/>
        <v>91.083291106500155</v>
      </c>
      <c r="AC44" s="148">
        <f t="shared" si="55"/>
        <v>18125.574930193528</v>
      </c>
      <c r="AD44" s="148">
        <f t="shared" si="56"/>
        <v>0</v>
      </c>
      <c r="AE44" s="148">
        <f t="shared" si="57"/>
        <v>18216.658221300029</v>
      </c>
      <c r="AF44" s="148">
        <f t="shared" si="58"/>
        <v>256.25897164374595</v>
      </c>
      <c r="AG44" s="148">
        <f t="shared" si="59"/>
        <v>50995.535357105444</v>
      </c>
      <c r="AH44" s="148">
        <f t="shared" si="60"/>
        <v>0</v>
      </c>
      <c r="AI44" s="148">
        <f t="shared" si="61"/>
        <v>51251.794328749187</v>
      </c>
      <c r="AJ44" s="148">
        <f t="shared" si="62"/>
        <v>347.34226275024611</v>
      </c>
      <c r="AK44" s="148">
        <f t="shared" si="63"/>
        <v>69121.110287298972</v>
      </c>
      <c r="AL44" s="148">
        <f t="shared" si="64"/>
        <v>0</v>
      </c>
      <c r="AM44" s="148">
        <f t="shared" si="65"/>
        <v>69468.452550049216</v>
      </c>
    </row>
    <row r="45" spans="1:39" s="66" customFormat="1" x14ac:dyDescent="0.25">
      <c r="A45" s="66">
        <v>14</v>
      </c>
      <c r="B45" s="148">
        <f t="shared" si="43"/>
        <v>1000</v>
      </c>
      <c r="C45" s="148">
        <f t="shared" si="43"/>
        <v>500</v>
      </c>
      <c r="D45" s="148">
        <f t="shared" si="43"/>
        <v>100</v>
      </c>
      <c r="E45" s="148">
        <f t="shared" si="44"/>
        <v>628.44134116717657</v>
      </c>
      <c r="F45" s="148">
        <f t="shared" si="66"/>
        <v>0</v>
      </c>
      <c r="G45" s="148">
        <f t="shared" si="45"/>
        <v>0</v>
      </c>
      <c r="H45" s="148">
        <f t="shared" si="46"/>
        <v>628.44134116717657</v>
      </c>
      <c r="I45" s="148">
        <f>'Seasonal (WITH)'!I45</f>
        <v>29</v>
      </c>
      <c r="J45" s="148">
        <f>'Seasonal (WITH)'!J45</f>
        <v>33</v>
      </c>
      <c r="K45" s="148">
        <f>'Seasonal (WITH)'!K45</f>
        <v>40</v>
      </c>
      <c r="L45" s="148">
        <f t="shared" si="40"/>
        <v>31.030000000000005</v>
      </c>
      <c r="M45" s="148">
        <f t="shared" si="47"/>
        <v>18224.798893848121</v>
      </c>
      <c r="N45" s="148">
        <f t="shared" si="41"/>
        <v>0</v>
      </c>
      <c r="O45" s="148">
        <f t="shared" si="42"/>
        <v>0</v>
      </c>
      <c r="P45" s="148">
        <f t="shared" si="48"/>
        <v>18224.798893848121</v>
      </c>
      <c r="Q45" s="7">
        <f>Y45*'LOAD DATA and INPUT SEASONAL'!$E$12*1000</f>
        <v>51274.697765266676</v>
      </c>
      <c r="R45" s="153"/>
      <c r="S45" s="148">
        <f t="shared" si="49"/>
        <v>51274.697765266676</v>
      </c>
      <c r="T45" s="154">
        <f>'Seasonal (WITH)'!T45</f>
        <v>2.9366417811550303</v>
      </c>
      <c r="U45" s="148"/>
      <c r="V45" s="148">
        <f t="shared" si="50"/>
        <v>2.9366417811550303</v>
      </c>
      <c r="W45" s="148">
        <f>'Seasonal (WITH)'!W45</f>
        <v>584.39171444985107</v>
      </c>
      <c r="X45" s="148">
        <f>'Seasonal (WITH)'!X45</f>
        <v>0</v>
      </c>
      <c r="Y45" s="148">
        <f t="shared" si="51"/>
        <v>587.32835623100607</v>
      </c>
      <c r="Z45" s="148">
        <f t="shared" si="52"/>
        <v>628.44134116717657</v>
      </c>
      <c r="AA45" s="148" t="b">
        <f t="shared" si="53"/>
        <v>1</v>
      </c>
      <c r="AB45" s="148">
        <f t="shared" si="54"/>
        <v>91.1239944692406</v>
      </c>
      <c r="AC45" s="148">
        <f t="shared" si="55"/>
        <v>18133.674899378882</v>
      </c>
      <c r="AD45" s="148">
        <f t="shared" si="56"/>
        <v>0</v>
      </c>
      <c r="AE45" s="148">
        <f t="shared" si="57"/>
        <v>18224.798893848121</v>
      </c>
      <c r="AF45" s="148">
        <f t="shared" si="58"/>
        <v>256.37348882633336</v>
      </c>
      <c r="AG45" s="148">
        <f t="shared" si="59"/>
        <v>51018.32427644034</v>
      </c>
      <c r="AH45" s="148">
        <f t="shared" si="60"/>
        <v>0</v>
      </c>
      <c r="AI45" s="148">
        <f t="shared" si="61"/>
        <v>51274.697765266676</v>
      </c>
      <c r="AJ45" s="148">
        <f t="shared" si="62"/>
        <v>347.49748329557394</v>
      </c>
      <c r="AK45" s="148">
        <f t="shared" si="63"/>
        <v>69151.999175819219</v>
      </c>
      <c r="AL45" s="148">
        <f t="shared" si="64"/>
        <v>0</v>
      </c>
      <c r="AM45" s="148">
        <f t="shared" si="65"/>
        <v>69499.496659114797</v>
      </c>
    </row>
    <row r="46" spans="1:39" s="66" customFormat="1" x14ac:dyDescent="0.25">
      <c r="A46" s="66">
        <v>15</v>
      </c>
      <c r="B46" s="148">
        <f t="shared" si="43"/>
        <v>1000</v>
      </c>
      <c r="C46" s="148">
        <f t="shared" si="43"/>
        <v>500</v>
      </c>
      <c r="D46" s="148">
        <f t="shared" si="43"/>
        <v>100</v>
      </c>
      <c r="E46" s="148">
        <f t="shared" si="44"/>
        <v>636.44760184961876</v>
      </c>
      <c r="F46" s="148">
        <f t="shared" si="66"/>
        <v>0</v>
      </c>
      <c r="G46" s="148">
        <f t="shared" si="45"/>
        <v>0</v>
      </c>
      <c r="H46" s="148">
        <f t="shared" si="46"/>
        <v>636.44760184961876</v>
      </c>
      <c r="I46" s="148">
        <f>'Seasonal (WITH)'!I46</f>
        <v>29</v>
      </c>
      <c r="J46" s="148">
        <f>'Seasonal (WITH)'!J46</f>
        <v>33</v>
      </c>
      <c r="K46" s="148">
        <f>'Seasonal (WITH)'!K46</f>
        <v>40</v>
      </c>
      <c r="L46" s="148">
        <f t="shared" si="40"/>
        <v>31.030000000000005</v>
      </c>
      <c r="M46" s="148">
        <f t="shared" si="47"/>
        <v>18456.980453638946</v>
      </c>
      <c r="N46" s="148">
        <f t="shared" si="41"/>
        <v>0</v>
      </c>
      <c r="O46" s="148">
        <f t="shared" si="42"/>
        <v>0</v>
      </c>
      <c r="P46" s="148">
        <f t="shared" si="48"/>
        <v>18456.980453638946</v>
      </c>
      <c r="Q46" s="7">
        <f>Y46*'LOAD DATA and INPUT SEASONAL'!$E$12*1000</f>
        <v>51927.93072406554</v>
      </c>
      <c r="R46" s="153"/>
      <c r="S46" s="148">
        <f t="shared" si="49"/>
        <v>51927.93072406554</v>
      </c>
      <c r="T46" s="154">
        <f>'Seasonal (WITH)'!T46</f>
        <v>2.9740542142505548</v>
      </c>
      <c r="U46" s="148"/>
      <c r="V46" s="148">
        <f t="shared" si="50"/>
        <v>2.9740542142505548</v>
      </c>
      <c r="W46" s="148">
        <f>'Seasonal (WITH)'!W46</f>
        <v>591.83678863586033</v>
      </c>
      <c r="X46" s="148">
        <f>'Seasonal (WITH)'!X46</f>
        <v>0</v>
      </c>
      <c r="Y46" s="148">
        <f t="shared" si="51"/>
        <v>594.81084285011093</v>
      </c>
      <c r="Z46" s="148">
        <f t="shared" si="52"/>
        <v>636.44760184961876</v>
      </c>
      <c r="AA46" s="148" t="b">
        <f t="shared" si="53"/>
        <v>1</v>
      </c>
      <c r="AB46" s="148">
        <f>V46*L46</f>
        <v>92.284902268194728</v>
      </c>
      <c r="AC46" s="148">
        <f t="shared" si="55"/>
        <v>18364.695551370747</v>
      </c>
      <c r="AD46" s="148">
        <f t="shared" si="56"/>
        <v>0</v>
      </c>
      <c r="AE46" s="148">
        <f t="shared" si="57"/>
        <v>18456.980453638942</v>
      </c>
      <c r="AF46" s="148">
        <f t="shared" si="58"/>
        <v>259.63965362032769</v>
      </c>
      <c r="AG46" s="148">
        <f t="shared" si="59"/>
        <v>51668.291070445208</v>
      </c>
      <c r="AH46" s="148">
        <f t="shared" si="60"/>
        <v>0</v>
      </c>
      <c r="AI46" s="148">
        <f t="shared" si="61"/>
        <v>51927.930724065533</v>
      </c>
      <c r="AJ46" s="148">
        <f t="shared" si="62"/>
        <v>351.92455588852243</v>
      </c>
      <c r="AK46" s="148">
        <f t="shared" si="63"/>
        <v>70032.986621815959</v>
      </c>
      <c r="AL46" s="148">
        <f t="shared" si="64"/>
        <v>0</v>
      </c>
      <c r="AM46" s="148">
        <f t="shared" si="65"/>
        <v>70384.911177704475</v>
      </c>
    </row>
    <row r="47" spans="1:39" s="66" customFormat="1" x14ac:dyDescent="0.25">
      <c r="A47" s="66">
        <v>16</v>
      </c>
      <c r="B47" s="148">
        <f t="shared" si="43"/>
        <v>1000</v>
      </c>
      <c r="C47" s="148">
        <f t="shared" si="43"/>
        <v>500</v>
      </c>
      <c r="D47" s="148">
        <f t="shared" si="43"/>
        <v>100</v>
      </c>
      <c r="E47" s="148">
        <f t="shared" si="44"/>
        <v>663.88916366449473</v>
      </c>
      <c r="F47" s="148">
        <f t="shared" si="66"/>
        <v>0</v>
      </c>
      <c r="G47" s="148">
        <f t="shared" si="45"/>
        <v>0</v>
      </c>
      <c r="H47" s="148">
        <f t="shared" si="46"/>
        <v>663.88916366449473</v>
      </c>
      <c r="I47" s="148">
        <f>'Seasonal (WITH)'!I47</f>
        <v>29</v>
      </c>
      <c r="J47" s="148">
        <f>'Seasonal (WITH)'!J47</f>
        <v>33</v>
      </c>
      <c r="K47" s="148">
        <f>'Seasonal (WITH)'!K47</f>
        <v>40</v>
      </c>
      <c r="L47" s="148">
        <f t="shared" si="40"/>
        <v>31.03</v>
      </c>
      <c r="M47" s="148">
        <f t="shared" si="47"/>
        <v>19252.785746270347</v>
      </c>
      <c r="N47" s="148">
        <f t="shared" si="41"/>
        <v>0</v>
      </c>
      <c r="O47" s="148">
        <f t="shared" si="42"/>
        <v>0</v>
      </c>
      <c r="P47" s="148">
        <f t="shared" si="48"/>
        <v>19252.785746270347</v>
      </c>
      <c r="Q47" s="7">
        <f>Y47*'LOAD DATA and INPUT SEASONAL'!$E$12*1000</f>
        <v>54166.895120728848</v>
      </c>
      <c r="R47" s="153"/>
      <c r="S47" s="148">
        <f t="shared" si="49"/>
        <v>54166.895120728848</v>
      </c>
      <c r="T47" s="154">
        <f>'Seasonal (WITH)'!T47</f>
        <v>3.1022858115163303</v>
      </c>
      <c r="U47" s="148"/>
      <c r="V47" s="148">
        <f t="shared" si="50"/>
        <v>3.1022858115163303</v>
      </c>
      <c r="W47" s="148">
        <f>'Seasonal (WITH)'!W47</f>
        <v>617.35487649174968</v>
      </c>
      <c r="X47" s="148">
        <f>'Seasonal (WITH)'!X47</f>
        <v>0</v>
      </c>
      <c r="Y47" s="148">
        <f t="shared" si="51"/>
        <v>620.45716230326605</v>
      </c>
      <c r="Z47" s="148">
        <f t="shared" si="52"/>
        <v>663.88916366449473</v>
      </c>
      <c r="AA47" s="148" t="b">
        <f t="shared" si="53"/>
        <v>1</v>
      </c>
      <c r="AB47" s="148">
        <f t="shared" ref="AB47:AB51" si="67">V47*L47</f>
        <v>96.26392873135174</v>
      </c>
      <c r="AC47" s="148">
        <f t="shared" si="55"/>
        <v>19156.521817538993</v>
      </c>
      <c r="AD47" s="148">
        <f t="shared" si="56"/>
        <v>0</v>
      </c>
      <c r="AE47" s="148">
        <f t="shared" si="57"/>
        <v>19252.785746270343</v>
      </c>
      <c r="AF47" s="148">
        <f t="shared" si="58"/>
        <v>270.83447560364425</v>
      </c>
      <c r="AG47" s="148">
        <f t="shared" si="59"/>
        <v>53896.060645125195</v>
      </c>
      <c r="AH47" s="148">
        <f t="shared" si="60"/>
        <v>0</v>
      </c>
      <c r="AI47" s="148">
        <f t="shared" si="61"/>
        <v>54166.895120728841</v>
      </c>
      <c r="AJ47" s="148">
        <f t="shared" si="62"/>
        <v>367.09840433499596</v>
      </c>
      <c r="AK47" s="148">
        <f t="shared" si="63"/>
        <v>73052.582462664184</v>
      </c>
      <c r="AL47" s="148">
        <f t="shared" si="64"/>
        <v>0</v>
      </c>
      <c r="AM47" s="148">
        <f t="shared" si="65"/>
        <v>73419.680866999173</v>
      </c>
    </row>
    <row r="48" spans="1:39" s="66" customFormat="1" x14ac:dyDescent="0.25">
      <c r="A48" s="66">
        <v>17</v>
      </c>
      <c r="B48" s="148">
        <f t="shared" si="43"/>
        <v>1000</v>
      </c>
      <c r="C48" s="148">
        <f t="shared" si="43"/>
        <v>500</v>
      </c>
      <c r="D48" s="148">
        <f t="shared" si="43"/>
        <v>100</v>
      </c>
      <c r="E48" s="148">
        <f t="shared" si="44"/>
        <v>724.50445797524219</v>
      </c>
      <c r="F48" s="148">
        <f t="shared" si="66"/>
        <v>0</v>
      </c>
      <c r="G48" s="148">
        <f t="shared" si="45"/>
        <v>0</v>
      </c>
      <c r="H48" s="148">
        <f>SUM(E48:G48)</f>
        <v>724.50445797524219</v>
      </c>
      <c r="I48" s="148">
        <f>'Seasonal (WITH)'!I48</f>
        <v>29</v>
      </c>
      <c r="J48" s="148">
        <f>'Seasonal (WITH)'!J48</f>
        <v>33</v>
      </c>
      <c r="K48" s="148">
        <f>'Seasonal (WITH)'!K48</f>
        <v>40</v>
      </c>
      <c r="L48" s="148">
        <f t="shared" si="40"/>
        <v>31.03</v>
      </c>
      <c r="M48" s="148">
        <f t="shared" si="47"/>
        <v>21010.629281282025</v>
      </c>
      <c r="N48" s="148">
        <f t="shared" si="41"/>
        <v>0</v>
      </c>
      <c r="O48" s="148">
        <f t="shared" si="42"/>
        <v>0</v>
      </c>
      <c r="P48" s="148">
        <f t="shared" si="48"/>
        <v>21010.629281282025</v>
      </c>
      <c r="Q48" s="7">
        <f>Y48*'LOAD DATA and INPUT SEASONAL'!$E$12*1000</f>
        <v>59112.513259032508</v>
      </c>
      <c r="R48" s="153"/>
      <c r="S48" s="148">
        <f t="shared" si="49"/>
        <v>59112.513259032508</v>
      </c>
      <c r="T48" s="154">
        <f>'Seasonal (WITH)'!T48</f>
        <v>3.3855348503515992</v>
      </c>
      <c r="U48" s="148"/>
      <c r="V48" s="148">
        <f t="shared" si="50"/>
        <v>3.3855348503515992</v>
      </c>
      <c r="W48" s="148">
        <f>'Seasonal (WITH)'!W48</f>
        <v>673.72143521996816</v>
      </c>
      <c r="X48" s="148">
        <f>'Seasonal (WITH)'!X48</f>
        <v>0</v>
      </c>
      <c r="Y48" s="148">
        <f t="shared" si="51"/>
        <v>677.10697007031979</v>
      </c>
      <c r="Z48" s="148">
        <f t="shared" si="52"/>
        <v>724.50445797524219</v>
      </c>
      <c r="AA48" s="148" t="b">
        <f t="shared" si="53"/>
        <v>1</v>
      </c>
      <c r="AB48" s="148">
        <f t="shared" si="67"/>
        <v>105.05314640641012</v>
      </c>
      <c r="AC48" s="148">
        <f t="shared" si="55"/>
        <v>20905.576134875613</v>
      </c>
      <c r="AD48" s="148">
        <f t="shared" si="56"/>
        <v>0</v>
      </c>
      <c r="AE48" s="148">
        <f t="shared" si="57"/>
        <v>21010.629281282025</v>
      </c>
      <c r="AF48" s="148">
        <f t="shared" si="58"/>
        <v>295.56256629516253</v>
      </c>
      <c r="AG48" s="148">
        <f t="shared" si="59"/>
        <v>58816.950692737344</v>
      </c>
      <c r="AH48" s="148">
        <f t="shared" si="60"/>
        <v>0</v>
      </c>
      <c r="AI48" s="148">
        <f t="shared" si="61"/>
        <v>59112.513259032508</v>
      </c>
      <c r="AJ48" s="148">
        <f t="shared" si="62"/>
        <v>400.61571270157265</v>
      </c>
      <c r="AK48" s="148">
        <f t="shared" si="63"/>
        <v>79722.52682761295</v>
      </c>
      <c r="AL48" s="148">
        <f t="shared" si="64"/>
        <v>0</v>
      </c>
      <c r="AM48" s="148">
        <f t="shared" si="65"/>
        <v>80123.142540314526</v>
      </c>
    </row>
    <row r="49" spans="1:39" s="66" customFormat="1" x14ac:dyDescent="0.25">
      <c r="A49" s="66">
        <v>18</v>
      </c>
      <c r="B49" s="148">
        <f t="shared" ref="B49:D55" si="68">B22</f>
        <v>1000</v>
      </c>
      <c r="C49" s="148">
        <f t="shared" si="68"/>
        <v>500</v>
      </c>
      <c r="D49" s="148">
        <f t="shared" si="68"/>
        <v>100</v>
      </c>
      <c r="E49" s="148">
        <f t="shared" si="44"/>
        <v>790.60726151258712</v>
      </c>
      <c r="F49" s="148">
        <f t="shared" si="66"/>
        <v>0</v>
      </c>
      <c r="G49" s="148">
        <f t="shared" si="45"/>
        <v>0</v>
      </c>
      <c r="H49" s="148">
        <f t="shared" ref="H49:H51" si="69">SUM(E49:G49)</f>
        <v>790.60726151258712</v>
      </c>
      <c r="I49" s="148">
        <f>'Seasonal (WITH)'!I49</f>
        <v>29</v>
      </c>
      <c r="J49" s="148">
        <f>'Seasonal (WITH)'!J49</f>
        <v>33</v>
      </c>
      <c r="K49" s="148">
        <f>'Seasonal (WITH)'!K49</f>
        <v>40</v>
      </c>
      <c r="L49" s="148">
        <f t="shared" si="40"/>
        <v>31.029999999999998</v>
      </c>
      <c r="M49" s="148">
        <f t="shared" si="47"/>
        <v>22927.610583865026</v>
      </c>
      <c r="N49" s="148">
        <f t="shared" si="41"/>
        <v>0</v>
      </c>
      <c r="O49" s="148">
        <f t="shared" si="42"/>
        <v>0</v>
      </c>
      <c r="P49" s="148">
        <f t="shared" si="48"/>
        <v>22927.610583865026</v>
      </c>
      <c r="Q49" s="7">
        <f>Y49*'LOAD DATA and INPUT SEASONAL'!$E$12*1000</f>
        <v>64505.858748556122</v>
      </c>
      <c r="R49" s="153"/>
      <c r="S49" s="148">
        <f t="shared" si="49"/>
        <v>64505.858748556122</v>
      </c>
      <c r="T49" s="154">
        <f>'Seasonal (WITH)'!T49</f>
        <v>3.6944264556662949</v>
      </c>
      <c r="U49" s="148"/>
      <c r="V49" s="148">
        <f t="shared" si="50"/>
        <v>3.6944264556662949</v>
      </c>
      <c r="W49" s="148">
        <f>'Seasonal (WITH)'!W49</f>
        <v>735.19086467759269</v>
      </c>
      <c r="X49" s="148">
        <f>'Seasonal (WITH)'!X49</f>
        <v>0</v>
      </c>
      <c r="Y49" s="148">
        <f t="shared" si="51"/>
        <v>738.88529113325899</v>
      </c>
      <c r="Z49" s="148">
        <f t="shared" si="52"/>
        <v>790.60726151258712</v>
      </c>
      <c r="AA49" s="148" t="b">
        <f t="shared" si="53"/>
        <v>1</v>
      </c>
      <c r="AB49" s="148">
        <f t="shared" si="67"/>
        <v>114.63805291932512</v>
      </c>
      <c r="AC49" s="148">
        <f t="shared" si="55"/>
        <v>22812.972530945699</v>
      </c>
      <c r="AD49" s="148">
        <f t="shared" si="56"/>
        <v>0</v>
      </c>
      <c r="AE49" s="148">
        <f t="shared" si="57"/>
        <v>22927.610583865026</v>
      </c>
      <c r="AF49" s="148">
        <f t="shared" si="58"/>
        <v>322.52929374278062</v>
      </c>
      <c r="AG49" s="148">
        <f t="shared" si="59"/>
        <v>64183.329454813342</v>
      </c>
      <c r="AH49" s="148">
        <f t="shared" si="60"/>
        <v>0</v>
      </c>
      <c r="AI49" s="148">
        <f t="shared" si="61"/>
        <v>64505.858748556122</v>
      </c>
      <c r="AJ49" s="148">
        <f t="shared" si="62"/>
        <v>437.16734666210573</v>
      </c>
      <c r="AK49" s="148">
        <f t="shared" si="63"/>
        <v>86996.301985759041</v>
      </c>
      <c r="AL49" s="148">
        <f t="shared" si="64"/>
        <v>0</v>
      </c>
      <c r="AM49" s="148">
        <f t="shared" si="65"/>
        <v>87433.46933242114</v>
      </c>
    </row>
    <row r="50" spans="1:39" s="66" customFormat="1" x14ac:dyDescent="0.25">
      <c r="A50" s="66">
        <v>19</v>
      </c>
      <c r="B50" s="148">
        <f t="shared" si="68"/>
        <v>1000</v>
      </c>
      <c r="C50" s="148">
        <f t="shared" si="68"/>
        <v>500</v>
      </c>
      <c r="D50" s="148">
        <f t="shared" si="68"/>
        <v>100</v>
      </c>
      <c r="E50" s="148">
        <f t="shared" si="44"/>
        <v>847.2237381520855</v>
      </c>
      <c r="F50" s="148">
        <f t="shared" si="66"/>
        <v>0</v>
      </c>
      <c r="G50" s="148">
        <f t="shared" si="45"/>
        <v>0</v>
      </c>
      <c r="H50" s="148">
        <f t="shared" si="69"/>
        <v>847.2237381520855</v>
      </c>
      <c r="I50" s="148">
        <f>'Seasonal (WITH)'!I50</f>
        <v>29</v>
      </c>
      <c r="J50" s="148">
        <f>'Seasonal (WITH)'!J50</f>
        <v>33</v>
      </c>
      <c r="K50" s="148">
        <f>'Seasonal (WITH)'!K50</f>
        <v>40</v>
      </c>
      <c r="L50" s="148">
        <f t="shared" si="40"/>
        <v>31.030000000000005</v>
      </c>
      <c r="M50" s="148">
        <f t="shared" si="47"/>
        <v>24569.488406410481</v>
      </c>
      <c r="N50" s="148">
        <f t="shared" si="41"/>
        <v>0</v>
      </c>
      <c r="O50" s="148">
        <f t="shared" si="42"/>
        <v>0</v>
      </c>
      <c r="P50" s="148">
        <f t="shared" si="48"/>
        <v>24569.488406410481</v>
      </c>
      <c r="Q50" s="7">
        <f>Y50*'LOAD DATA and INPUT SEASONAL'!$E$12*1000</f>
        <v>69125.212279361338</v>
      </c>
      <c r="R50" s="153"/>
      <c r="S50" s="148">
        <f t="shared" si="49"/>
        <v>69125.212279361338</v>
      </c>
      <c r="T50" s="154">
        <f>'Seasonal (WITH)'!T50</f>
        <v>3.9589894306172217</v>
      </c>
      <c r="U50" s="148"/>
      <c r="V50" s="148">
        <f t="shared" si="50"/>
        <v>3.9589894306172217</v>
      </c>
      <c r="W50" s="148">
        <f>'Seasonal (WITH)'!W50</f>
        <v>787.83889669282712</v>
      </c>
      <c r="X50" s="148">
        <f>'Seasonal (WITH)'!X50</f>
        <v>0</v>
      </c>
      <c r="Y50" s="148">
        <f t="shared" si="51"/>
        <v>791.7978861234443</v>
      </c>
      <c r="Z50" s="148">
        <f t="shared" si="52"/>
        <v>847.2237381520855</v>
      </c>
      <c r="AA50" s="148" t="b">
        <f t="shared" si="53"/>
        <v>1</v>
      </c>
      <c r="AB50" s="148">
        <f t="shared" si="67"/>
        <v>122.84744203205241</v>
      </c>
      <c r="AC50" s="148">
        <f t="shared" si="55"/>
        <v>24446.640964378428</v>
      </c>
      <c r="AD50" s="148">
        <f t="shared" si="56"/>
        <v>0</v>
      </c>
      <c r="AE50" s="148">
        <f t="shared" si="57"/>
        <v>24569.488406410481</v>
      </c>
      <c r="AF50" s="148">
        <f t="shared" si="58"/>
        <v>345.62606139680673</v>
      </c>
      <c r="AG50" s="148">
        <f t="shared" si="59"/>
        <v>68779.586217964534</v>
      </c>
      <c r="AH50" s="148">
        <f t="shared" si="60"/>
        <v>0</v>
      </c>
      <c r="AI50" s="148">
        <f t="shared" si="61"/>
        <v>69125.212279361338</v>
      </c>
      <c r="AJ50" s="148">
        <f t="shared" si="62"/>
        <v>468.47350342885915</v>
      </c>
      <c r="AK50" s="148">
        <f t="shared" si="63"/>
        <v>93226.227182342962</v>
      </c>
      <c r="AL50" s="148">
        <f t="shared" si="64"/>
        <v>0</v>
      </c>
      <c r="AM50" s="148">
        <f t="shared" si="65"/>
        <v>93694.700685771822</v>
      </c>
    </row>
    <row r="51" spans="1:39" s="66" customFormat="1" x14ac:dyDescent="0.25">
      <c r="A51" s="66">
        <v>20</v>
      </c>
      <c r="B51" s="148">
        <f t="shared" si="68"/>
        <v>1000</v>
      </c>
      <c r="C51" s="148">
        <f t="shared" si="68"/>
        <v>500</v>
      </c>
      <c r="D51" s="148">
        <f t="shared" si="68"/>
        <v>100</v>
      </c>
      <c r="E51" s="148">
        <f t="shared" si="44"/>
        <v>891.22109977166542</v>
      </c>
      <c r="F51" s="148">
        <f t="shared" si="66"/>
        <v>0</v>
      </c>
      <c r="G51" s="148">
        <f t="shared" si="45"/>
        <v>0</v>
      </c>
      <c r="H51" s="148">
        <f t="shared" si="69"/>
        <v>891.22109977166542</v>
      </c>
      <c r="I51" s="148">
        <f>'Seasonal (WITH)'!I51</f>
        <v>29</v>
      </c>
      <c r="J51" s="148">
        <f>'Seasonal (WITH)'!J51</f>
        <v>33</v>
      </c>
      <c r="K51" s="148">
        <f>'Seasonal (WITH)'!K51</f>
        <v>40</v>
      </c>
      <c r="L51" s="148">
        <f t="shared" si="40"/>
        <v>31.029999999999998</v>
      </c>
      <c r="M51" s="148">
        <f t="shared" si="47"/>
        <v>25845.411893378296</v>
      </c>
      <c r="N51" s="148">
        <f t="shared" si="41"/>
        <v>0</v>
      </c>
      <c r="O51" s="148">
        <f t="shared" si="42"/>
        <v>0</v>
      </c>
      <c r="P51" s="148">
        <f t="shared" si="48"/>
        <v>25845.411893378296</v>
      </c>
      <c r="Q51" s="7">
        <f>Y51*'LOAD DATA and INPUT SEASONAL'!$E$12*1000</f>
        <v>72714.968827400051</v>
      </c>
      <c r="R51" s="153"/>
      <c r="S51" s="148">
        <f t="shared" si="49"/>
        <v>72714.968827400051</v>
      </c>
      <c r="T51" s="154">
        <f>'Seasonal (WITH)'!T51</f>
        <v>4.1645845783722688</v>
      </c>
      <c r="U51" s="148"/>
      <c r="V51" s="148">
        <f t="shared" si="50"/>
        <v>4.1645845783722688</v>
      </c>
      <c r="W51" s="148">
        <f>'Seasonal (WITH)'!W51</f>
        <v>828.75233109608143</v>
      </c>
      <c r="X51" s="148">
        <f>'Seasonal (WITH)'!X51</f>
        <v>0</v>
      </c>
      <c r="Y51" s="148">
        <f t="shared" si="51"/>
        <v>832.91691567445366</v>
      </c>
      <c r="Z51" s="148">
        <f t="shared" si="52"/>
        <v>891.22109977166542</v>
      </c>
      <c r="AA51" s="148" t="b">
        <f t="shared" si="53"/>
        <v>1</v>
      </c>
      <c r="AB51" s="148">
        <f t="shared" si="67"/>
        <v>129.22705946689149</v>
      </c>
      <c r="AC51" s="148">
        <f t="shared" si="55"/>
        <v>25716.184833911404</v>
      </c>
      <c r="AD51" s="148">
        <f t="shared" si="56"/>
        <v>0</v>
      </c>
      <c r="AE51" s="148">
        <f t="shared" si="57"/>
        <v>25845.411893378296</v>
      </c>
      <c r="AF51" s="148">
        <f t="shared" si="58"/>
        <v>363.5748441370003</v>
      </c>
      <c r="AG51" s="148">
        <f t="shared" si="59"/>
        <v>72351.393983263057</v>
      </c>
      <c r="AH51" s="148">
        <f t="shared" si="60"/>
        <v>0</v>
      </c>
      <c r="AI51" s="148">
        <f t="shared" si="61"/>
        <v>72714.968827400051</v>
      </c>
      <c r="AJ51" s="148">
        <f t="shared" si="62"/>
        <v>492.80190360389179</v>
      </c>
      <c r="AK51" s="148">
        <f t="shared" si="63"/>
        <v>98067.578817174464</v>
      </c>
      <c r="AL51" s="148">
        <f t="shared" si="64"/>
        <v>0</v>
      </c>
      <c r="AM51" s="148">
        <f t="shared" si="65"/>
        <v>98560.380720778354</v>
      </c>
    </row>
    <row r="52" spans="1:39" s="66" customFormat="1" x14ac:dyDescent="0.25">
      <c r="A52" s="66">
        <v>21</v>
      </c>
      <c r="B52" s="148">
        <f t="shared" si="68"/>
        <v>1000</v>
      </c>
      <c r="C52" s="148">
        <f t="shared" si="68"/>
        <v>500</v>
      </c>
      <c r="D52" s="148">
        <f t="shared" si="68"/>
        <v>100</v>
      </c>
      <c r="E52" s="148">
        <f t="shared" si="44"/>
        <v>897.53300519229208</v>
      </c>
      <c r="F52" s="148">
        <f t="shared" si="66"/>
        <v>0</v>
      </c>
      <c r="G52" s="148">
        <f>IF(SUM(E52,F52)&lt;Z52,IF(SUM(E52,F52,D52)&lt;Z52,D52,Z52-E52-F52),0)</f>
        <v>0</v>
      </c>
      <c r="H52" s="148">
        <f>SUM(E52:G52)</f>
        <v>897.53300519229208</v>
      </c>
      <c r="I52" s="148">
        <f>'Seasonal (WITH)'!I52</f>
        <v>29</v>
      </c>
      <c r="J52" s="148">
        <f>'Seasonal (WITH)'!J52</f>
        <v>33</v>
      </c>
      <c r="K52" s="148">
        <f>'Seasonal (WITH)'!K52</f>
        <v>40</v>
      </c>
      <c r="L52" s="148">
        <f t="shared" si="40"/>
        <v>31.03</v>
      </c>
      <c r="M52" s="148">
        <f>E52*I52</f>
        <v>26028.457150576469</v>
      </c>
      <c r="N52" s="148">
        <f t="shared" si="41"/>
        <v>0</v>
      </c>
      <c r="O52" s="148">
        <f t="shared" si="42"/>
        <v>0</v>
      </c>
      <c r="P52" s="148">
        <f>SUM(M52:O52)</f>
        <v>26028.457150576469</v>
      </c>
      <c r="Q52" s="7">
        <f>Y52*'LOAD DATA and INPUT SEASONAL'!$E$12*1000</f>
        <v>73229.95888544507</v>
      </c>
      <c r="R52" s="153"/>
      <c r="S52" s="148">
        <f t="shared" si="49"/>
        <v>73229.95888544507</v>
      </c>
      <c r="T52" s="154">
        <f>'Seasonal (WITH)'!T52</f>
        <v>4.1940794635153837</v>
      </c>
      <c r="U52" s="148"/>
      <c r="V52" s="148">
        <f t="shared" si="50"/>
        <v>4.1940794635153837</v>
      </c>
      <c r="W52" s="148">
        <f>'Seasonal (WITH)'!W52</f>
        <v>834.62181323956122</v>
      </c>
      <c r="X52" s="148">
        <f>'Seasonal (WITH)'!X52</f>
        <v>0</v>
      </c>
      <c r="Y52" s="148">
        <f>SUM(V52:X52)</f>
        <v>838.81589270307666</v>
      </c>
      <c r="Z52" s="148">
        <f>Y52*1.07</f>
        <v>897.53300519229208</v>
      </c>
      <c r="AA52" s="148" t="b">
        <f>Z52=H52</f>
        <v>1</v>
      </c>
      <c r="AB52" s="148">
        <f>V52*L52</f>
        <v>130.14228575288237</v>
      </c>
      <c r="AC52" s="148">
        <f>W52*$L52</f>
        <v>25898.314864823587</v>
      </c>
      <c r="AD52" s="148">
        <f>X52*$L52</f>
        <v>0</v>
      </c>
      <c r="AE52" s="148">
        <f>SUM(AB52:AD52)</f>
        <v>26028.457150576469</v>
      </c>
      <c r="AF52" s="148">
        <f>$S52/$Y52*V52</f>
        <v>366.1497944272254</v>
      </c>
      <c r="AG52" s="148">
        <f t="shared" si="59"/>
        <v>72863.809091017843</v>
      </c>
      <c r="AH52" s="148">
        <f t="shared" si="60"/>
        <v>0</v>
      </c>
      <c r="AI52" s="148">
        <f>SUM(AF52:AH52)</f>
        <v>73229.95888544507</v>
      </c>
      <c r="AJ52" s="148">
        <f>AB52+AF52</f>
        <v>496.29208018010775</v>
      </c>
      <c r="AK52" s="148">
        <f>AC52+AG52</f>
        <v>98762.123955841438</v>
      </c>
      <c r="AL52" s="148">
        <f>AD52+AH52</f>
        <v>0</v>
      </c>
      <c r="AM52" s="148">
        <f>SUM(AJ52:AL52)</f>
        <v>99258.416036021546</v>
      </c>
    </row>
    <row r="53" spans="1:39" s="66" customFormat="1" x14ac:dyDescent="0.25">
      <c r="A53" s="66">
        <v>22</v>
      </c>
      <c r="B53" s="148">
        <f t="shared" si="68"/>
        <v>1000</v>
      </c>
      <c r="C53" s="148">
        <f t="shared" si="68"/>
        <v>500</v>
      </c>
      <c r="D53" s="148">
        <f t="shared" si="68"/>
        <v>100</v>
      </c>
      <c r="E53" s="148">
        <f t="shared" si="44"/>
        <v>873.21880815256475</v>
      </c>
      <c r="F53" s="148">
        <f t="shared" si="66"/>
        <v>0</v>
      </c>
      <c r="G53" s="148">
        <f t="shared" ref="G53:G54" si="70">IF(SUM(E53,F53)&lt;Z53,IF(SUM(E53,F53,D53)&lt;Z53,D53,Z53-E53-F53),0)</f>
        <v>0</v>
      </c>
      <c r="H53" s="148">
        <f t="shared" ref="H53:H54" si="71">SUM(E53:G53)</f>
        <v>873.21880815256475</v>
      </c>
      <c r="I53" s="148">
        <f>'Seasonal (WITH)'!I53</f>
        <v>29</v>
      </c>
      <c r="J53" s="148">
        <f>'Seasonal (WITH)'!J53</f>
        <v>33</v>
      </c>
      <c r="K53" s="148">
        <f>'Seasonal (WITH)'!K53</f>
        <v>40</v>
      </c>
      <c r="L53" s="148">
        <f t="shared" si="40"/>
        <v>31.029999999999998</v>
      </c>
      <c r="M53" s="148">
        <f t="shared" ref="M53:M54" si="72">E53*I53</f>
        <v>25323.345436424377</v>
      </c>
      <c r="N53" s="148">
        <f t="shared" si="41"/>
        <v>0</v>
      </c>
      <c r="O53" s="148">
        <f t="shared" si="42"/>
        <v>0</v>
      </c>
      <c r="P53" s="148">
        <f t="shared" ref="P53:P54" si="73">SUM(M53:O53)</f>
        <v>25323.345436424377</v>
      </c>
      <c r="Q53" s="7">
        <f>Y53*'LOAD DATA and INPUT SEASONAL'!$E$12*1000</f>
        <v>71246.157020498198</v>
      </c>
      <c r="R53" s="153"/>
      <c r="S53" s="148">
        <f t="shared" si="49"/>
        <v>71246.157020498198</v>
      </c>
      <c r="T53" s="154">
        <f>'Seasonal (WITH)'!T53</f>
        <v>4.0804617203390876</v>
      </c>
      <c r="U53" s="148"/>
      <c r="V53" s="148">
        <f t="shared" si="50"/>
        <v>4.0804617203390876</v>
      </c>
      <c r="W53" s="148">
        <f>'Seasonal (WITH)'!W53</f>
        <v>812.01188234747838</v>
      </c>
      <c r="X53" s="148">
        <f>'Seasonal (WITH)'!X53</f>
        <v>0</v>
      </c>
      <c r="Y53" s="148">
        <f t="shared" ref="Y53:Y54" si="74">SUM(V53:X53)</f>
        <v>816.09234406781752</v>
      </c>
      <c r="Z53" s="148">
        <f t="shared" ref="Z53:Z54" si="75">Y53*1.07</f>
        <v>873.21880815256475</v>
      </c>
      <c r="AA53" s="148" t="b">
        <f t="shared" ref="AA53:AA54" si="76">Z53=H53</f>
        <v>1</v>
      </c>
      <c r="AB53" s="148">
        <f t="shared" ref="AB53:AB54" si="77">V53*L53</f>
        <v>126.61672718212188</v>
      </c>
      <c r="AC53" s="148">
        <f t="shared" ref="AC53:AC54" si="78">W53*$L53</f>
        <v>25196.728709242252</v>
      </c>
      <c r="AD53" s="148">
        <f t="shared" ref="AD53:AD54" si="79">X53*$L53</f>
        <v>0</v>
      </c>
      <c r="AE53" s="148">
        <f t="shared" ref="AE53:AE54" si="80">SUM(AB53:AD53)</f>
        <v>25323.345436424373</v>
      </c>
      <c r="AF53" s="148">
        <f t="shared" ref="AF53:AF54" si="81">$S53/$Y53*V53</f>
        <v>356.23078510249104</v>
      </c>
      <c r="AG53" s="148">
        <f t="shared" si="59"/>
        <v>70889.926235395702</v>
      </c>
      <c r="AH53" s="148">
        <f t="shared" si="60"/>
        <v>0</v>
      </c>
      <c r="AI53" s="148">
        <f t="shared" ref="AI53:AI54" si="82">SUM(AF53:AH53)</f>
        <v>71246.157020498198</v>
      </c>
      <c r="AJ53" s="148">
        <f t="shared" ref="AJ53:AJ54" si="83">AB53+AF53</f>
        <v>482.84751228461289</v>
      </c>
      <c r="AK53" s="148">
        <f t="shared" ref="AK53:AK54" si="84">AC53+AG53</f>
        <v>96086.65494463795</v>
      </c>
      <c r="AL53" s="148">
        <f t="shared" ref="AL53:AL54" si="85">AD53+AH53</f>
        <v>0</v>
      </c>
      <c r="AM53" s="148">
        <f t="shared" ref="AM53:AM54" si="86">SUM(AJ53:AL53)</f>
        <v>96569.502456922564</v>
      </c>
    </row>
    <row r="54" spans="1:39" s="66" customFormat="1" x14ac:dyDescent="0.25">
      <c r="A54" s="66">
        <v>23</v>
      </c>
      <c r="B54" s="148">
        <f t="shared" si="68"/>
        <v>1000</v>
      </c>
      <c r="C54" s="148">
        <f t="shared" si="68"/>
        <v>500</v>
      </c>
      <c r="D54" s="148">
        <f t="shared" si="68"/>
        <v>100</v>
      </c>
      <c r="E54" s="148">
        <f t="shared" si="44"/>
        <v>732.62502774008067</v>
      </c>
      <c r="F54" s="148">
        <f t="shared" si="66"/>
        <v>0</v>
      </c>
      <c r="G54" s="148">
        <f t="shared" si="70"/>
        <v>0</v>
      </c>
      <c r="H54" s="148">
        <f t="shared" si="71"/>
        <v>732.62502774008067</v>
      </c>
      <c r="I54" s="148">
        <f>'Seasonal (WITH)'!I54</f>
        <v>29</v>
      </c>
      <c r="J54" s="148">
        <f>'Seasonal (WITH)'!J54</f>
        <v>33</v>
      </c>
      <c r="K54" s="148">
        <f>'Seasonal (WITH)'!K54</f>
        <v>40</v>
      </c>
      <c r="L54" s="148">
        <f t="shared" si="40"/>
        <v>31.03</v>
      </c>
      <c r="M54" s="148">
        <f t="shared" si="72"/>
        <v>21246.125804462339</v>
      </c>
      <c r="N54" s="148">
        <f t="shared" si="41"/>
        <v>0</v>
      </c>
      <c r="O54" s="148">
        <f t="shared" si="42"/>
        <v>0</v>
      </c>
      <c r="P54" s="148">
        <f t="shared" si="73"/>
        <v>21246.125804462339</v>
      </c>
      <c r="Q54" s="7">
        <f>Y54*'LOAD DATA and INPUT SEASONAL'!$E$12*1000</f>
        <v>59775.072726556609</v>
      </c>
      <c r="R54" s="153"/>
      <c r="S54" s="148">
        <f t="shared" si="49"/>
        <v>59775.072726556609</v>
      </c>
      <c r="T54" s="154">
        <f>'Seasonal (WITH)'!T54</f>
        <v>3.4234814380377601</v>
      </c>
      <c r="U54" s="148"/>
      <c r="V54" s="148">
        <f t="shared" si="50"/>
        <v>3.4234814380377601</v>
      </c>
      <c r="W54" s="148">
        <f>'Seasonal (WITH)'!W54</f>
        <v>681.27280616951418</v>
      </c>
      <c r="X54" s="148">
        <f>'Seasonal (WITH)'!X54</f>
        <v>0</v>
      </c>
      <c r="Y54" s="148">
        <f t="shared" si="74"/>
        <v>684.69628760755199</v>
      </c>
      <c r="Z54" s="148">
        <f t="shared" si="75"/>
        <v>732.62502774008067</v>
      </c>
      <c r="AA54" s="148" t="b">
        <f t="shared" si="76"/>
        <v>1</v>
      </c>
      <c r="AB54" s="148">
        <f t="shared" si="77"/>
        <v>106.2306290223117</v>
      </c>
      <c r="AC54" s="148">
        <f t="shared" si="78"/>
        <v>21139.895175440026</v>
      </c>
      <c r="AD54" s="148">
        <f t="shared" si="79"/>
        <v>0</v>
      </c>
      <c r="AE54" s="148">
        <f t="shared" si="80"/>
        <v>21246.125804462339</v>
      </c>
      <c r="AF54" s="148">
        <f t="shared" si="81"/>
        <v>298.87536363278303</v>
      </c>
      <c r="AG54" s="148">
        <f t="shared" si="59"/>
        <v>59476.19736292382</v>
      </c>
      <c r="AH54" s="148">
        <f t="shared" si="60"/>
        <v>0</v>
      </c>
      <c r="AI54" s="148">
        <f t="shared" si="82"/>
        <v>59775.072726556602</v>
      </c>
      <c r="AJ54" s="148">
        <f t="shared" si="83"/>
        <v>405.10599265509472</v>
      </c>
      <c r="AK54" s="148">
        <f t="shared" si="84"/>
        <v>80616.092538363853</v>
      </c>
      <c r="AL54" s="148">
        <f t="shared" si="85"/>
        <v>0</v>
      </c>
      <c r="AM54" s="148">
        <f t="shared" si="86"/>
        <v>81021.198531018948</v>
      </c>
    </row>
    <row r="55" spans="1:39" s="66" customFormat="1" x14ac:dyDescent="0.25">
      <c r="A55" s="66">
        <v>24</v>
      </c>
      <c r="B55" s="148">
        <f t="shared" si="68"/>
        <v>1000</v>
      </c>
      <c r="C55" s="148">
        <f t="shared" si="68"/>
        <v>500</v>
      </c>
      <c r="D55" s="148">
        <f t="shared" si="68"/>
        <v>100</v>
      </c>
      <c r="E55" s="148">
        <f t="shared" si="44"/>
        <v>591.43606509095423</v>
      </c>
      <c r="F55" s="148">
        <f t="shared" si="66"/>
        <v>0</v>
      </c>
      <c r="G55" s="148">
        <f>IF(SUM(E55,F55)&lt;Z55,IF(SUM(E55,F55,D55)&lt;Z55,D55,Z55-E55-F55),0)</f>
        <v>0</v>
      </c>
      <c r="H55" s="148">
        <f>SUM(E55:G55)</f>
        <v>591.43606509095423</v>
      </c>
      <c r="I55" s="148">
        <f>'Seasonal (WITH)'!I55</f>
        <v>29</v>
      </c>
      <c r="J55" s="148">
        <f>'Seasonal (WITH)'!J55</f>
        <v>33</v>
      </c>
      <c r="K55" s="148">
        <f>'Seasonal (WITH)'!K55</f>
        <v>40</v>
      </c>
      <c r="L55" s="148">
        <f>P55/Y55</f>
        <v>31.029999999999998</v>
      </c>
      <c r="M55" s="148">
        <f>E55*I55</f>
        <v>17151.645887637671</v>
      </c>
      <c r="N55" s="148">
        <f t="shared" si="41"/>
        <v>0</v>
      </c>
      <c r="O55" s="148">
        <f t="shared" si="42"/>
        <v>0</v>
      </c>
      <c r="P55" s="148">
        <f>SUM(M55:O55)</f>
        <v>17151.645887637671</v>
      </c>
      <c r="Q55" s="7">
        <f>Y55*'LOAD DATA and INPUT SEASONAL'!$E$12*1000</f>
        <v>48255.427354118146</v>
      </c>
      <c r="R55" s="153"/>
      <c r="S55" s="148">
        <f t="shared" si="49"/>
        <v>48255.427354118146</v>
      </c>
      <c r="T55" s="154">
        <f>'Seasonal (WITH)'!T55</f>
        <v>2.7637199303315616</v>
      </c>
      <c r="U55" s="148"/>
      <c r="V55" s="148">
        <f t="shared" si="50"/>
        <v>2.7637199303315616</v>
      </c>
      <c r="W55" s="148">
        <f>'Seasonal (WITH)'!W55</f>
        <v>549.98026613598074</v>
      </c>
      <c r="X55" s="148">
        <f>'Seasonal (WITH)'!X55</f>
        <v>0</v>
      </c>
      <c r="Y55" s="148">
        <f>SUM(V55:X55)</f>
        <v>552.74398606631235</v>
      </c>
      <c r="Z55" s="148">
        <f>Y55*1.07</f>
        <v>591.43606509095423</v>
      </c>
      <c r="AA55" s="148" t="b">
        <f>Z55=H55</f>
        <v>1</v>
      </c>
      <c r="AB55" s="148">
        <f>V55*L55</f>
        <v>85.758229438188351</v>
      </c>
      <c r="AC55" s="148">
        <f>W55*$L55</f>
        <v>17065.887658199481</v>
      </c>
      <c r="AD55" s="148">
        <f>X55*$L55</f>
        <v>0</v>
      </c>
      <c r="AE55" s="148">
        <f>SUM(AB55:AD55)</f>
        <v>17151.645887637671</v>
      </c>
      <c r="AF55" s="148">
        <f>$S55/$Y55*V55</f>
        <v>241.27713677059072</v>
      </c>
      <c r="AG55" s="148">
        <f t="shared" si="59"/>
        <v>48014.150217347553</v>
      </c>
      <c r="AH55" s="148">
        <f t="shared" si="60"/>
        <v>0</v>
      </c>
      <c r="AI55" s="148">
        <f>SUM(AF55:AH55)</f>
        <v>48255.427354118146</v>
      </c>
      <c r="AJ55" s="148">
        <f>AB55+AF55</f>
        <v>327.03536620877907</v>
      </c>
      <c r="AK55" s="148">
        <f>AC55+AG55</f>
        <v>65080.03787554703</v>
      </c>
      <c r="AL55" s="148">
        <f>AD55+AH55</f>
        <v>0</v>
      </c>
      <c r="AM55" s="148">
        <f>SUM(AJ55:AL55)</f>
        <v>65407.07324175581</v>
      </c>
    </row>
    <row r="56" spans="1:39" s="66" customFormat="1" x14ac:dyDescent="0.25">
      <c r="A56" s="66" t="s">
        <v>32</v>
      </c>
      <c r="B56" s="66">
        <f t="shared" ref="B56:AA56" si="87">SUM(B32:B55)</f>
        <v>24000</v>
      </c>
      <c r="C56" s="66">
        <f t="shared" si="87"/>
        <v>12000</v>
      </c>
      <c r="D56" s="66">
        <f t="shared" si="87"/>
        <v>2400</v>
      </c>
      <c r="E56" s="66">
        <f t="shared" si="87"/>
        <v>15318.567543033823</v>
      </c>
      <c r="F56" s="66">
        <f t="shared" si="87"/>
        <v>0</v>
      </c>
      <c r="G56" s="66">
        <f t="shared" si="87"/>
        <v>0</v>
      </c>
      <c r="H56" s="66">
        <f t="shared" si="87"/>
        <v>15318.567543033823</v>
      </c>
      <c r="I56" s="66">
        <f t="shared" si="87"/>
        <v>696</v>
      </c>
      <c r="J56" s="66">
        <f t="shared" si="87"/>
        <v>792</v>
      </c>
      <c r="K56" s="66">
        <f t="shared" si="87"/>
        <v>960</v>
      </c>
      <c r="L56" s="66">
        <f t="shared" si="87"/>
        <v>744.71999999999969</v>
      </c>
      <c r="M56" s="66">
        <f t="shared" si="87"/>
        <v>444238.45874798088</v>
      </c>
      <c r="N56" s="66">
        <f t="shared" si="87"/>
        <v>0</v>
      </c>
      <c r="O56" s="66">
        <f t="shared" si="87"/>
        <v>0</v>
      </c>
      <c r="P56" s="66">
        <f t="shared" si="87"/>
        <v>444238.45874798088</v>
      </c>
      <c r="Q56" s="66">
        <f t="shared" si="87"/>
        <v>1249846.0389430968</v>
      </c>
      <c r="R56" s="66">
        <f t="shared" si="87"/>
        <v>0</v>
      </c>
      <c r="S56" s="66">
        <f t="shared" si="87"/>
        <v>1249846.0389430968</v>
      </c>
      <c r="T56" s="66">
        <f t="shared" si="87"/>
        <v>71.582091322587956</v>
      </c>
      <c r="U56" s="66">
        <f t="shared" si="87"/>
        <v>0</v>
      </c>
      <c r="V56" s="66">
        <f t="shared" si="87"/>
        <v>71.582091322587956</v>
      </c>
      <c r="W56" s="66">
        <f t="shared" si="87"/>
        <v>14244.836173195003</v>
      </c>
      <c r="X56" s="66">
        <f t="shared" si="87"/>
        <v>0</v>
      </c>
      <c r="Y56" s="66">
        <f t="shared" si="87"/>
        <v>14316.418264517592</v>
      </c>
      <c r="Z56" s="66">
        <f t="shared" si="87"/>
        <v>15318.567543033823</v>
      </c>
      <c r="AA56" s="66">
        <f t="shared" si="87"/>
        <v>0</v>
      </c>
      <c r="AB56" s="66">
        <f>SUM(AB32:AB55)</f>
        <v>2221.192293739904</v>
      </c>
      <c r="AC56" s="66">
        <f t="shared" ref="AC56:AL56" si="88">SUM(AC32:AC55)</f>
        <v>442017.26645424089</v>
      </c>
      <c r="AD56" s="66">
        <f t="shared" si="88"/>
        <v>0</v>
      </c>
      <c r="AE56" s="66">
        <f t="shared" si="88"/>
        <v>444238.45874798088</v>
      </c>
      <c r="AF56" s="66">
        <f t="shared" si="88"/>
        <v>6249.2301947154838</v>
      </c>
      <c r="AG56" s="66">
        <f t="shared" si="88"/>
        <v>1243596.8087483814</v>
      </c>
      <c r="AH56" s="66">
        <f t="shared" si="88"/>
        <v>0</v>
      </c>
      <c r="AI56" s="66">
        <f t="shared" si="88"/>
        <v>1249846.0389430968</v>
      </c>
      <c r="AJ56" s="66">
        <f t="shared" si="88"/>
        <v>8470.4224884553878</v>
      </c>
      <c r="AK56" s="66">
        <f t="shared" si="88"/>
        <v>1685614.0752026222</v>
      </c>
      <c r="AL56" s="66">
        <f t="shared" si="88"/>
        <v>0</v>
      </c>
      <c r="AM56" s="66">
        <f>SUM(AM32:AM55)</f>
        <v>1694084.4976910781</v>
      </c>
    </row>
    <row r="57" spans="1:39" x14ac:dyDescent="0.25"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2"/>
      <c r="S57" s="151"/>
    </row>
    <row r="58" spans="1:39" s="66" customFormat="1" x14ac:dyDescent="0.25">
      <c r="A58" s="66" t="s">
        <v>34</v>
      </c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53"/>
      <c r="S58" s="148"/>
      <c r="T58" s="144"/>
      <c r="U58" s="144"/>
      <c r="V58" s="144"/>
    </row>
    <row r="59" spans="1:39" s="66" customFormat="1" x14ac:dyDescent="0.25">
      <c r="A59" s="66">
        <v>1</v>
      </c>
      <c r="B59" s="148">
        <f>B32</f>
        <v>1000</v>
      </c>
      <c r="C59" s="148">
        <f t="shared" ref="C59:D59" si="89">C32</f>
        <v>500</v>
      </c>
      <c r="D59" s="148">
        <f t="shared" si="89"/>
        <v>100</v>
      </c>
      <c r="E59" s="148">
        <f>IF(B59&lt;Z59,B59,Z59)</f>
        <v>707.25231926031449</v>
      </c>
      <c r="F59" s="148">
        <f t="shared" ref="F59:F68" si="90">IF(C59&lt;Z59-E59,C59,Z59-E59)</f>
        <v>0</v>
      </c>
      <c r="G59" s="148">
        <f>IF(SUM(E59,F59)&lt;Z59,IF(SUM(E59,F59,D59)&lt;Z59,D59,Z59-E59-F59),0)</f>
        <v>0</v>
      </c>
      <c r="H59" s="148">
        <f>SUM(E59:G59)</f>
        <v>707.25231926031449</v>
      </c>
      <c r="I59" s="148">
        <f>'Seasonal (WITH)'!I59</f>
        <v>29</v>
      </c>
      <c r="J59" s="148">
        <f>'Seasonal (WITH)'!J59</f>
        <v>33</v>
      </c>
      <c r="K59" s="148">
        <f>'Seasonal (WITH)'!K59</f>
        <v>40</v>
      </c>
      <c r="L59" s="148">
        <f t="shared" ref="L59:L81" si="91">P59/Y59</f>
        <v>31.03</v>
      </c>
      <c r="M59" s="148">
        <f>E59*I59</f>
        <v>20510.317258549119</v>
      </c>
      <c r="N59" s="148">
        <f t="shared" ref="N59:N82" si="92">F59*J59</f>
        <v>0</v>
      </c>
      <c r="O59" s="148">
        <f t="shared" ref="O59:O82" si="93">G59*K59</f>
        <v>0</v>
      </c>
      <c r="P59" s="148">
        <f>SUM(M59:O59)</f>
        <v>20510.317258549119</v>
      </c>
      <c r="Q59" s="7">
        <f>Y59*'LOAD DATA and INPUT SEASONAL'!$E$12*1000</f>
        <v>57704.906629001693</v>
      </c>
      <c r="R59" s="153"/>
      <c r="S59" s="148">
        <f>Q59+R59</f>
        <v>57704.906629001693</v>
      </c>
      <c r="T59" s="154">
        <f>'Seasonal (WITH)'!T59</f>
        <v>3.3049173797210956</v>
      </c>
      <c r="U59" s="148"/>
      <c r="V59" s="148">
        <f>T59-U59</f>
        <v>3.3049173797210956</v>
      </c>
      <c r="W59" s="148">
        <f>'Seasonal (WITH)'!W59</f>
        <v>657.67855856449796</v>
      </c>
      <c r="X59" s="148">
        <f>'Seasonal (WITH)'!X59</f>
        <v>0</v>
      </c>
      <c r="Y59" s="148">
        <f>SUM(V59:X59)</f>
        <v>660.98347594421909</v>
      </c>
      <c r="Z59" s="148">
        <f>Y59*1.07</f>
        <v>707.25231926031449</v>
      </c>
      <c r="AA59" s="148" t="b">
        <f>Z59=H59</f>
        <v>1</v>
      </c>
      <c r="AB59" s="148">
        <f>V59*L59</f>
        <v>102.5515862927456</v>
      </c>
      <c r="AC59" s="148">
        <f>W59*$L59</f>
        <v>20407.765672256373</v>
      </c>
      <c r="AD59" s="148">
        <f>X59*$L59</f>
        <v>0</v>
      </c>
      <c r="AE59" s="148">
        <f>SUM(AB59:AD59)</f>
        <v>20510.317258549119</v>
      </c>
      <c r="AF59" s="148">
        <f>$S59/$Y59*V59</f>
        <v>288.52453314500843</v>
      </c>
      <c r="AG59" s="148">
        <f>$S59/$Y59*W59</f>
        <v>57416.382095856679</v>
      </c>
      <c r="AH59" s="148">
        <f>$S59/$Y59*X59</f>
        <v>0</v>
      </c>
      <c r="AI59" s="148">
        <f>SUM(AF59:AH59)</f>
        <v>57704.906629001685</v>
      </c>
      <c r="AJ59" s="148">
        <f>AB59+AF59</f>
        <v>391.07611943775402</v>
      </c>
      <c r="AK59" s="148">
        <f>AC59+AG59</f>
        <v>77824.147768113049</v>
      </c>
      <c r="AL59" s="148">
        <f>AD59+AH59</f>
        <v>0</v>
      </c>
      <c r="AM59" s="148">
        <f>SUM(AJ59:AL59)</f>
        <v>78215.223887550805</v>
      </c>
    </row>
    <row r="60" spans="1:39" s="66" customFormat="1" x14ac:dyDescent="0.25">
      <c r="A60" s="66">
        <v>2</v>
      </c>
      <c r="B60" s="148">
        <f t="shared" ref="B60:D75" si="94">B33</f>
        <v>1000</v>
      </c>
      <c r="C60" s="148">
        <f t="shared" si="94"/>
        <v>500</v>
      </c>
      <c r="D60" s="148">
        <f t="shared" si="94"/>
        <v>100</v>
      </c>
      <c r="E60" s="148">
        <f t="shared" ref="E60:E82" si="95">IF(B60&lt;Z60,B60,Z60)</f>
        <v>585.66232414292415</v>
      </c>
      <c r="F60" s="148">
        <f t="shared" si="90"/>
        <v>0</v>
      </c>
      <c r="G60" s="148">
        <f t="shared" ref="G60:G78" si="96">IF(SUM(E60,F60)&lt;Z60,IF(SUM(E60,F60,D60)&lt;Z60,D60,Z60-E60-F60),0)</f>
        <v>0</v>
      </c>
      <c r="H60" s="148">
        <f t="shared" ref="H60:H74" si="97">SUM(E60:G60)</f>
        <v>585.66232414292415</v>
      </c>
      <c r="I60" s="148">
        <f>'Seasonal (WITH)'!I60</f>
        <v>29</v>
      </c>
      <c r="J60" s="148">
        <f>'Seasonal (WITH)'!J60</f>
        <v>33</v>
      </c>
      <c r="K60" s="148">
        <f>'Seasonal (WITH)'!K60</f>
        <v>40</v>
      </c>
      <c r="L60" s="148">
        <f t="shared" si="91"/>
        <v>31.03</v>
      </c>
      <c r="M60" s="148">
        <f t="shared" ref="M60:M78" si="98">E60*I60</f>
        <v>16984.207400144802</v>
      </c>
      <c r="N60" s="148">
        <f t="shared" si="92"/>
        <v>0</v>
      </c>
      <c r="O60" s="148">
        <f t="shared" si="93"/>
        <v>0</v>
      </c>
      <c r="P60" s="148">
        <f t="shared" ref="P60:P78" si="99">SUM(M60:O60)</f>
        <v>16984.207400144802</v>
      </c>
      <c r="Q60" s="7">
        <f>Y60*'LOAD DATA and INPUT SEASONAL'!$E$12*1000</f>
        <v>47784.346279891957</v>
      </c>
      <c r="R60" s="153"/>
      <c r="S60" s="148">
        <f t="shared" ref="S60:S82" si="100">Q60+R60</f>
        <v>47784.346279891957</v>
      </c>
      <c r="T60" s="154">
        <f>'Seasonal (WITH)'!T60</f>
        <v>2.736739832443571</v>
      </c>
      <c r="U60" s="148"/>
      <c r="V60" s="148">
        <f t="shared" ref="V60:V82" si="101">T60-U60</f>
        <v>2.736739832443571</v>
      </c>
      <c r="W60" s="148">
        <f>'Seasonal (WITH)'!W60</f>
        <v>544.61122665627056</v>
      </c>
      <c r="X60" s="148">
        <f>'Seasonal (WITH)'!X60</f>
        <v>0</v>
      </c>
      <c r="Y60" s="148">
        <f t="shared" ref="Y60:Y78" si="102">SUM(V60:X60)</f>
        <v>547.34796648871418</v>
      </c>
      <c r="Z60" s="148">
        <f t="shared" ref="Z60:Z78" si="103">Y60*1.07</f>
        <v>585.66232414292415</v>
      </c>
      <c r="AA60" s="148" t="b">
        <f t="shared" ref="AA60:AA78" si="104">Z60=H60</f>
        <v>1</v>
      </c>
      <c r="AB60" s="148">
        <f t="shared" ref="AB60:AB72" si="105">V60*L60</f>
        <v>84.921037000724013</v>
      </c>
      <c r="AC60" s="148">
        <f t="shared" ref="AC60:AC78" si="106">W60*$L60</f>
        <v>16899.286363144078</v>
      </c>
      <c r="AD60" s="148">
        <f t="shared" ref="AD60:AD78" si="107">X60*$L60</f>
        <v>0</v>
      </c>
      <c r="AE60" s="148">
        <f t="shared" ref="AE60:AE78" si="108">SUM(AB60:AD60)</f>
        <v>16984.207400144802</v>
      </c>
      <c r="AF60" s="148">
        <f t="shared" ref="AF60:AF78" si="109">$S60/$Y60*V60</f>
        <v>238.92173139945982</v>
      </c>
      <c r="AG60" s="148">
        <f t="shared" ref="AG60:AG82" si="110">$S60/$Y60*W60</f>
        <v>47545.424548492498</v>
      </c>
      <c r="AH60" s="148">
        <f t="shared" ref="AH60:AH82" si="111">$S60/$Y60*X60</f>
        <v>0</v>
      </c>
      <c r="AI60" s="148">
        <f t="shared" ref="AI60:AI78" si="112">SUM(AF60:AH60)</f>
        <v>47784.346279891957</v>
      </c>
      <c r="AJ60" s="148">
        <f t="shared" ref="AJ60:AJ78" si="113">AB60+AF60</f>
        <v>323.84276840018384</v>
      </c>
      <c r="AK60" s="148">
        <f t="shared" ref="AK60:AK78" si="114">AC60+AG60</f>
        <v>64444.710911636575</v>
      </c>
      <c r="AL60" s="148">
        <f t="shared" ref="AL60:AL78" si="115">AD60+AH60</f>
        <v>0</v>
      </c>
      <c r="AM60" s="148">
        <f t="shared" ref="AM60:AM78" si="116">SUM(AJ60:AL60)</f>
        <v>64768.553680036763</v>
      </c>
    </row>
    <row r="61" spans="1:39" s="66" customFormat="1" x14ac:dyDescent="0.25">
      <c r="A61" s="66">
        <v>3</v>
      </c>
      <c r="B61" s="148">
        <f t="shared" si="94"/>
        <v>1000</v>
      </c>
      <c r="C61" s="148">
        <f t="shared" si="94"/>
        <v>500</v>
      </c>
      <c r="D61" s="148">
        <f t="shared" si="94"/>
        <v>100</v>
      </c>
      <c r="E61" s="148">
        <f t="shared" si="95"/>
        <v>524.05806724806985</v>
      </c>
      <c r="F61" s="148">
        <f t="shared" si="90"/>
        <v>0</v>
      </c>
      <c r="G61" s="148">
        <f t="shared" si="96"/>
        <v>0</v>
      </c>
      <c r="H61" s="148">
        <f t="shared" si="97"/>
        <v>524.05806724806985</v>
      </c>
      <c r="I61" s="148">
        <f>'Seasonal (WITH)'!I61</f>
        <v>29</v>
      </c>
      <c r="J61" s="148">
        <f>'Seasonal (WITH)'!J61</f>
        <v>33</v>
      </c>
      <c r="K61" s="148">
        <f>'Seasonal (WITH)'!K61</f>
        <v>40</v>
      </c>
      <c r="L61" s="148">
        <f t="shared" si="91"/>
        <v>31.03</v>
      </c>
      <c r="M61" s="148">
        <f t="shared" si="98"/>
        <v>15197.683950194025</v>
      </c>
      <c r="N61" s="148">
        <f t="shared" si="92"/>
        <v>0</v>
      </c>
      <c r="O61" s="148">
        <f t="shared" si="93"/>
        <v>0</v>
      </c>
      <c r="P61" s="148">
        <f t="shared" si="99"/>
        <v>15197.683950194025</v>
      </c>
      <c r="Q61" s="7">
        <f>Y61*'LOAD DATA and INPUT SEASONAL'!$E$12*1000</f>
        <v>42758.038418809942</v>
      </c>
      <c r="R61" s="153"/>
      <c r="S61" s="148">
        <f t="shared" si="100"/>
        <v>42758.038418809942</v>
      </c>
      <c r="T61" s="154">
        <f>'Seasonal (WITH)'!T61</f>
        <v>2.4488694731218215</v>
      </c>
      <c r="U61" s="148"/>
      <c r="V61" s="148">
        <f t="shared" si="101"/>
        <v>2.4488694731218215</v>
      </c>
      <c r="W61" s="148">
        <f>'Seasonal (WITH)'!W61</f>
        <v>487.32502515124247</v>
      </c>
      <c r="X61" s="148">
        <f>'Seasonal (WITH)'!X61</f>
        <v>0</v>
      </c>
      <c r="Y61" s="148">
        <f t="shared" si="102"/>
        <v>489.77389462436429</v>
      </c>
      <c r="Z61" s="148">
        <f t="shared" si="103"/>
        <v>524.05806724806985</v>
      </c>
      <c r="AA61" s="148" t="b">
        <f t="shared" si="104"/>
        <v>1</v>
      </c>
      <c r="AB61" s="148">
        <f t="shared" si="105"/>
        <v>75.988419750970124</v>
      </c>
      <c r="AC61" s="148">
        <f t="shared" si="106"/>
        <v>15121.695530443054</v>
      </c>
      <c r="AD61" s="148">
        <f t="shared" si="107"/>
        <v>0</v>
      </c>
      <c r="AE61" s="148">
        <f t="shared" si="108"/>
        <v>15197.683950194025</v>
      </c>
      <c r="AF61" s="148">
        <f t="shared" si="109"/>
        <v>213.79019209404973</v>
      </c>
      <c r="AG61" s="148">
        <f t="shared" si="110"/>
        <v>42544.248226715892</v>
      </c>
      <c r="AH61" s="148">
        <f t="shared" si="111"/>
        <v>0</v>
      </c>
      <c r="AI61" s="148">
        <f t="shared" si="112"/>
        <v>42758.038418809942</v>
      </c>
      <c r="AJ61" s="148">
        <f t="shared" si="113"/>
        <v>289.77861184501984</v>
      </c>
      <c r="AK61" s="148">
        <f t="shared" si="114"/>
        <v>57665.943757158944</v>
      </c>
      <c r="AL61" s="148">
        <f t="shared" si="115"/>
        <v>0</v>
      </c>
      <c r="AM61" s="148">
        <f t="shared" si="116"/>
        <v>57955.722369003961</v>
      </c>
    </row>
    <row r="62" spans="1:39" s="66" customFormat="1" x14ac:dyDescent="0.25">
      <c r="A62" s="66">
        <v>4</v>
      </c>
      <c r="B62" s="148">
        <f t="shared" si="94"/>
        <v>1000</v>
      </c>
      <c r="C62" s="148">
        <f t="shared" si="94"/>
        <v>500</v>
      </c>
      <c r="D62" s="148">
        <f t="shared" si="94"/>
        <v>100</v>
      </c>
      <c r="E62" s="148">
        <f t="shared" si="95"/>
        <v>496.97334670970702</v>
      </c>
      <c r="F62" s="148">
        <f t="shared" si="90"/>
        <v>0</v>
      </c>
      <c r="G62" s="148">
        <f t="shared" si="96"/>
        <v>0</v>
      </c>
      <c r="H62" s="148">
        <f t="shared" si="97"/>
        <v>496.97334670970702</v>
      </c>
      <c r="I62" s="148">
        <f>'Seasonal (WITH)'!I62</f>
        <v>29</v>
      </c>
      <c r="J62" s="148">
        <f>'Seasonal (WITH)'!J62</f>
        <v>33</v>
      </c>
      <c r="K62" s="148">
        <f>'Seasonal (WITH)'!K62</f>
        <v>40</v>
      </c>
      <c r="L62" s="148">
        <f t="shared" si="91"/>
        <v>31.03</v>
      </c>
      <c r="M62" s="148">
        <f t="shared" si="98"/>
        <v>14412.227054581503</v>
      </c>
      <c r="N62" s="148">
        <f t="shared" si="92"/>
        <v>0</v>
      </c>
      <c r="O62" s="148">
        <f t="shared" si="93"/>
        <v>0</v>
      </c>
      <c r="P62" s="148">
        <f t="shared" si="99"/>
        <v>14412.227054581503</v>
      </c>
      <c r="Q62" s="7">
        <f>Y62*'LOAD DATA and INPUT SEASONAL'!$E$12*1000</f>
        <v>40548.188797710885</v>
      </c>
      <c r="R62" s="153"/>
      <c r="S62" s="148">
        <f t="shared" si="100"/>
        <v>40548.188797710885</v>
      </c>
      <c r="T62" s="154">
        <f>'Seasonal (WITH)'!T62</f>
        <v>2.3223053584565747</v>
      </c>
      <c r="U62" s="148"/>
      <c r="V62" s="148">
        <f t="shared" si="101"/>
        <v>2.3223053584565747</v>
      </c>
      <c r="W62" s="148">
        <f>'Seasonal (WITH)'!W62</f>
        <v>462.13876633285838</v>
      </c>
      <c r="X62" s="148">
        <f>'Seasonal (WITH)'!X62</f>
        <v>0</v>
      </c>
      <c r="Y62" s="148">
        <f t="shared" si="102"/>
        <v>464.46107169131494</v>
      </c>
      <c r="Z62" s="148">
        <f t="shared" si="103"/>
        <v>496.97334670970702</v>
      </c>
      <c r="AA62" s="148" t="b">
        <f t="shared" si="104"/>
        <v>1</v>
      </c>
      <c r="AB62" s="148">
        <f t="shared" si="105"/>
        <v>72.061135272907521</v>
      </c>
      <c r="AC62" s="148">
        <f t="shared" si="106"/>
        <v>14340.165919308596</v>
      </c>
      <c r="AD62" s="148">
        <f t="shared" si="107"/>
        <v>0</v>
      </c>
      <c r="AE62" s="148">
        <f t="shared" si="108"/>
        <v>14412.227054581504</v>
      </c>
      <c r="AF62" s="148">
        <f t="shared" si="109"/>
        <v>202.74094398855445</v>
      </c>
      <c r="AG62" s="148">
        <f t="shared" si="110"/>
        <v>40345.447853722333</v>
      </c>
      <c r="AH62" s="148">
        <f t="shared" si="111"/>
        <v>0</v>
      </c>
      <c r="AI62" s="148">
        <f t="shared" si="112"/>
        <v>40548.188797710885</v>
      </c>
      <c r="AJ62" s="148">
        <f t="shared" si="113"/>
        <v>274.80207926146198</v>
      </c>
      <c r="AK62" s="148">
        <f t="shared" si="114"/>
        <v>54685.613773030927</v>
      </c>
      <c r="AL62" s="148">
        <f t="shared" si="115"/>
        <v>0</v>
      </c>
      <c r="AM62" s="148">
        <f t="shared" si="116"/>
        <v>54960.41585229239</v>
      </c>
    </row>
    <row r="63" spans="1:39" s="66" customFormat="1" x14ac:dyDescent="0.25">
      <c r="A63" s="66">
        <v>5</v>
      </c>
      <c r="B63" s="148">
        <f t="shared" si="94"/>
        <v>1000</v>
      </c>
      <c r="C63" s="148">
        <f t="shared" si="94"/>
        <v>500</v>
      </c>
      <c r="D63" s="148">
        <f t="shared" si="94"/>
        <v>100</v>
      </c>
      <c r="E63" s="148">
        <f t="shared" si="95"/>
        <v>485.92901022431982</v>
      </c>
      <c r="F63" s="148">
        <f t="shared" si="90"/>
        <v>0</v>
      </c>
      <c r="G63" s="148">
        <f t="shared" si="96"/>
        <v>0</v>
      </c>
      <c r="H63" s="148">
        <f t="shared" si="97"/>
        <v>485.92901022431982</v>
      </c>
      <c r="I63" s="148">
        <f>'Seasonal (WITH)'!I63</f>
        <v>29</v>
      </c>
      <c r="J63" s="148">
        <f>'Seasonal (WITH)'!J63</f>
        <v>33</v>
      </c>
      <c r="K63" s="148">
        <f>'Seasonal (WITH)'!K63</f>
        <v>40</v>
      </c>
      <c r="L63" s="148">
        <f t="shared" si="91"/>
        <v>31.03</v>
      </c>
      <c r="M63" s="148">
        <f t="shared" si="98"/>
        <v>14091.941296505274</v>
      </c>
      <c r="N63" s="148">
        <f t="shared" si="92"/>
        <v>0</v>
      </c>
      <c r="O63" s="148">
        <f t="shared" si="93"/>
        <v>0</v>
      </c>
      <c r="P63" s="148">
        <f t="shared" si="99"/>
        <v>14091.941296505274</v>
      </c>
      <c r="Q63" s="7">
        <f>Y63*'LOAD DATA and INPUT SEASONAL'!$E$12*1000</f>
        <v>39647.078418412195</v>
      </c>
      <c r="R63" s="153"/>
      <c r="S63" s="148">
        <f t="shared" si="100"/>
        <v>39647.078418412195</v>
      </c>
      <c r="T63" s="154">
        <f>'Seasonal (WITH)'!T63</f>
        <v>2.2706963094594381</v>
      </c>
      <c r="U63" s="148"/>
      <c r="V63" s="148">
        <f t="shared" si="101"/>
        <v>2.2706963094594381</v>
      </c>
      <c r="W63" s="148">
        <f>'Seasonal (WITH)'!W63</f>
        <v>451.86856558242823</v>
      </c>
      <c r="X63" s="148">
        <f>'Seasonal (WITH)'!X63</f>
        <v>0</v>
      </c>
      <c r="Y63" s="148">
        <f t="shared" si="102"/>
        <v>454.13926189188766</v>
      </c>
      <c r="Z63" s="148">
        <f t="shared" si="103"/>
        <v>485.92901022431982</v>
      </c>
      <c r="AA63" s="148" t="b">
        <f t="shared" si="104"/>
        <v>1</v>
      </c>
      <c r="AB63" s="148">
        <f t="shared" si="105"/>
        <v>70.459706482526371</v>
      </c>
      <c r="AC63" s="148">
        <f t="shared" si="106"/>
        <v>14021.481590022748</v>
      </c>
      <c r="AD63" s="148">
        <f t="shared" si="107"/>
        <v>0</v>
      </c>
      <c r="AE63" s="148">
        <f t="shared" si="108"/>
        <v>14091.941296505274</v>
      </c>
      <c r="AF63" s="148">
        <f t="shared" si="109"/>
        <v>198.23539209206098</v>
      </c>
      <c r="AG63" s="148">
        <f t="shared" si="110"/>
        <v>39448.843026320137</v>
      </c>
      <c r="AH63" s="148">
        <f t="shared" si="111"/>
        <v>0</v>
      </c>
      <c r="AI63" s="148">
        <f t="shared" si="112"/>
        <v>39647.078418412195</v>
      </c>
      <c r="AJ63" s="148">
        <f t="shared" si="113"/>
        <v>268.69509857458735</v>
      </c>
      <c r="AK63" s="148">
        <f t="shared" si="114"/>
        <v>53470.324616342885</v>
      </c>
      <c r="AL63" s="148">
        <f t="shared" si="115"/>
        <v>0</v>
      </c>
      <c r="AM63" s="148">
        <f t="shared" si="116"/>
        <v>53739.019714917471</v>
      </c>
    </row>
    <row r="64" spans="1:39" s="66" customFormat="1" x14ac:dyDescent="0.25">
      <c r="A64" s="66">
        <v>6</v>
      </c>
      <c r="B64" s="148">
        <f t="shared" si="94"/>
        <v>1000</v>
      </c>
      <c r="C64" s="148">
        <f t="shared" si="94"/>
        <v>500</v>
      </c>
      <c r="D64" s="148">
        <f t="shared" si="94"/>
        <v>100</v>
      </c>
      <c r="E64" s="148">
        <f t="shared" si="95"/>
        <v>467.5749290703497</v>
      </c>
      <c r="F64" s="148">
        <f t="shared" si="90"/>
        <v>0</v>
      </c>
      <c r="G64" s="148">
        <f t="shared" si="96"/>
        <v>0</v>
      </c>
      <c r="H64" s="148">
        <f t="shared" si="97"/>
        <v>467.5749290703497</v>
      </c>
      <c r="I64" s="148">
        <f>'Seasonal (WITH)'!I64</f>
        <v>29</v>
      </c>
      <c r="J64" s="148">
        <f>'Seasonal (WITH)'!J64</f>
        <v>33</v>
      </c>
      <c r="K64" s="148">
        <f>'Seasonal (WITH)'!K64</f>
        <v>40</v>
      </c>
      <c r="L64" s="148">
        <f t="shared" si="91"/>
        <v>31.03</v>
      </c>
      <c r="M64" s="148">
        <f t="shared" si="98"/>
        <v>13559.672943040141</v>
      </c>
      <c r="N64" s="148">
        <f t="shared" si="92"/>
        <v>0</v>
      </c>
      <c r="O64" s="148">
        <f t="shared" si="93"/>
        <v>0</v>
      </c>
      <c r="P64" s="148">
        <f t="shared" si="99"/>
        <v>13559.672943040141</v>
      </c>
      <c r="Q64" s="7">
        <f>Y64*'LOAD DATA and INPUT SEASONAL'!$E$12*1000</f>
        <v>38149.564008903209</v>
      </c>
      <c r="R64" s="153"/>
      <c r="S64" s="148">
        <f t="shared" si="100"/>
        <v>38149.564008903209</v>
      </c>
      <c r="T64" s="154">
        <f>'Seasonal (WITH)'!T64</f>
        <v>2.1849295750950919</v>
      </c>
      <c r="U64" s="148"/>
      <c r="V64" s="148">
        <f t="shared" si="101"/>
        <v>2.1849295750950919</v>
      </c>
      <c r="W64" s="148">
        <f>'Seasonal (WITH)'!W64</f>
        <v>434.80098544392325</v>
      </c>
      <c r="X64" s="148">
        <f>'Seasonal (WITH)'!X64</f>
        <v>0</v>
      </c>
      <c r="Y64" s="148">
        <f t="shared" si="102"/>
        <v>436.98591501901836</v>
      </c>
      <c r="Z64" s="148">
        <f t="shared" si="103"/>
        <v>467.5749290703497</v>
      </c>
      <c r="AA64" s="148" t="b">
        <f t="shared" si="104"/>
        <v>1</v>
      </c>
      <c r="AB64" s="148">
        <f t="shared" si="105"/>
        <v>67.798364715200705</v>
      </c>
      <c r="AC64" s="148">
        <f t="shared" si="106"/>
        <v>13491.87457832494</v>
      </c>
      <c r="AD64" s="148">
        <f t="shared" si="107"/>
        <v>0</v>
      </c>
      <c r="AE64" s="148">
        <f t="shared" si="108"/>
        <v>13559.672943040141</v>
      </c>
      <c r="AF64" s="148">
        <f t="shared" si="109"/>
        <v>190.74782004451606</v>
      </c>
      <c r="AG64" s="148">
        <f t="shared" si="110"/>
        <v>37958.816188858691</v>
      </c>
      <c r="AH64" s="148">
        <f t="shared" si="111"/>
        <v>0</v>
      </c>
      <c r="AI64" s="148">
        <f t="shared" si="112"/>
        <v>38149.564008903209</v>
      </c>
      <c r="AJ64" s="148">
        <f t="shared" si="113"/>
        <v>258.54618475971677</v>
      </c>
      <c r="AK64" s="148">
        <f t="shared" si="114"/>
        <v>51450.690767183631</v>
      </c>
      <c r="AL64" s="148">
        <f t="shared" si="115"/>
        <v>0</v>
      </c>
      <c r="AM64" s="148">
        <f t="shared" si="116"/>
        <v>51709.236951943349</v>
      </c>
    </row>
    <row r="65" spans="1:39" s="66" customFormat="1" x14ac:dyDescent="0.25">
      <c r="A65" s="66">
        <v>7</v>
      </c>
      <c r="B65" s="148">
        <f t="shared" si="94"/>
        <v>1000</v>
      </c>
      <c r="C65" s="148">
        <f t="shared" si="94"/>
        <v>500</v>
      </c>
      <c r="D65" s="148">
        <f t="shared" si="94"/>
        <v>100</v>
      </c>
      <c r="E65" s="148">
        <f t="shared" si="95"/>
        <v>494.75104931719937</v>
      </c>
      <c r="F65" s="148">
        <f t="shared" si="90"/>
        <v>0</v>
      </c>
      <c r="G65" s="148">
        <f t="shared" si="96"/>
        <v>0</v>
      </c>
      <c r="H65" s="148">
        <f t="shared" si="97"/>
        <v>494.75104931719937</v>
      </c>
      <c r="I65" s="148">
        <f>'Seasonal (WITH)'!I65</f>
        <v>29</v>
      </c>
      <c r="J65" s="148">
        <f>'Seasonal (WITH)'!J65</f>
        <v>33</v>
      </c>
      <c r="K65" s="148">
        <f>'Seasonal (WITH)'!K65</f>
        <v>40</v>
      </c>
      <c r="L65" s="148">
        <f t="shared" si="91"/>
        <v>31.03</v>
      </c>
      <c r="M65" s="148">
        <f t="shared" si="98"/>
        <v>14347.780430198782</v>
      </c>
      <c r="N65" s="148">
        <f t="shared" si="92"/>
        <v>0</v>
      </c>
      <c r="O65" s="148">
        <f t="shared" si="93"/>
        <v>0</v>
      </c>
      <c r="P65" s="148">
        <f t="shared" si="99"/>
        <v>14347.780430198782</v>
      </c>
      <c r="Q65" s="7">
        <f>Y65*'LOAD DATA and INPUT SEASONAL'!$E$12*1000</f>
        <v>40366.870956758954</v>
      </c>
      <c r="R65" s="153"/>
      <c r="S65" s="148">
        <f t="shared" si="100"/>
        <v>40366.870956758954</v>
      </c>
      <c r="T65" s="154">
        <f>'Seasonal (WITH)'!T65</f>
        <v>2.311920791201866</v>
      </c>
      <c r="U65" s="148"/>
      <c r="V65" s="148">
        <f t="shared" si="101"/>
        <v>2.311920791201866</v>
      </c>
      <c r="W65" s="148">
        <f>'Seasonal (WITH)'!W65</f>
        <v>460.07223744917133</v>
      </c>
      <c r="X65" s="148">
        <f>'Seasonal (WITH)'!X65</f>
        <v>0</v>
      </c>
      <c r="Y65" s="148">
        <f t="shared" si="102"/>
        <v>462.38415824037321</v>
      </c>
      <c r="Z65" s="148">
        <f t="shared" si="103"/>
        <v>494.75104931719937</v>
      </c>
      <c r="AA65" s="148" t="b">
        <f t="shared" si="104"/>
        <v>1</v>
      </c>
      <c r="AB65" s="148">
        <f t="shared" si="105"/>
        <v>71.738902150993908</v>
      </c>
      <c r="AC65" s="148">
        <f t="shared" si="106"/>
        <v>14276.041528047786</v>
      </c>
      <c r="AD65" s="148">
        <f t="shared" si="107"/>
        <v>0</v>
      </c>
      <c r="AE65" s="148">
        <f t="shared" si="108"/>
        <v>14347.78043019878</v>
      </c>
      <c r="AF65" s="148">
        <f t="shared" si="109"/>
        <v>201.83435478379477</v>
      </c>
      <c r="AG65" s="148">
        <f t="shared" si="110"/>
        <v>40165.03660197516</v>
      </c>
      <c r="AH65" s="148">
        <f t="shared" si="111"/>
        <v>0</v>
      </c>
      <c r="AI65" s="148">
        <f t="shared" si="112"/>
        <v>40366.870956758954</v>
      </c>
      <c r="AJ65" s="148">
        <f t="shared" si="113"/>
        <v>273.57325693478867</v>
      </c>
      <c r="AK65" s="148">
        <f t="shared" si="114"/>
        <v>54441.078130022943</v>
      </c>
      <c r="AL65" s="148">
        <f t="shared" si="115"/>
        <v>0</v>
      </c>
      <c r="AM65" s="148">
        <f t="shared" si="116"/>
        <v>54714.651386957732</v>
      </c>
    </row>
    <row r="66" spans="1:39" s="66" customFormat="1" x14ac:dyDescent="0.25">
      <c r="A66" s="66">
        <v>8</v>
      </c>
      <c r="B66" s="148">
        <f t="shared" si="94"/>
        <v>1000</v>
      </c>
      <c r="C66" s="148">
        <f t="shared" si="94"/>
        <v>500</v>
      </c>
      <c r="D66" s="148">
        <f t="shared" si="94"/>
        <v>100</v>
      </c>
      <c r="E66" s="148">
        <f t="shared" si="95"/>
        <v>568.73727382509696</v>
      </c>
      <c r="F66" s="148">
        <f t="shared" si="90"/>
        <v>0</v>
      </c>
      <c r="G66" s="148">
        <f t="shared" si="96"/>
        <v>0</v>
      </c>
      <c r="H66" s="148">
        <f t="shared" si="97"/>
        <v>568.73727382509696</v>
      </c>
      <c r="I66" s="148">
        <f>'Seasonal (WITH)'!I66</f>
        <v>29</v>
      </c>
      <c r="J66" s="148">
        <f>'Seasonal (WITH)'!J66</f>
        <v>33</v>
      </c>
      <c r="K66" s="148">
        <f>'Seasonal (WITH)'!K66</f>
        <v>40</v>
      </c>
      <c r="L66" s="148">
        <f t="shared" si="91"/>
        <v>31.029999999999998</v>
      </c>
      <c r="M66" s="148">
        <f t="shared" si="98"/>
        <v>16493.380940927811</v>
      </c>
      <c r="N66" s="148">
        <f t="shared" si="92"/>
        <v>0</v>
      </c>
      <c r="O66" s="148">
        <f t="shared" si="93"/>
        <v>0</v>
      </c>
      <c r="P66" s="148">
        <f t="shared" si="99"/>
        <v>16493.380940927811</v>
      </c>
      <c r="Q66" s="7">
        <f>Y66*'LOAD DATA and INPUT SEASONAL'!$E$12*1000</f>
        <v>46403.426880005332</v>
      </c>
      <c r="R66" s="153"/>
      <c r="S66" s="148">
        <f t="shared" si="100"/>
        <v>46403.426880005332</v>
      </c>
      <c r="T66" s="154">
        <f>'Seasonal (WITH)'!T66</f>
        <v>2.6576508122668083</v>
      </c>
      <c r="U66" s="148"/>
      <c r="V66" s="148">
        <f t="shared" si="101"/>
        <v>2.6576508122668083</v>
      </c>
      <c r="W66" s="148">
        <f>'Seasonal (WITH)'!W66</f>
        <v>528.87251164109489</v>
      </c>
      <c r="X66" s="148">
        <f>'Seasonal (WITH)'!X66</f>
        <v>0</v>
      </c>
      <c r="Y66" s="148">
        <f t="shared" si="102"/>
        <v>531.53016245336164</v>
      </c>
      <c r="Z66" s="148">
        <f t="shared" si="103"/>
        <v>568.73727382509696</v>
      </c>
      <c r="AA66" s="148" t="b">
        <f t="shared" si="104"/>
        <v>1</v>
      </c>
      <c r="AB66" s="148">
        <f t="shared" si="105"/>
        <v>82.466904704639049</v>
      </c>
      <c r="AC66" s="148">
        <f t="shared" si="106"/>
        <v>16410.914036223174</v>
      </c>
      <c r="AD66" s="148">
        <f t="shared" si="107"/>
        <v>0</v>
      </c>
      <c r="AE66" s="148">
        <f t="shared" si="108"/>
        <v>16493.380940927811</v>
      </c>
      <c r="AF66" s="148">
        <f t="shared" si="109"/>
        <v>232.01713440002666</v>
      </c>
      <c r="AG66" s="148">
        <f t="shared" si="110"/>
        <v>46171.409745605306</v>
      </c>
      <c r="AH66" s="148">
        <f t="shared" si="111"/>
        <v>0</v>
      </c>
      <c r="AI66" s="148">
        <f t="shared" si="112"/>
        <v>46403.426880005332</v>
      </c>
      <c r="AJ66" s="148">
        <f t="shared" si="113"/>
        <v>314.48403910466573</v>
      </c>
      <c r="AK66" s="148">
        <f t="shared" si="114"/>
        <v>62582.323781828483</v>
      </c>
      <c r="AL66" s="148">
        <f t="shared" si="115"/>
        <v>0</v>
      </c>
      <c r="AM66" s="148">
        <f t="shared" si="116"/>
        <v>62896.807820933151</v>
      </c>
    </row>
    <row r="67" spans="1:39" s="66" customFormat="1" x14ac:dyDescent="0.25">
      <c r="A67" s="66">
        <v>9</v>
      </c>
      <c r="B67" s="148">
        <f t="shared" si="94"/>
        <v>1000</v>
      </c>
      <c r="C67" s="148">
        <f t="shared" si="94"/>
        <v>500</v>
      </c>
      <c r="D67" s="148">
        <f t="shared" si="94"/>
        <v>100</v>
      </c>
      <c r="E67" s="148">
        <f t="shared" si="95"/>
        <v>650.77321527088645</v>
      </c>
      <c r="F67" s="148">
        <f t="shared" si="90"/>
        <v>0</v>
      </c>
      <c r="G67" s="148">
        <f t="shared" si="96"/>
        <v>0</v>
      </c>
      <c r="H67" s="148">
        <f t="shared" si="97"/>
        <v>650.77321527088645</v>
      </c>
      <c r="I67" s="148">
        <f>'Seasonal (WITH)'!I67</f>
        <v>29</v>
      </c>
      <c r="J67" s="148">
        <f>'Seasonal (WITH)'!J67</f>
        <v>33</v>
      </c>
      <c r="K67" s="148">
        <f>'Seasonal (WITH)'!K67</f>
        <v>40</v>
      </c>
      <c r="L67" s="148">
        <f t="shared" si="91"/>
        <v>31.030000000000005</v>
      </c>
      <c r="M67" s="148">
        <f t="shared" si="98"/>
        <v>18872.423242855708</v>
      </c>
      <c r="N67" s="148">
        <f t="shared" si="92"/>
        <v>0</v>
      </c>
      <c r="O67" s="148">
        <f t="shared" si="93"/>
        <v>0</v>
      </c>
      <c r="P67" s="148">
        <f t="shared" si="99"/>
        <v>18872.423242855708</v>
      </c>
      <c r="Q67" s="7">
        <f>Y67*'LOAD DATA and INPUT SEASONAL'!$E$12*1000</f>
        <v>53096.761369600914</v>
      </c>
      <c r="R67" s="153"/>
      <c r="S67" s="148">
        <f t="shared" si="100"/>
        <v>53096.761369600914</v>
      </c>
      <c r="T67" s="154">
        <f>'Seasonal (WITH)'!T67</f>
        <v>3.0409963330415253</v>
      </c>
      <c r="U67" s="148"/>
      <c r="V67" s="148">
        <f t="shared" si="101"/>
        <v>3.0409963330415253</v>
      </c>
      <c r="W67" s="148">
        <f>'Seasonal (WITH)'!W67</f>
        <v>605.15827027526348</v>
      </c>
      <c r="X67" s="148">
        <f>'Seasonal (WITH)'!X67</f>
        <v>0</v>
      </c>
      <c r="Y67" s="148">
        <f t="shared" si="102"/>
        <v>608.19926660830504</v>
      </c>
      <c r="Z67" s="148">
        <f t="shared" si="103"/>
        <v>650.77321527088645</v>
      </c>
      <c r="AA67" s="148" t="b">
        <f t="shared" si="104"/>
        <v>1</v>
      </c>
      <c r="AB67" s="148">
        <f t="shared" si="105"/>
        <v>94.362116214278544</v>
      </c>
      <c r="AC67" s="148">
        <f t="shared" si="106"/>
        <v>18778.061126641427</v>
      </c>
      <c r="AD67" s="148">
        <f t="shared" si="107"/>
        <v>0</v>
      </c>
      <c r="AE67" s="148">
        <f t="shared" si="108"/>
        <v>18872.423242855704</v>
      </c>
      <c r="AF67" s="148">
        <f t="shared" si="109"/>
        <v>265.48380684800458</v>
      </c>
      <c r="AG67" s="148">
        <f t="shared" si="110"/>
        <v>52831.277562752904</v>
      </c>
      <c r="AH67" s="148">
        <f t="shared" si="111"/>
        <v>0</v>
      </c>
      <c r="AI67" s="148">
        <f t="shared" si="112"/>
        <v>53096.761369600907</v>
      </c>
      <c r="AJ67" s="148">
        <f t="shared" si="113"/>
        <v>359.84592306228313</v>
      </c>
      <c r="AK67" s="148">
        <f t="shared" si="114"/>
        <v>71609.338689394324</v>
      </c>
      <c r="AL67" s="148">
        <f t="shared" si="115"/>
        <v>0</v>
      </c>
      <c r="AM67" s="148">
        <f t="shared" si="116"/>
        <v>71969.184612456607</v>
      </c>
    </row>
    <row r="68" spans="1:39" s="66" customFormat="1" x14ac:dyDescent="0.25">
      <c r="A68" s="66">
        <v>10</v>
      </c>
      <c r="B68" s="148">
        <f t="shared" si="94"/>
        <v>1000</v>
      </c>
      <c r="C68" s="148">
        <f t="shared" si="94"/>
        <v>500</v>
      </c>
      <c r="D68" s="148">
        <f t="shared" si="94"/>
        <v>100</v>
      </c>
      <c r="E68" s="148">
        <f t="shared" si="95"/>
        <v>722.53088964032156</v>
      </c>
      <c r="F68" s="148">
        <f t="shared" si="90"/>
        <v>0</v>
      </c>
      <c r="G68" s="148">
        <f t="shared" si="96"/>
        <v>0</v>
      </c>
      <c r="H68" s="148">
        <f t="shared" si="97"/>
        <v>722.53088964032156</v>
      </c>
      <c r="I68" s="148">
        <f>'Seasonal (WITH)'!I68</f>
        <v>29</v>
      </c>
      <c r="J68" s="148">
        <f>'Seasonal (WITH)'!J68</f>
        <v>33</v>
      </c>
      <c r="K68" s="148">
        <f>'Seasonal (WITH)'!K68</f>
        <v>40</v>
      </c>
      <c r="L68" s="148">
        <f t="shared" si="91"/>
        <v>31.029999999999998</v>
      </c>
      <c r="M68" s="148">
        <f t="shared" si="98"/>
        <v>20953.395799569324</v>
      </c>
      <c r="N68" s="148">
        <f t="shared" si="92"/>
        <v>0</v>
      </c>
      <c r="O68" s="148">
        <f t="shared" si="93"/>
        <v>0</v>
      </c>
      <c r="P68" s="148">
        <f t="shared" si="99"/>
        <v>20953.395799569324</v>
      </c>
      <c r="Q68" s="7">
        <f>Y68*'LOAD DATA and INPUT SEASONAL'!$E$12*1000</f>
        <v>58951.489288674013</v>
      </c>
      <c r="R68" s="153"/>
      <c r="S68" s="148">
        <f t="shared" si="100"/>
        <v>58951.489288674013</v>
      </c>
      <c r="T68" s="154">
        <f>'Seasonal (WITH)'!T68</f>
        <v>3.3763125684127178</v>
      </c>
      <c r="U68" s="148"/>
      <c r="V68" s="148">
        <f t="shared" si="101"/>
        <v>3.3763125684127178</v>
      </c>
      <c r="W68" s="148">
        <f>'Seasonal (WITH)'!W68</f>
        <v>671.88620111413081</v>
      </c>
      <c r="X68" s="148">
        <f>'Seasonal (WITH)'!X68</f>
        <v>0</v>
      </c>
      <c r="Y68" s="148">
        <f t="shared" si="102"/>
        <v>675.2625136825435</v>
      </c>
      <c r="Z68" s="148">
        <f t="shared" si="103"/>
        <v>722.53088964032156</v>
      </c>
      <c r="AA68" s="148" t="b">
        <f t="shared" si="104"/>
        <v>1</v>
      </c>
      <c r="AB68" s="148">
        <f t="shared" si="105"/>
        <v>104.76697899784662</v>
      </c>
      <c r="AC68" s="148">
        <f t="shared" si="106"/>
        <v>20848.628820571477</v>
      </c>
      <c r="AD68" s="148">
        <f t="shared" si="107"/>
        <v>0</v>
      </c>
      <c r="AE68" s="148">
        <f t="shared" si="108"/>
        <v>20953.395799569324</v>
      </c>
      <c r="AF68" s="148">
        <f t="shared" si="109"/>
        <v>294.7574464433701</v>
      </c>
      <c r="AG68" s="148">
        <f t="shared" si="110"/>
        <v>58656.731842230642</v>
      </c>
      <c r="AH68" s="148">
        <f t="shared" si="111"/>
        <v>0</v>
      </c>
      <c r="AI68" s="148">
        <f t="shared" si="112"/>
        <v>58951.489288674013</v>
      </c>
      <c r="AJ68" s="148">
        <f t="shared" si="113"/>
        <v>399.52442544121675</v>
      </c>
      <c r="AK68" s="148">
        <f t="shared" si="114"/>
        <v>79505.360662802123</v>
      </c>
      <c r="AL68" s="148">
        <f t="shared" si="115"/>
        <v>0</v>
      </c>
      <c r="AM68" s="148">
        <f t="shared" si="116"/>
        <v>79904.885088243333</v>
      </c>
    </row>
    <row r="69" spans="1:39" s="66" customFormat="1" x14ac:dyDescent="0.25">
      <c r="A69" s="66">
        <v>11</v>
      </c>
      <c r="B69" s="148">
        <f t="shared" si="94"/>
        <v>1000</v>
      </c>
      <c r="C69" s="148">
        <f t="shared" si="94"/>
        <v>500</v>
      </c>
      <c r="D69" s="148">
        <f t="shared" si="94"/>
        <v>100</v>
      </c>
      <c r="E69" s="148">
        <f t="shared" si="95"/>
        <v>829.47152041387119</v>
      </c>
      <c r="F69" s="148">
        <f>IF(C69&lt;Z69-E69,C69,Z69-E69)</f>
        <v>0</v>
      </c>
      <c r="G69" s="148">
        <f t="shared" si="96"/>
        <v>0</v>
      </c>
      <c r="H69" s="148">
        <f t="shared" si="97"/>
        <v>829.47152041387119</v>
      </c>
      <c r="I69" s="148">
        <f>'Seasonal (WITH)'!I69</f>
        <v>29</v>
      </c>
      <c r="J69" s="148">
        <f>'Seasonal (WITH)'!J69</f>
        <v>33</v>
      </c>
      <c r="K69" s="148">
        <f>'Seasonal (WITH)'!K69</f>
        <v>40</v>
      </c>
      <c r="L69" s="148">
        <f t="shared" si="91"/>
        <v>31.030000000000005</v>
      </c>
      <c r="M69" s="148">
        <f t="shared" si="98"/>
        <v>24054.674092002264</v>
      </c>
      <c r="N69" s="148">
        <f t="shared" si="92"/>
        <v>0</v>
      </c>
      <c r="O69" s="148">
        <f t="shared" si="93"/>
        <v>0</v>
      </c>
      <c r="P69" s="148">
        <f t="shared" si="99"/>
        <v>24054.674092002264</v>
      </c>
      <c r="Q69" s="7">
        <f>Y69*'LOAD DATA and INPUT SEASONAL'!$E$12*1000</f>
        <v>67676.804067547011</v>
      </c>
      <c r="R69" s="153"/>
      <c r="S69" s="148">
        <f t="shared" si="100"/>
        <v>67676.804067547011</v>
      </c>
      <c r="T69" s="154">
        <f>'Seasonal (WITH)'!T69</f>
        <v>3.8760351421208932</v>
      </c>
      <c r="U69" s="148"/>
      <c r="V69" s="148">
        <f t="shared" si="101"/>
        <v>3.8760351421208932</v>
      </c>
      <c r="W69" s="148">
        <f>'Seasonal (WITH)'!W69</f>
        <v>771.33099328205765</v>
      </c>
      <c r="X69" s="148">
        <f>'Seasonal (WITH)'!X69</f>
        <v>0</v>
      </c>
      <c r="Y69" s="148">
        <f t="shared" si="102"/>
        <v>775.20702842417859</v>
      </c>
      <c r="Z69" s="148">
        <f t="shared" si="103"/>
        <v>829.47152041387119</v>
      </c>
      <c r="AA69" s="148" t="b">
        <f t="shared" si="104"/>
        <v>1</v>
      </c>
      <c r="AB69" s="148">
        <f t="shared" si="105"/>
        <v>120.27337046001134</v>
      </c>
      <c r="AC69" s="148">
        <f t="shared" si="106"/>
        <v>23934.400721542253</v>
      </c>
      <c r="AD69" s="148">
        <f t="shared" si="107"/>
        <v>0</v>
      </c>
      <c r="AE69" s="148">
        <f t="shared" si="108"/>
        <v>24054.674092002264</v>
      </c>
      <c r="AF69" s="148">
        <f t="shared" si="109"/>
        <v>338.38402033773508</v>
      </c>
      <c r="AG69" s="148">
        <f t="shared" si="110"/>
        <v>67338.420047209278</v>
      </c>
      <c r="AH69" s="148">
        <f t="shared" si="111"/>
        <v>0</v>
      </c>
      <c r="AI69" s="148">
        <f t="shared" si="112"/>
        <v>67676.804067547011</v>
      </c>
      <c r="AJ69" s="148">
        <f t="shared" si="113"/>
        <v>458.65739079774642</v>
      </c>
      <c r="AK69" s="148">
        <f t="shared" si="114"/>
        <v>91272.820768751524</v>
      </c>
      <c r="AL69" s="148">
        <f t="shared" si="115"/>
        <v>0</v>
      </c>
      <c r="AM69" s="148">
        <f t="shared" si="116"/>
        <v>91731.478159549268</v>
      </c>
    </row>
    <row r="70" spans="1:39" s="66" customFormat="1" x14ac:dyDescent="0.25">
      <c r="A70" s="66">
        <v>12</v>
      </c>
      <c r="B70" s="148">
        <f t="shared" si="94"/>
        <v>1000</v>
      </c>
      <c r="C70" s="148">
        <f t="shared" si="94"/>
        <v>500</v>
      </c>
      <c r="D70" s="148">
        <f t="shared" si="94"/>
        <v>100</v>
      </c>
      <c r="E70" s="148">
        <f t="shared" si="95"/>
        <v>929.3182350560495</v>
      </c>
      <c r="F70" s="148">
        <f t="shared" ref="F70:F82" si="117">IF(C70&lt;Z70-E70,C70,Z70-E70)</f>
        <v>0</v>
      </c>
      <c r="G70" s="148">
        <f t="shared" si="96"/>
        <v>0</v>
      </c>
      <c r="H70" s="148">
        <f t="shared" si="97"/>
        <v>929.3182350560495</v>
      </c>
      <c r="I70" s="148">
        <f>'Seasonal (WITH)'!I70</f>
        <v>29</v>
      </c>
      <c r="J70" s="148">
        <f>'Seasonal (WITH)'!J70</f>
        <v>33</v>
      </c>
      <c r="K70" s="148">
        <f>'Seasonal (WITH)'!K70</f>
        <v>40</v>
      </c>
      <c r="L70" s="148">
        <f t="shared" si="91"/>
        <v>31.03</v>
      </c>
      <c r="M70" s="148">
        <f t="shared" si="98"/>
        <v>26950.228816625437</v>
      </c>
      <c r="N70" s="148">
        <f t="shared" si="92"/>
        <v>0</v>
      </c>
      <c r="O70" s="148">
        <f t="shared" si="93"/>
        <v>0</v>
      </c>
      <c r="P70" s="148">
        <f t="shared" si="99"/>
        <v>26950.228816625437</v>
      </c>
      <c r="Q70" s="7">
        <f>Y70*'LOAD DATA and INPUT SEASONAL'!$E$12*1000</f>
        <v>75823.324324511806</v>
      </c>
      <c r="R70" s="153"/>
      <c r="S70" s="148">
        <f t="shared" si="100"/>
        <v>75823.324324511806</v>
      </c>
      <c r="T70" s="154">
        <f>'Seasonal (WITH)'!T70</f>
        <v>4.3426085750282688</v>
      </c>
      <c r="U70" s="148"/>
      <c r="V70" s="148">
        <f t="shared" si="101"/>
        <v>4.3426085750282688</v>
      </c>
      <c r="W70" s="148">
        <f>'Seasonal (WITH)'!W70</f>
        <v>864.17910643062544</v>
      </c>
      <c r="X70" s="148">
        <f>'Seasonal (WITH)'!X70</f>
        <v>0</v>
      </c>
      <c r="Y70" s="148">
        <f t="shared" si="102"/>
        <v>868.52171500565373</v>
      </c>
      <c r="Z70" s="148">
        <f t="shared" si="103"/>
        <v>929.3182350560495</v>
      </c>
      <c r="AA70" s="148" t="b">
        <f t="shared" si="104"/>
        <v>1</v>
      </c>
      <c r="AB70" s="148">
        <f t="shared" si="105"/>
        <v>134.75114408312717</v>
      </c>
      <c r="AC70" s="148">
        <f t="shared" si="106"/>
        <v>26815.477672542307</v>
      </c>
      <c r="AD70" s="148">
        <f t="shared" si="107"/>
        <v>0</v>
      </c>
      <c r="AE70" s="148">
        <f t="shared" si="108"/>
        <v>26950.228816625433</v>
      </c>
      <c r="AF70" s="148">
        <f t="shared" si="109"/>
        <v>379.11662162255902</v>
      </c>
      <c r="AG70" s="148">
        <f t="shared" si="110"/>
        <v>75444.207702889238</v>
      </c>
      <c r="AH70" s="148">
        <f t="shared" si="111"/>
        <v>0</v>
      </c>
      <c r="AI70" s="148">
        <f t="shared" si="112"/>
        <v>75823.324324511792</v>
      </c>
      <c r="AJ70" s="148">
        <f t="shared" si="113"/>
        <v>513.86776570568622</v>
      </c>
      <c r="AK70" s="148">
        <f t="shared" si="114"/>
        <v>102259.68537543155</v>
      </c>
      <c r="AL70" s="148">
        <f t="shared" si="115"/>
        <v>0</v>
      </c>
      <c r="AM70" s="148">
        <f t="shared" si="116"/>
        <v>102773.55314113724</v>
      </c>
    </row>
    <row r="71" spans="1:39" s="66" customFormat="1" x14ac:dyDescent="0.25">
      <c r="A71" s="66">
        <v>13</v>
      </c>
      <c r="B71" s="148">
        <f t="shared" si="94"/>
        <v>1000</v>
      </c>
      <c r="C71" s="148">
        <f t="shared" si="94"/>
        <v>500</v>
      </c>
      <c r="D71" s="148">
        <f t="shared" si="94"/>
        <v>100</v>
      </c>
      <c r="E71" s="148">
        <f t="shared" si="95"/>
        <v>1000</v>
      </c>
      <c r="F71" s="148">
        <f t="shared" si="117"/>
        <v>36.392137547780067</v>
      </c>
      <c r="G71" s="148">
        <f t="shared" si="96"/>
        <v>0</v>
      </c>
      <c r="H71" s="148">
        <f t="shared" si="97"/>
        <v>1036.3921375477801</v>
      </c>
      <c r="I71" s="148">
        <f>'Seasonal (WITH)'!I71</f>
        <v>29</v>
      </c>
      <c r="J71" s="148">
        <f>'Seasonal (WITH)'!J71</f>
        <v>33</v>
      </c>
      <c r="K71" s="148">
        <f>'Seasonal (WITH)'!K71</f>
        <v>40</v>
      </c>
      <c r="L71" s="148">
        <f t="shared" si="91"/>
        <v>31.180289010367293</v>
      </c>
      <c r="M71" s="148">
        <f t="shared" si="98"/>
        <v>29000</v>
      </c>
      <c r="N71" s="148">
        <f t="shared" si="92"/>
        <v>1200.9405390767422</v>
      </c>
      <c r="O71" s="148">
        <f t="shared" si="93"/>
        <v>0</v>
      </c>
      <c r="P71" s="148">
        <f t="shared" si="99"/>
        <v>30200.940539076742</v>
      </c>
      <c r="Q71" s="7">
        <f>Y71*'LOAD DATA and INPUT SEASONAL'!$E$12*1000</f>
        <v>84559.512778655262</v>
      </c>
      <c r="R71" s="153"/>
      <c r="S71" s="148">
        <f t="shared" si="100"/>
        <v>84559.512778655262</v>
      </c>
      <c r="T71" s="154">
        <f>'Seasonal (WITH)'!T71</f>
        <v>4.8429539137746733</v>
      </c>
      <c r="U71" s="148"/>
      <c r="V71" s="148">
        <f t="shared" si="101"/>
        <v>4.8429539137746733</v>
      </c>
      <c r="W71" s="148">
        <f>'Seasonal (WITH)'!W71</f>
        <v>963.74782884115996</v>
      </c>
      <c r="X71" s="148">
        <f>'Seasonal (WITH)'!X71</f>
        <v>0</v>
      </c>
      <c r="Y71" s="148">
        <f t="shared" si="102"/>
        <v>968.59078275493459</v>
      </c>
      <c r="Z71" s="148">
        <f t="shared" si="103"/>
        <v>1036.3921375477801</v>
      </c>
      <c r="AA71" s="148" t="b">
        <f t="shared" si="104"/>
        <v>1</v>
      </c>
      <c r="AB71" s="148">
        <f t="shared" si="105"/>
        <v>151.00470269538371</v>
      </c>
      <c r="AC71" s="148">
        <f t="shared" si="106"/>
        <v>30049.935836381359</v>
      </c>
      <c r="AD71" s="148">
        <f t="shared" si="107"/>
        <v>0</v>
      </c>
      <c r="AE71" s="148">
        <f t="shared" si="108"/>
        <v>30200.940539076742</v>
      </c>
      <c r="AF71" s="148">
        <f t="shared" si="109"/>
        <v>422.79756389327633</v>
      </c>
      <c r="AG71" s="148">
        <f t="shared" si="110"/>
        <v>84136.715214761993</v>
      </c>
      <c r="AH71" s="148">
        <f t="shared" si="111"/>
        <v>0</v>
      </c>
      <c r="AI71" s="148">
        <f t="shared" si="112"/>
        <v>84559.512778655262</v>
      </c>
      <c r="AJ71" s="148">
        <f t="shared" si="113"/>
        <v>573.80226658866002</v>
      </c>
      <c r="AK71" s="148">
        <f t="shared" si="114"/>
        <v>114186.65105114336</v>
      </c>
      <c r="AL71" s="148">
        <f t="shared" si="115"/>
        <v>0</v>
      </c>
      <c r="AM71" s="148">
        <f t="shared" si="116"/>
        <v>114760.45331773201</v>
      </c>
    </row>
    <row r="72" spans="1:39" s="66" customFormat="1" x14ac:dyDescent="0.25">
      <c r="A72" s="66">
        <v>14</v>
      </c>
      <c r="B72" s="148">
        <f t="shared" si="94"/>
        <v>1000</v>
      </c>
      <c r="C72" s="148">
        <f t="shared" si="94"/>
        <v>500</v>
      </c>
      <c r="D72" s="148">
        <f t="shared" si="94"/>
        <v>100</v>
      </c>
      <c r="E72" s="148">
        <f t="shared" si="95"/>
        <v>1000</v>
      </c>
      <c r="F72" s="148">
        <f t="shared" si="117"/>
        <v>135.75618463754518</v>
      </c>
      <c r="G72" s="148">
        <f t="shared" si="96"/>
        <v>0</v>
      </c>
      <c r="H72" s="148">
        <f t="shared" si="97"/>
        <v>1135.7561846375452</v>
      </c>
      <c r="I72" s="148">
        <f>'Seasonal (WITH)'!I72</f>
        <v>29</v>
      </c>
      <c r="J72" s="148">
        <f>'Seasonal (WITH)'!J72</f>
        <v>33</v>
      </c>
      <c r="K72" s="148">
        <f>'Seasonal (WITH)'!K72</f>
        <v>40</v>
      </c>
      <c r="L72" s="148">
        <f t="shared" si="91"/>
        <v>31.541585565729608</v>
      </c>
      <c r="M72" s="148">
        <f t="shared" si="98"/>
        <v>29000</v>
      </c>
      <c r="N72" s="148">
        <f t="shared" si="92"/>
        <v>4479.9540930389903</v>
      </c>
      <c r="O72" s="148">
        <f t="shared" si="93"/>
        <v>0</v>
      </c>
      <c r="P72" s="148">
        <f t="shared" si="99"/>
        <v>33479.954093038992</v>
      </c>
      <c r="Q72" s="7">
        <f>Y72*'LOAD DATA and INPUT SEASONAL'!$E$12*1000</f>
        <v>92666.652060420151</v>
      </c>
      <c r="R72" s="153"/>
      <c r="S72" s="148">
        <f t="shared" si="100"/>
        <v>92666.652060420151</v>
      </c>
      <c r="T72" s="154">
        <f>'Seasonal (WITH)'!T72</f>
        <v>5.3072718908296501</v>
      </c>
      <c r="U72" s="148"/>
      <c r="V72" s="148">
        <f t="shared" si="101"/>
        <v>5.3072718908296501</v>
      </c>
      <c r="W72" s="148">
        <f>'Seasonal (WITH)'!W72</f>
        <v>1056.1471062751002</v>
      </c>
      <c r="X72" s="148">
        <f>'Seasonal (WITH)'!X72</f>
        <v>0</v>
      </c>
      <c r="Y72" s="148">
        <f t="shared" si="102"/>
        <v>1061.4543781659299</v>
      </c>
      <c r="Z72" s="148">
        <f t="shared" si="103"/>
        <v>1135.7561846375452</v>
      </c>
      <c r="AA72" s="148" t="b">
        <f t="shared" si="104"/>
        <v>1</v>
      </c>
      <c r="AB72" s="148">
        <f t="shared" si="105"/>
        <v>167.39977046519499</v>
      </c>
      <c r="AC72" s="148">
        <f t="shared" si="106"/>
        <v>33312.554322573793</v>
      </c>
      <c r="AD72" s="148">
        <f t="shared" si="107"/>
        <v>0</v>
      </c>
      <c r="AE72" s="148">
        <f t="shared" si="108"/>
        <v>33479.954093038985</v>
      </c>
      <c r="AF72" s="148">
        <f t="shared" si="109"/>
        <v>463.33326030210083</v>
      </c>
      <c r="AG72" s="148">
        <f t="shared" si="110"/>
        <v>92203.318800118053</v>
      </c>
      <c r="AH72" s="148">
        <f t="shared" si="111"/>
        <v>0</v>
      </c>
      <c r="AI72" s="148">
        <f t="shared" si="112"/>
        <v>92666.652060420151</v>
      </c>
      <c r="AJ72" s="148">
        <f t="shared" si="113"/>
        <v>630.73303076729576</v>
      </c>
      <c r="AK72" s="148">
        <f t="shared" si="114"/>
        <v>125515.87312269185</v>
      </c>
      <c r="AL72" s="148">
        <f t="shared" si="115"/>
        <v>0</v>
      </c>
      <c r="AM72" s="148">
        <f t="shared" si="116"/>
        <v>126146.60615345914</v>
      </c>
    </row>
    <row r="73" spans="1:39" s="66" customFormat="1" x14ac:dyDescent="0.25">
      <c r="A73" s="66">
        <v>15</v>
      </c>
      <c r="B73" s="148">
        <f t="shared" si="94"/>
        <v>1000</v>
      </c>
      <c r="C73" s="148">
        <f t="shared" si="94"/>
        <v>500</v>
      </c>
      <c r="D73" s="148">
        <f t="shared" si="94"/>
        <v>100</v>
      </c>
      <c r="E73" s="148">
        <f t="shared" si="95"/>
        <v>1000</v>
      </c>
      <c r="F73" s="148">
        <f t="shared" si="117"/>
        <v>243.34355750657642</v>
      </c>
      <c r="G73" s="148">
        <f t="shared" si="96"/>
        <v>0</v>
      </c>
      <c r="H73" s="148">
        <f t="shared" si="97"/>
        <v>1243.3435575065764</v>
      </c>
      <c r="I73" s="148">
        <f>'Seasonal (WITH)'!I73</f>
        <v>29</v>
      </c>
      <c r="J73" s="148">
        <f>'Seasonal (WITH)'!J73</f>
        <v>33</v>
      </c>
      <c r="K73" s="148">
        <f>'Seasonal (WITH)'!K73</f>
        <v>40</v>
      </c>
      <c r="L73" s="148">
        <f t="shared" si="91"/>
        <v>31.867669057631034</v>
      </c>
      <c r="M73" s="148">
        <f t="shared" si="98"/>
        <v>29000</v>
      </c>
      <c r="N73" s="148">
        <f t="shared" si="92"/>
        <v>8030.3373977170213</v>
      </c>
      <c r="O73" s="148">
        <f t="shared" si="93"/>
        <v>0</v>
      </c>
      <c r="P73" s="148">
        <f t="shared" si="99"/>
        <v>37030.337397717019</v>
      </c>
      <c r="Q73" s="7">
        <f>Y73*'LOAD DATA and INPUT SEASONAL'!$E$12*1000</f>
        <v>101444.73470051677</v>
      </c>
      <c r="R73" s="153"/>
      <c r="S73" s="148">
        <f t="shared" si="100"/>
        <v>101444.73470051677</v>
      </c>
      <c r="T73" s="154">
        <f>'Seasonal (WITH)'!T73</f>
        <v>5.8100166238625057</v>
      </c>
      <c r="U73" s="148"/>
      <c r="V73" s="148">
        <f t="shared" si="101"/>
        <v>5.8100166238625057</v>
      </c>
      <c r="W73" s="148">
        <f>'Seasonal (WITH)'!W73</f>
        <v>1156.1933081486386</v>
      </c>
      <c r="X73" s="148">
        <f>'Seasonal (WITH)'!X73</f>
        <v>0</v>
      </c>
      <c r="Y73" s="148">
        <f t="shared" si="102"/>
        <v>1162.0033247725012</v>
      </c>
      <c r="Z73" s="148">
        <f t="shared" si="103"/>
        <v>1243.3435575065764</v>
      </c>
      <c r="AA73" s="148" t="b">
        <f t="shared" si="104"/>
        <v>1</v>
      </c>
      <c r="AB73" s="148">
        <f>V73*L73</f>
        <v>185.15168698858508</v>
      </c>
      <c r="AC73" s="148">
        <f t="shared" si="106"/>
        <v>36845.18571072843</v>
      </c>
      <c r="AD73" s="148">
        <f t="shared" si="107"/>
        <v>0</v>
      </c>
      <c r="AE73" s="148">
        <f t="shared" si="108"/>
        <v>37030.337397717012</v>
      </c>
      <c r="AF73" s="148">
        <f t="shared" si="109"/>
        <v>507.22367350258384</v>
      </c>
      <c r="AG73" s="148">
        <f t="shared" si="110"/>
        <v>100937.51102701419</v>
      </c>
      <c r="AH73" s="148">
        <f t="shared" si="111"/>
        <v>0</v>
      </c>
      <c r="AI73" s="148">
        <f t="shared" si="112"/>
        <v>101444.73470051677</v>
      </c>
      <c r="AJ73" s="148">
        <f t="shared" si="113"/>
        <v>692.37536049116898</v>
      </c>
      <c r="AK73" s="148">
        <f t="shared" si="114"/>
        <v>137782.69673774263</v>
      </c>
      <c r="AL73" s="148">
        <f t="shared" si="115"/>
        <v>0</v>
      </c>
      <c r="AM73" s="148">
        <f t="shared" si="116"/>
        <v>138475.0720982338</v>
      </c>
    </row>
    <row r="74" spans="1:39" s="66" customFormat="1" x14ac:dyDescent="0.25">
      <c r="A74" s="66">
        <v>16</v>
      </c>
      <c r="B74" s="148">
        <f t="shared" si="94"/>
        <v>1000</v>
      </c>
      <c r="C74" s="148">
        <f t="shared" si="94"/>
        <v>500</v>
      </c>
      <c r="D74" s="148">
        <f t="shared" si="94"/>
        <v>100</v>
      </c>
      <c r="E74" s="148">
        <f t="shared" si="95"/>
        <v>1000</v>
      </c>
      <c r="F74" s="148">
        <f t="shared" si="117"/>
        <v>342.45488908832635</v>
      </c>
      <c r="G74" s="148">
        <f t="shared" si="96"/>
        <v>0</v>
      </c>
      <c r="H74" s="148">
        <f t="shared" si="97"/>
        <v>1342.4548890883264</v>
      </c>
      <c r="I74" s="148">
        <f>'Seasonal (WITH)'!I74</f>
        <v>29</v>
      </c>
      <c r="J74" s="148">
        <f>'Seasonal (WITH)'!J74</f>
        <v>33</v>
      </c>
      <c r="K74" s="148">
        <f>'Seasonal (WITH)'!K74</f>
        <v>40</v>
      </c>
      <c r="L74" s="148">
        <f t="shared" si="91"/>
        <v>32.121810933247382</v>
      </c>
      <c r="M74" s="148">
        <f t="shared" si="98"/>
        <v>29000</v>
      </c>
      <c r="N74" s="148">
        <f t="shared" si="92"/>
        <v>11301.01133991477</v>
      </c>
      <c r="O74" s="148">
        <f t="shared" si="93"/>
        <v>0</v>
      </c>
      <c r="P74" s="148">
        <f t="shared" si="99"/>
        <v>40301.011339914767</v>
      </c>
      <c r="Q74" s="7">
        <f>Y74*'LOAD DATA and INPUT SEASONAL'!$E$12*1000</f>
        <v>109531.25485612742</v>
      </c>
      <c r="R74" s="153"/>
      <c r="S74" s="148">
        <f t="shared" si="100"/>
        <v>109531.25485612742</v>
      </c>
      <c r="T74" s="154">
        <f>'Seasonal (WITH)'!T74</f>
        <v>6.2731536873286284</v>
      </c>
      <c r="U74" s="148"/>
      <c r="V74" s="148">
        <f t="shared" si="101"/>
        <v>6.2731536873286284</v>
      </c>
      <c r="W74" s="148">
        <f>'Seasonal (WITH)'!W74</f>
        <v>1248.3575837783969</v>
      </c>
      <c r="X74" s="148">
        <f>'Seasonal (WITH)'!X74</f>
        <v>0</v>
      </c>
      <c r="Y74" s="148">
        <f t="shared" si="102"/>
        <v>1254.6307374657256</v>
      </c>
      <c r="Z74" s="148">
        <f t="shared" si="103"/>
        <v>1342.4548890883264</v>
      </c>
      <c r="AA74" s="148" t="b">
        <f t="shared" si="104"/>
        <v>1</v>
      </c>
      <c r="AB74" s="148">
        <f t="shared" ref="AB74:AB78" si="118">V74*L74</f>
        <v>201.50505669957386</v>
      </c>
      <c r="AC74" s="148">
        <f t="shared" si="106"/>
        <v>40099.506283215196</v>
      </c>
      <c r="AD74" s="148">
        <f t="shared" si="107"/>
        <v>0</v>
      </c>
      <c r="AE74" s="148">
        <f t="shared" si="108"/>
        <v>40301.011339914767</v>
      </c>
      <c r="AF74" s="148">
        <f t="shared" si="109"/>
        <v>547.65627428063715</v>
      </c>
      <c r="AG74" s="148">
        <f t="shared" si="110"/>
        <v>108983.59858184677</v>
      </c>
      <c r="AH74" s="148">
        <f t="shared" si="111"/>
        <v>0</v>
      </c>
      <c r="AI74" s="148">
        <f t="shared" si="112"/>
        <v>109531.25485612742</v>
      </c>
      <c r="AJ74" s="148">
        <f t="shared" si="113"/>
        <v>749.16133098021101</v>
      </c>
      <c r="AK74" s="148">
        <f t="shared" si="114"/>
        <v>149083.10486506196</v>
      </c>
      <c r="AL74" s="148">
        <f t="shared" si="115"/>
        <v>0</v>
      </c>
      <c r="AM74" s="148">
        <f t="shared" si="116"/>
        <v>149832.26619604218</v>
      </c>
    </row>
    <row r="75" spans="1:39" s="66" customFormat="1" x14ac:dyDescent="0.25">
      <c r="A75" s="66">
        <v>17</v>
      </c>
      <c r="B75" s="148">
        <f t="shared" si="94"/>
        <v>1000</v>
      </c>
      <c r="C75" s="148">
        <f t="shared" si="94"/>
        <v>500</v>
      </c>
      <c r="D75" s="148">
        <f t="shared" si="94"/>
        <v>100</v>
      </c>
      <c r="E75" s="148">
        <f t="shared" si="95"/>
        <v>1000</v>
      </c>
      <c r="F75" s="148">
        <f t="shared" si="117"/>
        <v>468.26662002818011</v>
      </c>
      <c r="G75" s="148">
        <f t="shared" si="96"/>
        <v>0</v>
      </c>
      <c r="H75" s="148">
        <f>SUM(E75:G75)</f>
        <v>1468.2666200281801</v>
      </c>
      <c r="I75" s="148">
        <f>'Seasonal (WITH)'!I75</f>
        <v>29</v>
      </c>
      <c r="J75" s="148">
        <f>'Seasonal (WITH)'!J75</f>
        <v>33</v>
      </c>
      <c r="K75" s="148">
        <f>'Seasonal (WITH)'!K75</f>
        <v>40</v>
      </c>
      <c r="L75" s="148">
        <f t="shared" si="91"/>
        <v>32.394998091206453</v>
      </c>
      <c r="M75" s="148">
        <f t="shared" si="98"/>
        <v>29000</v>
      </c>
      <c r="N75" s="148">
        <f t="shared" si="92"/>
        <v>15452.798460929944</v>
      </c>
      <c r="O75" s="148">
        <f t="shared" si="93"/>
        <v>0</v>
      </c>
      <c r="P75" s="148">
        <f t="shared" si="99"/>
        <v>44452.798460929946</v>
      </c>
      <c r="Q75" s="7">
        <f>Y75*'LOAD DATA and INPUT SEASONAL'!$E$12*1000</f>
        <v>119796.26776454775</v>
      </c>
      <c r="R75" s="153"/>
      <c r="S75" s="148">
        <f t="shared" si="100"/>
        <v>119796.26776454775</v>
      </c>
      <c r="T75" s="154">
        <f>'Seasonal (WITH)'!T75</f>
        <v>6.8610589720942992</v>
      </c>
      <c r="U75" s="148"/>
      <c r="V75" s="148">
        <f t="shared" si="101"/>
        <v>6.8610589720942992</v>
      </c>
      <c r="W75" s="148">
        <f>'Seasonal (WITH)'!W75</f>
        <v>1365.3507354467656</v>
      </c>
      <c r="X75" s="148">
        <f>'Seasonal (WITH)'!X75</f>
        <v>0</v>
      </c>
      <c r="Y75" s="148">
        <f t="shared" si="102"/>
        <v>1372.2117944188599</v>
      </c>
      <c r="Z75" s="148">
        <f t="shared" si="103"/>
        <v>1468.2666200281801</v>
      </c>
      <c r="AA75" s="148" t="b">
        <f t="shared" si="104"/>
        <v>1</v>
      </c>
      <c r="AB75" s="148">
        <f t="shared" si="118"/>
        <v>222.26399230464972</v>
      </c>
      <c r="AC75" s="148">
        <f t="shared" si="106"/>
        <v>44230.534468625301</v>
      </c>
      <c r="AD75" s="148">
        <f t="shared" si="107"/>
        <v>0</v>
      </c>
      <c r="AE75" s="148">
        <f t="shared" si="108"/>
        <v>44452.798460929953</v>
      </c>
      <c r="AF75" s="148">
        <f t="shared" si="109"/>
        <v>598.98133882273873</v>
      </c>
      <c r="AG75" s="148">
        <f t="shared" si="110"/>
        <v>119197.28642572502</v>
      </c>
      <c r="AH75" s="148">
        <f t="shared" si="111"/>
        <v>0</v>
      </c>
      <c r="AI75" s="148">
        <f t="shared" si="112"/>
        <v>119796.26776454775</v>
      </c>
      <c r="AJ75" s="148">
        <f t="shared" si="113"/>
        <v>821.24533112738845</v>
      </c>
      <c r="AK75" s="148">
        <f t="shared" si="114"/>
        <v>163427.82089435033</v>
      </c>
      <c r="AL75" s="148">
        <f t="shared" si="115"/>
        <v>0</v>
      </c>
      <c r="AM75" s="148">
        <f t="shared" si="116"/>
        <v>164249.06622547773</v>
      </c>
    </row>
    <row r="76" spans="1:39" s="66" customFormat="1" x14ac:dyDescent="0.25">
      <c r="A76" s="66">
        <v>18</v>
      </c>
      <c r="B76" s="148">
        <f t="shared" ref="B76:D82" si="119">B49</f>
        <v>1000</v>
      </c>
      <c r="C76" s="148">
        <f t="shared" si="119"/>
        <v>500</v>
      </c>
      <c r="D76" s="148">
        <f t="shared" si="119"/>
        <v>100</v>
      </c>
      <c r="E76" s="148">
        <f t="shared" si="95"/>
        <v>1000</v>
      </c>
      <c r="F76" s="148">
        <f t="shared" si="117"/>
        <v>500</v>
      </c>
      <c r="G76" s="148">
        <f t="shared" si="96"/>
        <v>53.4520778358999</v>
      </c>
      <c r="H76" s="148">
        <f t="shared" ref="H76:H78" si="120">SUM(E76:G76)</f>
        <v>1553.4520778358999</v>
      </c>
      <c r="I76" s="148">
        <f>'Seasonal (WITH)'!I76</f>
        <v>29</v>
      </c>
      <c r="J76" s="148">
        <f>'Seasonal (WITH)'!J76</f>
        <v>33</v>
      </c>
      <c r="K76" s="148">
        <f>'Seasonal (WITH)'!K76</f>
        <v>40</v>
      </c>
      <c r="L76" s="148">
        <f t="shared" si="91"/>
        <v>32.81256606408239</v>
      </c>
      <c r="M76" s="148">
        <f t="shared" si="98"/>
        <v>29000</v>
      </c>
      <c r="N76" s="148">
        <f t="shared" si="92"/>
        <v>16500</v>
      </c>
      <c r="O76" s="148">
        <f t="shared" si="93"/>
        <v>2138.083113435996</v>
      </c>
      <c r="P76" s="148">
        <f t="shared" si="99"/>
        <v>47638.083113435998</v>
      </c>
      <c r="Q76" s="7">
        <f>Y76*'LOAD DATA and INPUT SEASONAL'!$E$12*1000</f>
        <v>126746.57213977308</v>
      </c>
      <c r="R76" s="153"/>
      <c r="S76" s="148">
        <f t="shared" si="100"/>
        <v>126746.57213977308</v>
      </c>
      <c r="T76" s="154">
        <f>'Seasonal (WITH)'!T76</f>
        <v>7.2591218590462612</v>
      </c>
      <c r="U76" s="148"/>
      <c r="V76" s="148">
        <f t="shared" si="101"/>
        <v>7.2591218590462612</v>
      </c>
      <c r="W76" s="148">
        <f>'Seasonal (WITH)'!W76</f>
        <v>1444.565249950206</v>
      </c>
      <c r="X76" s="148">
        <f>'Seasonal (WITH)'!X76</f>
        <v>0</v>
      </c>
      <c r="Y76" s="148">
        <f t="shared" si="102"/>
        <v>1451.8243718092522</v>
      </c>
      <c r="Z76" s="148">
        <f t="shared" si="103"/>
        <v>1553.4520778358999</v>
      </c>
      <c r="AA76" s="148" t="b">
        <f t="shared" si="104"/>
        <v>1</v>
      </c>
      <c r="AB76" s="148">
        <f t="shared" si="118"/>
        <v>238.19041556718003</v>
      </c>
      <c r="AC76" s="148">
        <f t="shared" si="106"/>
        <v>47399.892697868825</v>
      </c>
      <c r="AD76" s="148">
        <f t="shared" si="107"/>
        <v>0</v>
      </c>
      <c r="AE76" s="148">
        <f t="shared" si="108"/>
        <v>47638.083113436005</v>
      </c>
      <c r="AF76" s="148">
        <f t="shared" si="109"/>
        <v>633.73286069886547</v>
      </c>
      <c r="AG76" s="148">
        <f t="shared" si="110"/>
        <v>126112.83927907422</v>
      </c>
      <c r="AH76" s="148">
        <f t="shared" si="111"/>
        <v>0</v>
      </c>
      <c r="AI76" s="148">
        <f t="shared" si="112"/>
        <v>126746.57213977308</v>
      </c>
      <c r="AJ76" s="148">
        <f t="shared" si="113"/>
        <v>871.92327626604549</v>
      </c>
      <c r="AK76" s="148">
        <f t="shared" si="114"/>
        <v>173512.73197694303</v>
      </c>
      <c r="AL76" s="148">
        <f t="shared" si="115"/>
        <v>0</v>
      </c>
      <c r="AM76" s="148">
        <f t="shared" si="116"/>
        <v>174384.65525320909</v>
      </c>
    </row>
    <row r="77" spans="1:39" s="66" customFormat="1" x14ac:dyDescent="0.25">
      <c r="A77" s="66">
        <v>19</v>
      </c>
      <c r="B77" s="148">
        <f t="shared" si="119"/>
        <v>1000</v>
      </c>
      <c r="C77" s="148">
        <f t="shared" si="119"/>
        <v>500</v>
      </c>
      <c r="D77" s="148">
        <f t="shared" si="119"/>
        <v>100</v>
      </c>
      <c r="E77" s="148">
        <f t="shared" si="95"/>
        <v>1000</v>
      </c>
      <c r="F77" s="148">
        <f t="shared" si="117"/>
        <v>500</v>
      </c>
      <c r="G77" s="148">
        <f t="shared" si="96"/>
        <v>71.743287329683199</v>
      </c>
      <c r="H77" s="148">
        <f t="shared" si="120"/>
        <v>1571.7432873296832</v>
      </c>
      <c r="I77" s="148">
        <f>'Seasonal (WITH)'!I77</f>
        <v>29</v>
      </c>
      <c r="J77" s="148">
        <f>'Seasonal (WITH)'!J77</f>
        <v>33</v>
      </c>
      <c r="K77" s="148">
        <f>'Seasonal (WITH)'!K77</f>
        <v>40</v>
      </c>
      <c r="L77" s="148">
        <f t="shared" si="91"/>
        <v>32.928795125087348</v>
      </c>
      <c r="M77" s="148">
        <f t="shared" si="98"/>
        <v>29000</v>
      </c>
      <c r="N77" s="148">
        <f t="shared" si="92"/>
        <v>16500</v>
      </c>
      <c r="O77" s="148">
        <f t="shared" si="93"/>
        <v>2869.7314931873279</v>
      </c>
      <c r="P77" s="148">
        <f t="shared" si="99"/>
        <v>48369.731493187326</v>
      </c>
      <c r="Q77" s="7">
        <f>Y77*'LOAD DATA and INPUT SEASONAL'!$E$12*1000</f>
        <v>128238.95683364608</v>
      </c>
      <c r="R77" s="153"/>
      <c r="S77" s="148">
        <f t="shared" si="100"/>
        <v>128238.95683364608</v>
      </c>
      <c r="T77" s="154">
        <f>'Seasonal (WITH)'!T77</f>
        <v>7.3445948006059965</v>
      </c>
      <c r="U77" s="148"/>
      <c r="V77" s="148">
        <f t="shared" si="101"/>
        <v>7.3445948006059965</v>
      </c>
      <c r="W77" s="148">
        <f>'Seasonal (WITH)'!W77</f>
        <v>1461.5743653205932</v>
      </c>
      <c r="X77" s="148">
        <f>'Seasonal (WITH)'!X77</f>
        <v>0</v>
      </c>
      <c r="Y77" s="148">
        <f t="shared" si="102"/>
        <v>1468.9189601211992</v>
      </c>
      <c r="Z77" s="148">
        <f t="shared" si="103"/>
        <v>1571.7432873296832</v>
      </c>
      <c r="AA77" s="148" t="b">
        <f t="shared" si="104"/>
        <v>1</v>
      </c>
      <c r="AB77" s="148">
        <f t="shared" si="118"/>
        <v>241.84865746593661</v>
      </c>
      <c r="AC77" s="148">
        <f t="shared" si="106"/>
        <v>48127.882835721386</v>
      </c>
      <c r="AD77" s="148">
        <f t="shared" si="107"/>
        <v>0</v>
      </c>
      <c r="AE77" s="148">
        <f t="shared" si="108"/>
        <v>48369.731493187326</v>
      </c>
      <c r="AF77" s="148">
        <f t="shared" si="109"/>
        <v>641.1947841682304</v>
      </c>
      <c r="AG77" s="148">
        <f t="shared" si="110"/>
        <v>127597.76204947785</v>
      </c>
      <c r="AH77" s="148">
        <f t="shared" si="111"/>
        <v>0</v>
      </c>
      <c r="AI77" s="148">
        <f t="shared" si="112"/>
        <v>128238.95683364608</v>
      </c>
      <c r="AJ77" s="148">
        <f t="shared" si="113"/>
        <v>883.04344163416704</v>
      </c>
      <c r="AK77" s="148">
        <f t="shared" si="114"/>
        <v>175725.64488519923</v>
      </c>
      <c r="AL77" s="148">
        <f t="shared" si="115"/>
        <v>0</v>
      </c>
      <c r="AM77" s="148">
        <f t="shared" si="116"/>
        <v>176608.68832683339</v>
      </c>
    </row>
    <row r="78" spans="1:39" s="66" customFormat="1" x14ac:dyDescent="0.25">
      <c r="A78" s="66">
        <v>20</v>
      </c>
      <c r="B78" s="148">
        <f t="shared" si="119"/>
        <v>1000</v>
      </c>
      <c r="C78" s="148">
        <f t="shared" si="119"/>
        <v>500</v>
      </c>
      <c r="D78" s="148">
        <f t="shared" si="119"/>
        <v>100</v>
      </c>
      <c r="E78" s="148">
        <f t="shared" si="95"/>
        <v>1000</v>
      </c>
      <c r="F78" s="148">
        <f t="shared" si="117"/>
        <v>500</v>
      </c>
      <c r="G78" s="148">
        <f t="shared" si="96"/>
        <v>7.9409674672122037</v>
      </c>
      <c r="H78" s="148">
        <f t="shared" si="120"/>
        <v>1507.9409674672122</v>
      </c>
      <c r="I78" s="148">
        <f>'Seasonal (WITH)'!I78</f>
        <v>29</v>
      </c>
      <c r="J78" s="148">
        <f>'Seasonal (WITH)'!J78</f>
        <v>33</v>
      </c>
      <c r="K78" s="148">
        <f>'Seasonal (WITH)'!K78</f>
        <v>40</v>
      </c>
      <c r="L78" s="148">
        <f t="shared" si="91"/>
        <v>32.51113569116734</v>
      </c>
      <c r="M78" s="148">
        <f t="shared" si="98"/>
        <v>29000</v>
      </c>
      <c r="N78" s="148">
        <f t="shared" si="92"/>
        <v>16500</v>
      </c>
      <c r="O78" s="148">
        <f t="shared" si="93"/>
        <v>317.63869868848815</v>
      </c>
      <c r="P78" s="148">
        <f t="shared" si="99"/>
        <v>45817.63869868849</v>
      </c>
      <c r="Q78" s="7">
        <f>Y78*'LOAD DATA and INPUT SEASONAL'!$E$12*1000</f>
        <v>123033.30842484605</v>
      </c>
      <c r="R78" s="153"/>
      <c r="S78" s="148">
        <f t="shared" si="100"/>
        <v>123033.30842484605</v>
      </c>
      <c r="T78" s="154">
        <f>'Seasonal (WITH)'!T78</f>
        <v>7.0464531190056645</v>
      </c>
      <c r="U78" s="148"/>
      <c r="V78" s="148">
        <f t="shared" si="101"/>
        <v>7.0464531190056645</v>
      </c>
      <c r="W78" s="148">
        <f>'Seasonal (WITH)'!W78</f>
        <v>1402.2441706821271</v>
      </c>
      <c r="X78" s="148">
        <f>'Seasonal (WITH)'!X78</f>
        <v>0</v>
      </c>
      <c r="Y78" s="148">
        <f t="shared" si="102"/>
        <v>1409.2906238011328</v>
      </c>
      <c r="Z78" s="148">
        <f t="shared" si="103"/>
        <v>1507.9409674672122</v>
      </c>
      <c r="AA78" s="148" t="b">
        <f t="shared" si="104"/>
        <v>1</v>
      </c>
      <c r="AB78" s="148">
        <f t="shared" si="118"/>
        <v>229.08819349344247</v>
      </c>
      <c r="AC78" s="148">
        <f t="shared" si="106"/>
        <v>45588.550505195046</v>
      </c>
      <c r="AD78" s="148">
        <f t="shared" si="107"/>
        <v>0</v>
      </c>
      <c r="AE78" s="148">
        <f t="shared" si="108"/>
        <v>45817.63869868849</v>
      </c>
      <c r="AF78" s="148">
        <f t="shared" si="109"/>
        <v>615.16654212423032</v>
      </c>
      <c r="AG78" s="148">
        <f t="shared" si="110"/>
        <v>122418.14188272181</v>
      </c>
      <c r="AH78" s="148">
        <f t="shared" si="111"/>
        <v>0</v>
      </c>
      <c r="AI78" s="148">
        <f t="shared" si="112"/>
        <v>123033.30842484605</v>
      </c>
      <c r="AJ78" s="148">
        <f t="shared" si="113"/>
        <v>844.25473561767285</v>
      </c>
      <c r="AK78" s="148">
        <f t="shared" si="114"/>
        <v>168006.69238791685</v>
      </c>
      <c r="AL78" s="148">
        <f t="shared" si="115"/>
        <v>0</v>
      </c>
      <c r="AM78" s="148">
        <f t="shared" si="116"/>
        <v>168850.94712353451</v>
      </c>
    </row>
    <row r="79" spans="1:39" s="66" customFormat="1" x14ac:dyDescent="0.25">
      <c r="A79" s="66">
        <v>21</v>
      </c>
      <c r="B79" s="148">
        <f t="shared" si="119"/>
        <v>1000</v>
      </c>
      <c r="C79" s="148">
        <f t="shared" si="119"/>
        <v>500</v>
      </c>
      <c r="D79" s="148">
        <f t="shared" si="119"/>
        <v>100</v>
      </c>
      <c r="E79" s="148">
        <f t="shared" si="95"/>
        <v>1000</v>
      </c>
      <c r="F79" s="148">
        <f t="shared" si="117"/>
        <v>395.59128878748584</v>
      </c>
      <c r="G79" s="148">
        <f>IF(SUM(E79,F79)&lt;Z79,IF(SUM(E79,F79,D79)&lt;Z79,D79,Z79-E79-F79),0)</f>
        <v>0</v>
      </c>
      <c r="H79" s="148">
        <f>SUM(E79:G79)</f>
        <v>1395.5912887874858</v>
      </c>
      <c r="I79" s="148">
        <f>'Seasonal (WITH)'!I79</f>
        <v>29</v>
      </c>
      <c r="J79" s="148">
        <f>'Seasonal (WITH)'!J79</f>
        <v>33</v>
      </c>
      <c r="K79" s="148">
        <f>'Seasonal (WITH)'!K79</f>
        <v>40</v>
      </c>
      <c r="L79" s="148">
        <f t="shared" si="91"/>
        <v>32.24319954460411</v>
      </c>
      <c r="M79" s="148">
        <f>E79*I79</f>
        <v>29000</v>
      </c>
      <c r="N79" s="148">
        <f t="shared" si="92"/>
        <v>13054.512529987032</v>
      </c>
      <c r="O79" s="148">
        <f t="shared" si="93"/>
        <v>0</v>
      </c>
      <c r="P79" s="148">
        <f>SUM(M79:O79)</f>
        <v>42054.512529987034</v>
      </c>
      <c r="Q79" s="7">
        <f>Y79*'LOAD DATA and INPUT SEASONAL'!$E$12*1000</f>
        <v>113866.66797495345</v>
      </c>
      <c r="R79" s="153"/>
      <c r="S79" s="148">
        <f t="shared" si="100"/>
        <v>113866.66797495345</v>
      </c>
      <c r="T79" s="154">
        <f>'Seasonal (WITH)'!T79</f>
        <v>6.5214546205022703</v>
      </c>
      <c r="U79" s="148"/>
      <c r="V79" s="148">
        <f t="shared" si="101"/>
        <v>6.5214546205022703</v>
      </c>
      <c r="W79" s="148">
        <f>'Seasonal (WITH)'!W79</f>
        <v>1297.7694694799518</v>
      </c>
      <c r="X79" s="148">
        <f>'Seasonal (WITH)'!X79</f>
        <v>0</v>
      </c>
      <c r="Y79" s="148">
        <f>SUM(V79:X79)</f>
        <v>1304.290924100454</v>
      </c>
      <c r="Z79" s="148">
        <f>Y79*1.07</f>
        <v>1395.5912887874858</v>
      </c>
      <c r="AA79" s="148" t="b">
        <f>Z79=H79</f>
        <v>1</v>
      </c>
      <c r="AB79" s="148">
        <f>V79*L79</f>
        <v>210.27256264993517</v>
      </c>
      <c r="AC79" s="148">
        <f>W79*$L79</f>
        <v>41844.239967337096</v>
      </c>
      <c r="AD79" s="148">
        <f>X79*$L79</f>
        <v>0</v>
      </c>
      <c r="AE79" s="148">
        <f>SUM(AB79:AD79)</f>
        <v>42054.512529987034</v>
      </c>
      <c r="AF79" s="148">
        <f>$S79/$Y79*V79</f>
        <v>569.33333987476726</v>
      </c>
      <c r="AG79" s="148">
        <f t="shared" si="110"/>
        <v>113297.33463507869</v>
      </c>
      <c r="AH79" s="148">
        <f t="shared" si="111"/>
        <v>0</v>
      </c>
      <c r="AI79" s="148">
        <f>SUM(AF79:AH79)</f>
        <v>113866.66797495345</v>
      </c>
      <c r="AJ79" s="148">
        <f>AB79+AF79</f>
        <v>779.6059025247024</v>
      </c>
      <c r="AK79" s="148">
        <f>AC79+AG79</f>
        <v>155141.57460241579</v>
      </c>
      <c r="AL79" s="148">
        <f>AD79+AH79</f>
        <v>0</v>
      </c>
      <c r="AM79" s="148">
        <f>SUM(AJ79:AL79)</f>
        <v>155921.18050494048</v>
      </c>
    </row>
    <row r="80" spans="1:39" s="66" customFormat="1" x14ac:dyDescent="0.25">
      <c r="A80" s="66">
        <v>22</v>
      </c>
      <c r="B80" s="148">
        <f t="shared" si="119"/>
        <v>1000</v>
      </c>
      <c r="C80" s="148">
        <f t="shared" si="119"/>
        <v>500</v>
      </c>
      <c r="D80" s="148">
        <f t="shared" si="119"/>
        <v>100</v>
      </c>
      <c r="E80" s="148">
        <f t="shared" si="95"/>
        <v>1000</v>
      </c>
      <c r="F80" s="148">
        <f t="shared" si="117"/>
        <v>342.2463987056899</v>
      </c>
      <c r="G80" s="148">
        <f t="shared" ref="G80:G81" si="121">IF(SUM(E80,F80)&lt;Z80,IF(SUM(E80,F80,D80)&lt;Z80,D80,Z80-E80-F80),0)</f>
        <v>0</v>
      </c>
      <c r="H80" s="148">
        <f t="shared" ref="H80:H81" si="122">SUM(E80:G80)</f>
        <v>1342.2463987056899</v>
      </c>
      <c r="I80" s="148">
        <f>'Seasonal (WITH)'!I80</f>
        <v>29</v>
      </c>
      <c r="J80" s="148">
        <f>'Seasonal (WITH)'!J80</f>
        <v>33</v>
      </c>
      <c r="K80" s="148">
        <f>'Seasonal (WITH)'!K80</f>
        <v>40</v>
      </c>
      <c r="L80" s="148">
        <f t="shared" si="91"/>
        <v>32.121315713622224</v>
      </c>
      <c r="M80" s="148">
        <f t="shared" ref="M80:M81" si="123">E80*I80</f>
        <v>29000</v>
      </c>
      <c r="N80" s="148">
        <f t="shared" si="92"/>
        <v>11294.131157287768</v>
      </c>
      <c r="O80" s="148">
        <f t="shared" si="93"/>
        <v>0</v>
      </c>
      <c r="P80" s="148">
        <f t="shared" ref="P80:P81" si="124">SUM(M80:O80)</f>
        <v>40294.131157287768</v>
      </c>
      <c r="Q80" s="7">
        <f>Y80*'LOAD DATA and INPUT SEASONAL'!$E$12*1000</f>
        <v>109514.24406982746</v>
      </c>
      <c r="R80" s="153"/>
      <c r="S80" s="148">
        <f t="shared" si="100"/>
        <v>109514.24406982746</v>
      </c>
      <c r="T80" s="154">
        <f>'Seasonal (WITH)'!T80</f>
        <v>6.2721794332041583</v>
      </c>
      <c r="U80" s="148"/>
      <c r="V80" s="148">
        <f t="shared" si="101"/>
        <v>6.2721794332041583</v>
      </c>
      <c r="W80" s="148">
        <f>'Seasonal (WITH)'!W80</f>
        <v>1248.1637072076273</v>
      </c>
      <c r="X80" s="148">
        <f>'Seasonal (WITH)'!X80</f>
        <v>0</v>
      </c>
      <c r="Y80" s="148">
        <f t="shared" ref="Y80:Y81" si="125">SUM(V80:X80)</f>
        <v>1254.4358866408315</v>
      </c>
      <c r="Z80" s="148">
        <f t="shared" ref="Z80:Z81" si="126">Y80*1.07</f>
        <v>1342.2463987056899</v>
      </c>
      <c r="AA80" s="148" t="b">
        <f t="shared" ref="AA80:AA81" si="127">Z80=H80</f>
        <v>1</v>
      </c>
      <c r="AB80" s="148">
        <f t="shared" ref="AB80:AB81" si="128">V80*L80</f>
        <v>201.47065578643887</v>
      </c>
      <c r="AC80" s="148">
        <f t="shared" ref="AC80:AC81" si="129">W80*$L80</f>
        <v>40092.660501501327</v>
      </c>
      <c r="AD80" s="148">
        <f t="shared" ref="AD80:AD81" si="130">X80*$L80</f>
        <v>0</v>
      </c>
      <c r="AE80" s="148">
        <f t="shared" ref="AE80:AE81" si="131">SUM(AB80:AD80)</f>
        <v>40294.131157287768</v>
      </c>
      <c r="AF80" s="148">
        <f t="shared" ref="AF80:AF81" si="132">$S80/$Y80*V80</f>
        <v>547.57122034913732</v>
      </c>
      <c r="AG80" s="148">
        <f t="shared" si="110"/>
        <v>108966.67284947832</v>
      </c>
      <c r="AH80" s="148">
        <f t="shared" si="111"/>
        <v>0</v>
      </c>
      <c r="AI80" s="148">
        <f t="shared" ref="AI80:AI81" si="133">SUM(AF80:AH80)</f>
        <v>109514.24406982746</v>
      </c>
      <c r="AJ80" s="148">
        <f t="shared" ref="AJ80:AJ81" si="134">AB80+AF80</f>
        <v>749.04187613557622</v>
      </c>
      <c r="AK80" s="148">
        <f t="shared" ref="AK80:AK81" si="135">AC80+AG80</f>
        <v>149059.33335097964</v>
      </c>
      <c r="AL80" s="148">
        <f t="shared" ref="AL80:AL81" si="136">AD80+AH80</f>
        <v>0</v>
      </c>
      <c r="AM80" s="148">
        <f t="shared" ref="AM80:AM81" si="137">SUM(AJ80:AL80)</f>
        <v>149808.3752271152</v>
      </c>
    </row>
    <row r="81" spans="1:39" s="66" customFormat="1" x14ac:dyDescent="0.25">
      <c r="A81" s="66">
        <v>23</v>
      </c>
      <c r="B81" s="148">
        <f t="shared" si="119"/>
        <v>1000</v>
      </c>
      <c r="C81" s="148">
        <f t="shared" si="119"/>
        <v>500</v>
      </c>
      <c r="D81" s="148">
        <f t="shared" si="119"/>
        <v>100</v>
      </c>
      <c r="E81" s="148">
        <f t="shared" si="95"/>
        <v>1000</v>
      </c>
      <c r="F81" s="148">
        <f t="shared" si="117"/>
        <v>168.47880430193004</v>
      </c>
      <c r="G81" s="148">
        <f t="shared" si="121"/>
        <v>0</v>
      </c>
      <c r="H81" s="148">
        <f t="shared" si="122"/>
        <v>1168.47880430193</v>
      </c>
      <c r="I81" s="148">
        <f>'Seasonal (WITH)'!I81</f>
        <v>29</v>
      </c>
      <c r="J81" s="148">
        <f>'Seasonal (WITH)'!J81</f>
        <v>33</v>
      </c>
      <c r="K81" s="148">
        <f>'Seasonal (WITH)'!K81</f>
        <v>40</v>
      </c>
      <c r="L81" s="148">
        <f t="shared" si="91"/>
        <v>31.647117982591951</v>
      </c>
      <c r="M81" s="148">
        <f t="shared" si="123"/>
        <v>29000</v>
      </c>
      <c r="N81" s="148">
        <f t="shared" si="92"/>
        <v>5559.8005419636911</v>
      </c>
      <c r="O81" s="148">
        <f t="shared" si="93"/>
        <v>0</v>
      </c>
      <c r="P81" s="148">
        <f t="shared" si="124"/>
        <v>34559.80054196369</v>
      </c>
      <c r="Q81" s="7">
        <f>Y81*'LOAD DATA and INPUT SEASONAL'!$E$12*1000</f>
        <v>95336.499385013594</v>
      </c>
      <c r="R81" s="153"/>
      <c r="S81" s="148">
        <f t="shared" si="100"/>
        <v>95336.499385013594</v>
      </c>
      <c r="T81" s="154">
        <f>'Seasonal (WITH)'!T81</f>
        <v>5.4601813285136913</v>
      </c>
      <c r="U81" s="148"/>
      <c r="V81" s="148">
        <f t="shared" si="101"/>
        <v>5.4601813285136913</v>
      </c>
      <c r="W81" s="148">
        <f>'Seasonal (WITH)'!W81</f>
        <v>1086.5760843742246</v>
      </c>
      <c r="X81" s="148">
        <f>'Seasonal (WITH)'!X81</f>
        <v>0</v>
      </c>
      <c r="Y81" s="148">
        <f t="shared" si="125"/>
        <v>1092.0362657027383</v>
      </c>
      <c r="Z81" s="148">
        <f t="shared" si="126"/>
        <v>1168.47880430193</v>
      </c>
      <c r="AA81" s="148" t="b">
        <f t="shared" si="127"/>
        <v>1</v>
      </c>
      <c r="AB81" s="148">
        <f t="shared" si="128"/>
        <v>172.79900270981844</v>
      </c>
      <c r="AC81" s="148">
        <f t="shared" si="129"/>
        <v>34387.00153925387</v>
      </c>
      <c r="AD81" s="148">
        <f t="shared" si="130"/>
        <v>0</v>
      </c>
      <c r="AE81" s="148">
        <f t="shared" si="131"/>
        <v>34559.80054196369</v>
      </c>
      <c r="AF81" s="148">
        <f t="shared" si="132"/>
        <v>476.68249692506799</v>
      </c>
      <c r="AG81" s="148">
        <f t="shared" si="110"/>
        <v>94859.816888088535</v>
      </c>
      <c r="AH81" s="148">
        <f t="shared" si="111"/>
        <v>0</v>
      </c>
      <c r="AI81" s="148">
        <f t="shared" si="133"/>
        <v>95336.499385013609</v>
      </c>
      <c r="AJ81" s="148">
        <f t="shared" si="134"/>
        <v>649.4814996348864</v>
      </c>
      <c r="AK81" s="148">
        <f t="shared" si="135"/>
        <v>129246.8184273424</v>
      </c>
      <c r="AL81" s="148">
        <f t="shared" si="136"/>
        <v>0</v>
      </c>
      <c r="AM81" s="148">
        <f t="shared" si="137"/>
        <v>129896.29992697728</v>
      </c>
    </row>
    <row r="82" spans="1:39" s="66" customFormat="1" x14ac:dyDescent="0.25">
      <c r="A82" s="66">
        <v>24</v>
      </c>
      <c r="B82" s="148">
        <f t="shared" si="119"/>
        <v>1000</v>
      </c>
      <c r="C82" s="148">
        <f t="shared" si="119"/>
        <v>500</v>
      </c>
      <c r="D82" s="148">
        <f t="shared" si="119"/>
        <v>100</v>
      </c>
      <c r="E82" s="148">
        <f t="shared" si="95"/>
        <v>893.86614292687807</v>
      </c>
      <c r="F82" s="148">
        <f t="shared" si="117"/>
        <v>0</v>
      </c>
      <c r="G82" s="148">
        <f>IF(SUM(E82,F82)&lt;Z82,IF(SUM(E82,F82,D82)&lt;Z82,D82,Z82-E82-F82),0)</f>
        <v>0</v>
      </c>
      <c r="H82" s="148">
        <f>SUM(E82:G82)</f>
        <v>893.86614292687807</v>
      </c>
      <c r="I82" s="148">
        <f>'Seasonal (WITH)'!I82</f>
        <v>29</v>
      </c>
      <c r="J82" s="148">
        <f>'Seasonal (WITH)'!J82</f>
        <v>33</v>
      </c>
      <c r="K82" s="148">
        <f>'Seasonal (WITH)'!K82</f>
        <v>40</v>
      </c>
      <c r="L82" s="148">
        <f>P82/Y82</f>
        <v>31.03</v>
      </c>
      <c r="M82" s="148">
        <f>E82*I82</f>
        <v>25922.118144879463</v>
      </c>
      <c r="N82" s="148">
        <f t="shared" si="92"/>
        <v>0</v>
      </c>
      <c r="O82" s="148">
        <f t="shared" si="93"/>
        <v>0</v>
      </c>
      <c r="P82" s="148">
        <f>SUM(M82:O82)</f>
        <v>25922.118144879463</v>
      </c>
      <c r="Q82" s="7">
        <f>Y82*'LOAD DATA and INPUT SEASONAL'!$E$12*1000</f>
        <v>72930.778608640292</v>
      </c>
      <c r="R82" s="153"/>
      <c r="S82" s="148">
        <f t="shared" si="100"/>
        <v>72930.778608640292</v>
      </c>
      <c r="T82" s="154">
        <f>'Seasonal (WITH)'!T82</f>
        <v>4.1769445931162519</v>
      </c>
      <c r="U82" s="148"/>
      <c r="V82" s="148">
        <f t="shared" si="101"/>
        <v>4.1769445931162519</v>
      </c>
      <c r="W82" s="148">
        <f>'Seasonal (WITH)'!W82</f>
        <v>831.21197403013423</v>
      </c>
      <c r="X82" s="148">
        <f>'Seasonal (WITH)'!X82</f>
        <v>0</v>
      </c>
      <c r="Y82" s="148">
        <f>SUM(V82:X82)</f>
        <v>835.38891862325045</v>
      </c>
      <c r="Z82" s="148">
        <f>Y82*1.07</f>
        <v>893.86614292687807</v>
      </c>
      <c r="AA82" s="148" t="b">
        <f>Z82=H82</f>
        <v>1</v>
      </c>
      <c r="AB82" s="148">
        <f>V82*L82</f>
        <v>129.6105907243973</v>
      </c>
      <c r="AC82" s="148">
        <f>W82*$L82</f>
        <v>25792.507554155065</v>
      </c>
      <c r="AD82" s="148">
        <f>X82*$L82</f>
        <v>0</v>
      </c>
      <c r="AE82" s="148">
        <f>SUM(AB82:AD82)</f>
        <v>25922.118144879463</v>
      </c>
      <c r="AF82" s="148">
        <f>$S82/$Y82*V82</f>
        <v>364.65389304320144</v>
      </c>
      <c r="AG82" s="148">
        <f t="shared" si="110"/>
        <v>72566.124715597092</v>
      </c>
      <c r="AH82" s="148">
        <f t="shared" si="111"/>
        <v>0</v>
      </c>
      <c r="AI82" s="148">
        <f>SUM(AF82:AH82)</f>
        <v>72930.778608640292</v>
      </c>
      <c r="AJ82" s="148">
        <f>AB82+AF82</f>
        <v>494.26448376759873</v>
      </c>
      <c r="AK82" s="148">
        <f>AC82+AG82</f>
        <v>98358.632269752154</v>
      </c>
      <c r="AL82" s="148">
        <f>AD82+AH82</f>
        <v>0</v>
      </c>
      <c r="AM82" s="148">
        <f>SUM(AJ82:AL82)</f>
        <v>98852.896753519759</v>
      </c>
    </row>
    <row r="83" spans="1:39" s="66" customFormat="1" x14ac:dyDescent="0.25">
      <c r="A83" s="66" t="s">
        <v>34</v>
      </c>
      <c r="B83" s="66">
        <f t="shared" ref="B83:AA83" si="138">SUM(B59:B82)</f>
        <v>24000</v>
      </c>
      <c r="C83" s="66">
        <f t="shared" si="138"/>
        <v>12000</v>
      </c>
      <c r="D83" s="66">
        <f t="shared" si="138"/>
        <v>2400</v>
      </c>
      <c r="E83" s="66">
        <f t="shared" si="138"/>
        <v>19356.89832310599</v>
      </c>
      <c r="F83" s="66">
        <f t="shared" si="138"/>
        <v>3632.5298806035134</v>
      </c>
      <c r="G83" s="66">
        <f t="shared" si="138"/>
        <v>133.1363326327953</v>
      </c>
      <c r="H83" s="66">
        <f t="shared" si="138"/>
        <v>23122.564536342299</v>
      </c>
      <c r="I83" s="66">
        <f t="shared" si="138"/>
        <v>696</v>
      </c>
      <c r="J83" s="66">
        <f t="shared" si="138"/>
        <v>792</v>
      </c>
      <c r="K83" s="66">
        <f t="shared" si="138"/>
        <v>960</v>
      </c>
      <c r="L83" s="66">
        <f t="shared" si="138"/>
        <v>756.76048277933717</v>
      </c>
      <c r="M83" s="66">
        <f t="shared" si="138"/>
        <v>561350.05137007369</v>
      </c>
      <c r="N83" s="66">
        <f t="shared" si="138"/>
        <v>119873.48605991594</v>
      </c>
      <c r="O83" s="66">
        <f t="shared" si="138"/>
        <v>5325.4533053118121</v>
      </c>
      <c r="P83" s="66">
        <f t="shared" si="138"/>
        <v>686548.99073530128</v>
      </c>
      <c r="Q83" s="66">
        <f t="shared" si="138"/>
        <v>1886576.2490367955</v>
      </c>
      <c r="R83" s="66">
        <f t="shared" si="138"/>
        <v>0</v>
      </c>
      <c r="S83" s="66">
        <f t="shared" si="138"/>
        <v>1886576.2490367955</v>
      </c>
      <c r="T83" s="66">
        <f t="shared" si="138"/>
        <v>108.04936699225374</v>
      </c>
      <c r="U83" s="66">
        <f t="shared" si="138"/>
        <v>0</v>
      </c>
      <c r="V83" s="66">
        <f t="shared" si="138"/>
        <v>108.04936699225374</v>
      </c>
      <c r="W83" s="66">
        <f t="shared" si="138"/>
        <v>21501.824031458491</v>
      </c>
      <c r="X83" s="66">
        <f t="shared" si="138"/>
        <v>0</v>
      </c>
      <c r="Y83" s="66">
        <f t="shared" si="138"/>
        <v>21609.873398450745</v>
      </c>
      <c r="Z83" s="66">
        <f t="shared" si="138"/>
        <v>23122.564536342299</v>
      </c>
      <c r="AA83" s="66">
        <f t="shared" si="138"/>
        <v>0</v>
      </c>
      <c r="AB83" s="66">
        <f>SUM(AB59:AB82)</f>
        <v>3432.7449536765066</v>
      </c>
      <c r="AC83" s="66">
        <f t="shared" ref="AC83:AL83" si="139">SUM(AC59:AC82)</f>
        <v>683116.24578162481</v>
      </c>
      <c r="AD83" s="66">
        <f t="shared" si="139"/>
        <v>0</v>
      </c>
      <c r="AE83" s="66">
        <f t="shared" si="139"/>
        <v>686548.9907353014</v>
      </c>
      <c r="AF83" s="66">
        <f t="shared" si="139"/>
        <v>9432.8812451839767</v>
      </c>
      <c r="AG83" s="66">
        <f t="shared" si="139"/>
        <v>1877143.3677916112</v>
      </c>
      <c r="AH83" s="66">
        <f t="shared" si="139"/>
        <v>0</v>
      </c>
      <c r="AI83" s="66">
        <f t="shared" si="139"/>
        <v>1886576.2490367955</v>
      </c>
      <c r="AJ83" s="66">
        <f t="shared" si="139"/>
        <v>12865.626198860484</v>
      </c>
      <c r="AK83" s="66">
        <f t="shared" si="139"/>
        <v>2560259.6135732369</v>
      </c>
      <c r="AL83" s="66">
        <f t="shared" si="139"/>
        <v>0</v>
      </c>
      <c r="AM83" s="66">
        <f>SUM(AM59:AM82)</f>
        <v>2573125.2397720967</v>
      </c>
    </row>
    <row r="84" spans="1:39" x14ac:dyDescent="0.25">
      <c r="B84" s="151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2"/>
      <c r="S84" s="151"/>
    </row>
    <row r="85" spans="1:39" s="66" customFormat="1" x14ac:dyDescent="0.25">
      <c r="A85" s="66" t="s">
        <v>36</v>
      </c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53"/>
      <c r="S85" s="148"/>
      <c r="T85" s="144"/>
      <c r="U85" s="144"/>
      <c r="V85" s="144"/>
    </row>
    <row r="86" spans="1:39" s="66" customFormat="1" x14ac:dyDescent="0.25">
      <c r="A86" s="66">
        <v>1</v>
      </c>
      <c r="B86" s="148">
        <f>B59</f>
        <v>1000</v>
      </c>
      <c r="C86" s="148">
        <f t="shared" ref="C86:D86" si="140">C59</f>
        <v>500</v>
      </c>
      <c r="D86" s="148">
        <f t="shared" si="140"/>
        <v>100</v>
      </c>
      <c r="E86" s="148">
        <f>IF(B86&lt;Z86,B86,Z86)</f>
        <v>504.45322833466736</v>
      </c>
      <c r="F86" s="148">
        <f t="shared" ref="F86:F95" si="141">IF(C86&lt;Z86-E86,C86,Z86-E86)</f>
        <v>0</v>
      </c>
      <c r="G86" s="148">
        <f>IF(SUM(E86,F86)&lt;Z86,IF(SUM(E86,F86,D86)&lt;Z86,D86,Z86-E86-F86),0)</f>
        <v>0</v>
      </c>
      <c r="H86" s="148">
        <f>SUM(E86:G86)</f>
        <v>504.45322833466736</v>
      </c>
      <c r="I86" s="148">
        <f>'Seasonal (WITH)'!I86</f>
        <v>29</v>
      </c>
      <c r="J86" s="148">
        <f>'Seasonal (WITH)'!J86</f>
        <v>33</v>
      </c>
      <c r="K86" s="148">
        <f>'Seasonal (WITH)'!K86</f>
        <v>40</v>
      </c>
      <c r="L86" s="148">
        <f t="shared" ref="L86:L108" si="142">P86/Y86</f>
        <v>31.03</v>
      </c>
      <c r="M86" s="148">
        <f>E86*I86</f>
        <v>14629.143621705354</v>
      </c>
      <c r="N86" s="148">
        <f t="shared" ref="N86:N109" si="143">F86*J86</f>
        <v>0</v>
      </c>
      <c r="O86" s="148">
        <f t="shared" ref="O86:O109" si="144">G86*K86</f>
        <v>0</v>
      </c>
      <c r="P86" s="148">
        <f>SUM(M86:O86)</f>
        <v>14629.143621705354</v>
      </c>
      <c r="Q86" s="7">
        <f>Y86*'LOAD DATA and INPUT SEASONAL'!$E$12*1000</f>
        <v>41158.474347874573</v>
      </c>
      <c r="R86" s="153"/>
      <c r="S86" s="148">
        <f>Q86+R86</f>
        <v>41158.474347874573</v>
      </c>
      <c r="T86" s="154">
        <f>'Seasonal (WITH)'!T86</f>
        <v>2.3572580763302216</v>
      </c>
      <c r="U86" s="148"/>
      <c r="V86" s="148">
        <f>T86-U86</f>
        <v>2.3572580763302216</v>
      </c>
      <c r="W86" s="148">
        <f>'Seasonal (WITH)'!W86</f>
        <v>469.09435718971406</v>
      </c>
      <c r="X86" s="148">
        <f>'Seasonal (WITH)'!X86</f>
        <v>0</v>
      </c>
      <c r="Y86" s="148">
        <f>SUM(V86:X86)</f>
        <v>471.45161526604426</v>
      </c>
      <c r="Z86" s="148">
        <f>Y86*1.07</f>
        <v>504.45322833466736</v>
      </c>
      <c r="AA86" s="148" t="b">
        <f>Z86=H86</f>
        <v>1</v>
      </c>
      <c r="AB86" s="148">
        <f>V86*L86</f>
        <v>73.145718108526779</v>
      </c>
      <c r="AC86" s="148">
        <f>W86*$L86</f>
        <v>14555.997903596828</v>
      </c>
      <c r="AD86" s="148">
        <f>X86*$L86</f>
        <v>0</v>
      </c>
      <c r="AE86" s="148">
        <f>SUM(AB86:AD86)</f>
        <v>14629.143621705354</v>
      </c>
      <c r="AF86" s="148">
        <f>$S86/$Y86*V86</f>
        <v>205.7923717393729</v>
      </c>
      <c r="AG86" s="148">
        <f>$S86/$Y86*W86</f>
        <v>40952.681976135202</v>
      </c>
      <c r="AH86" s="148">
        <f>$S86/$Y86*X86</f>
        <v>0</v>
      </c>
      <c r="AI86" s="148">
        <f>SUM(AF86:AH86)</f>
        <v>41158.474347874573</v>
      </c>
      <c r="AJ86" s="148">
        <f>AB86+AF86</f>
        <v>278.93808984789968</v>
      </c>
      <c r="AK86" s="148">
        <f>AC86+AG86</f>
        <v>55508.67987973203</v>
      </c>
      <c r="AL86" s="148">
        <f>AD86+AH86</f>
        <v>0</v>
      </c>
      <c r="AM86" s="148">
        <f>SUM(AJ86:AL86)</f>
        <v>55787.617969579929</v>
      </c>
    </row>
    <row r="87" spans="1:39" s="66" customFormat="1" x14ac:dyDescent="0.25">
      <c r="A87" s="66">
        <v>2</v>
      </c>
      <c r="B87" s="148">
        <f t="shared" ref="B87:D102" si="145">B60</f>
        <v>1000</v>
      </c>
      <c r="C87" s="148">
        <f t="shared" si="145"/>
        <v>500</v>
      </c>
      <c r="D87" s="148">
        <f t="shared" si="145"/>
        <v>100</v>
      </c>
      <c r="E87" s="148">
        <f t="shared" ref="E87:E109" si="146">IF(B87&lt;Z87,B87,Z87)</f>
        <v>447.00014481032531</v>
      </c>
      <c r="F87" s="148">
        <f t="shared" si="141"/>
        <v>0</v>
      </c>
      <c r="G87" s="148">
        <f t="shared" ref="G87:G105" si="147">IF(SUM(E87,F87)&lt;Z87,IF(SUM(E87,F87,D87)&lt;Z87,D87,Z87-E87-F87),0)</f>
        <v>0</v>
      </c>
      <c r="H87" s="148">
        <f t="shared" ref="H87:H101" si="148">SUM(E87:G87)</f>
        <v>447.00014481032531</v>
      </c>
      <c r="I87" s="148">
        <f>'Seasonal (WITH)'!I87</f>
        <v>29</v>
      </c>
      <c r="J87" s="148">
        <f>'Seasonal (WITH)'!J87</f>
        <v>33</v>
      </c>
      <c r="K87" s="148">
        <f>'Seasonal (WITH)'!K87</f>
        <v>40</v>
      </c>
      <c r="L87" s="148">
        <f t="shared" si="142"/>
        <v>31.03</v>
      </c>
      <c r="M87" s="148">
        <f t="shared" ref="M87:M105" si="149">E87*I87</f>
        <v>12963.004199499434</v>
      </c>
      <c r="N87" s="148">
        <f t="shared" si="143"/>
        <v>0</v>
      </c>
      <c r="O87" s="148">
        <f t="shared" si="144"/>
        <v>0</v>
      </c>
      <c r="P87" s="148">
        <f t="shared" ref="P87:P105" si="150">SUM(M87:O87)</f>
        <v>12963.004199499434</v>
      </c>
      <c r="Q87" s="7">
        <f>Y87*'LOAD DATA and INPUT SEASONAL'!$E$12*1000</f>
        <v>36470.861836702104</v>
      </c>
      <c r="R87" s="153"/>
      <c r="S87" s="148">
        <f t="shared" ref="S87:S109" si="151">Q87+R87</f>
        <v>36470.861836702104</v>
      </c>
      <c r="T87" s="154">
        <f>'Seasonal (WITH)'!T87</f>
        <v>2.0887857234127352</v>
      </c>
      <c r="U87" s="148"/>
      <c r="V87" s="148">
        <f t="shared" ref="V87:V109" si="152">T87-U87</f>
        <v>2.0887857234127352</v>
      </c>
      <c r="W87" s="148">
        <f>'Seasonal (WITH)'!W87</f>
        <v>415.66835895913425</v>
      </c>
      <c r="X87" s="148">
        <f>'Seasonal (WITH)'!X87</f>
        <v>0</v>
      </c>
      <c r="Y87" s="148">
        <f t="shared" ref="Y87:Y105" si="153">SUM(V87:X87)</f>
        <v>417.75714468254699</v>
      </c>
      <c r="Z87" s="148">
        <f t="shared" ref="Z87:Z105" si="154">Y87*1.07</f>
        <v>447.00014481032531</v>
      </c>
      <c r="AA87" s="148" t="b">
        <f t="shared" ref="AA87:AA105" si="155">Z87=H87</f>
        <v>1</v>
      </c>
      <c r="AB87" s="148">
        <f t="shared" ref="AB87:AB99" si="156">V87*L87</f>
        <v>64.815020997497172</v>
      </c>
      <c r="AC87" s="148">
        <f t="shared" ref="AC87:AC105" si="157">W87*$L87</f>
        <v>12898.189178501936</v>
      </c>
      <c r="AD87" s="148">
        <f t="shared" ref="AD87:AD105" si="158">X87*$L87</f>
        <v>0</v>
      </c>
      <c r="AE87" s="148">
        <f t="shared" ref="AE87:AE105" si="159">SUM(AB87:AD87)</f>
        <v>12963.004199499434</v>
      </c>
      <c r="AF87" s="148">
        <f t="shared" ref="AF87:AF105" si="160">$S87/$Y87*V87</f>
        <v>182.35430918351054</v>
      </c>
      <c r="AG87" s="148">
        <f t="shared" ref="AG87:AG109" si="161">$S87/$Y87*W87</f>
        <v>36288.507527518595</v>
      </c>
      <c r="AH87" s="148">
        <f t="shared" ref="AH87:AH109" si="162">$S87/$Y87*X87</f>
        <v>0</v>
      </c>
      <c r="AI87" s="148">
        <f t="shared" ref="AI87:AI105" si="163">SUM(AF87:AH87)</f>
        <v>36470.861836702104</v>
      </c>
      <c r="AJ87" s="148">
        <f t="shared" ref="AJ87:AJ105" si="164">AB87+AF87</f>
        <v>247.16933018100769</v>
      </c>
      <c r="AK87" s="148">
        <f t="shared" ref="AK87:AK105" si="165">AC87+AG87</f>
        <v>49186.696706020535</v>
      </c>
      <c r="AL87" s="148">
        <f t="shared" ref="AL87:AL105" si="166">AD87+AH87</f>
        <v>0</v>
      </c>
      <c r="AM87" s="148">
        <f t="shared" ref="AM87:AM105" si="167">SUM(AJ87:AL87)</f>
        <v>49433.866036201543</v>
      </c>
    </row>
    <row r="88" spans="1:39" s="66" customFormat="1" x14ac:dyDescent="0.25">
      <c r="A88" s="66">
        <v>3</v>
      </c>
      <c r="B88" s="148">
        <f t="shared" si="145"/>
        <v>1000</v>
      </c>
      <c r="C88" s="148">
        <f t="shared" si="145"/>
        <v>500</v>
      </c>
      <c r="D88" s="148">
        <f t="shared" si="145"/>
        <v>100</v>
      </c>
      <c r="E88" s="148">
        <f t="shared" si="146"/>
        <v>421.10074309344122</v>
      </c>
      <c r="F88" s="148">
        <f t="shared" si="141"/>
        <v>0</v>
      </c>
      <c r="G88" s="148">
        <f t="shared" si="147"/>
        <v>0</v>
      </c>
      <c r="H88" s="148">
        <f t="shared" si="148"/>
        <v>421.10074309344122</v>
      </c>
      <c r="I88" s="148">
        <f>'Seasonal (WITH)'!I88</f>
        <v>29</v>
      </c>
      <c r="J88" s="148">
        <f>'Seasonal (WITH)'!J88</f>
        <v>33</v>
      </c>
      <c r="K88" s="148">
        <f>'Seasonal (WITH)'!K88</f>
        <v>40</v>
      </c>
      <c r="L88" s="148">
        <f t="shared" si="142"/>
        <v>31.03</v>
      </c>
      <c r="M88" s="148">
        <f t="shared" si="149"/>
        <v>12211.921549709796</v>
      </c>
      <c r="N88" s="148">
        <f t="shared" si="143"/>
        <v>0</v>
      </c>
      <c r="O88" s="148">
        <f t="shared" si="144"/>
        <v>0</v>
      </c>
      <c r="P88" s="148">
        <f t="shared" si="150"/>
        <v>12211.921549709796</v>
      </c>
      <c r="Q88" s="7">
        <f>Y88*'LOAD DATA and INPUT SEASONAL'!$E$12*1000</f>
        <v>34357.722696511148</v>
      </c>
      <c r="R88" s="153"/>
      <c r="S88" s="148">
        <f t="shared" si="151"/>
        <v>34357.722696511148</v>
      </c>
      <c r="T88" s="154">
        <f>'Seasonal (WITH)'!T88</f>
        <v>1.9677604817450525</v>
      </c>
      <c r="U88" s="148"/>
      <c r="V88" s="148">
        <f t="shared" si="152"/>
        <v>1.9677604817450525</v>
      </c>
      <c r="W88" s="148">
        <f>'Seasonal (WITH)'!W88</f>
        <v>391.58433586726539</v>
      </c>
      <c r="X88" s="148">
        <f>'Seasonal (WITH)'!X88</f>
        <v>0</v>
      </c>
      <c r="Y88" s="148">
        <f t="shared" si="153"/>
        <v>393.55209634901047</v>
      </c>
      <c r="Z88" s="148">
        <f t="shared" si="154"/>
        <v>421.10074309344122</v>
      </c>
      <c r="AA88" s="148" t="b">
        <f t="shared" si="155"/>
        <v>1</v>
      </c>
      <c r="AB88" s="148">
        <f t="shared" si="156"/>
        <v>61.059607748548977</v>
      </c>
      <c r="AC88" s="148">
        <f t="shared" si="157"/>
        <v>12150.861941961246</v>
      </c>
      <c r="AD88" s="148">
        <f t="shared" si="158"/>
        <v>0</v>
      </c>
      <c r="AE88" s="148">
        <f t="shared" si="159"/>
        <v>12211.921549709796</v>
      </c>
      <c r="AF88" s="148">
        <f t="shared" si="160"/>
        <v>171.78861348255575</v>
      </c>
      <c r="AG88" s="148">
        <f t="shared" si="161"/>
        <v>34185.934083028587</v>
      </c>
      <c r="AH88" s="148">
        <f t="shared" si="162"/>
        <v>0</v>
      </c>
      <c r="AI88" s="148">
        <f t="shared" si="163"/>
        <v>34357.72269651114</v>
      </c>
      <c r="AJ88" s="148">
        <f t="shared" si="164"/>
        <v>232.84822123110473</v>
      </c>
      <c r="AK88" s="148">
        <f t="shared" si="165"/>
        <v>46336.796024989831</v>
      </c>
      <c r="AL88" s="148">
        <f t="shared" si="166"/>
        <v>0</v>
      </c>
      <c r="AM88" s="148">
        <f t="shared" si="167"/>
        <v>46569.644246220938</v>
      </c>
    </row>
    <row r="89" spans="1:39" s="66" customFormat="1" x14ac:dyDescent="0.25">
      <c r="A89" s="66">
        <v>4</v>
      </c>
      <c r="B89" s="148">
        <f t="shared" si="145"/>
        <v>1000</v>
      </c>
      <c r="C89" s="148">
        <f t="shared" si="145"/>
        <v>500</v>
      </c>
      <c r="D89" s="148">
        <f t="shared" si="145"/>
        <v>100</v>
      </c>
      <c r="E89" s="148">
        <f t="shared" si="146"/>
        <v>410.66350865897658</v>
      </c>
      <c r="F89" s="148">
        <f t="shared" si="141"/>
        <v>0</v>
      </c>
      <c r="G89" s="148">
        <f t="shared" si="147"/>
        <v>0</v>
      </c>
      <c r="H89" s="148">
        <f t="shared" si="148"/>
        <v>410.66350865897658</v>
      </c>
      <c r="I89" s="148">
        <f>'Seasonal (WITH)'!I89</f>
        <v>29</v>
      </c>
      <c r="J89" s="148">
        <f>'Seasonal (WITH)'!J89</f>
        <v>33</v>
      </c>
      <c r="K89" s="148">
        <f>'Seasonal (WITH)'!K89</f>
        <v>40</v>
      </c>
      <c r="L89" s="148">
        <f t="shared" si="142"/>
        <v>31.030000000000005</v>
      </c>
      <c r="M89" s="148">
        <f t="shared" si="149"/>
        <v>11909.241751110321</v>
      </c>
      <c r="N89" s="148">
        <f t="shared" si="143"/>
        <v>0</v>
      </c>
      <c r="O89" s="148">
        <f t="shared" si="144"/>
        <v>0</v>
      </c>
      <c r="P89" s="148">
        <f t="shared" si="150"/>
        <v>11909.241751110321</v>
      </c>
      <c r="Q89" s="7">
        <f>Y89*'LOAD DATA and INPUT SEASONAL'!$E$12*1000</f>
        <v>33506.145936556954</v>
      </c>
      <c r="R89" s="153"/>
      <c r="S89" s="148">
        <f t="shared" si="151"/>
        <v>33506.145936556954</v>
      </c>
      <c r="T89" s="154">
        <f>'Seasonal (WITH)'!T89</f>
        <v>1.9189883582195166</v>
      </c>
      <c r="U89" s="148"/>
      <c r="V89" s="148">
        <f t="shared" si="152"/>
        <v>1.9189883582195166</v>
      </c>
      <c r="W89" s="148">
        <f>'Seasonal (WITH)'!W89</f>
        <v>381.87868328568379</v>
      </c>
      <c r="X89" s="148">
        <f>'Seasonal (WITH)'!X89</f>
        <v>0</v>
      </c>
      <c r="Y89" s="148">
        <f t="shared" si="153"/>
        <v>383.7976716439033</v>
      </c>
      <c r="Z89" s="148">
        <f t="shared" si="154"/>
        <v>410.66350865897658</v>
      </c>
      <c r="AA89" s="148" t="b">
        <f t="shared" si="155"/>
        <v>1</v>
      </c>
      <c r="AB89" s="148">
        <f t="shared" si="156"/>
        <v>59.546208755551611</v>
      </c>
      <c r="AC89" s="148">
        <f t="shared" si="157"/>
        <v>11849.69554235477</v>
      </c>
      <c r="AD89" s="148">
        <f t="shared" si="158"/>
        <v>0</v>
      </c>
      <c r="AE89" s="148">
        <f t="shared" si="159"/>
        <v>11909.241751110321</v>
      </c>
      <c r="AF89" s="148">
        <f t="shared" si="160"/>
        <v>167.53072968278479</v>
      </c>
      <c r="AG89" s="148">
        <f t="shared" si="161"/>
        <v>33338.615206874172</v>
      </c>
      <c r="AH89" s="148">
        <f t="shared" si="162"/>
        <v>0</v>
      </c>
      <c r="AI89" s="148">
        <f t="shared" si="163"/>
        <v>33506.145936556954</v>
      </c>
      <c r="AJ89" s="148">
        <f t="shared" si="164"/>
        <v>227.07693843833641</v>
      </c>
      <c r="AK89" s="148">
        <f t="shared" si="165"/>
        <v>45188.310749228942</v>
      </c>
      <c r="AL89" s="148">
        <f t="shared" si="166"/>
        <v>0</v>
      </c>
      <c r="AM89" s="148">
        <f t="shared" si="167"/>
        <v>45415.38768766728</v>
      </c>
    </row>
    <row r="90" spans="1:39" s="66" customFormat="1" x14ac:dyDescent="0.25">
      <c r="A90" s="66">
        <v>5</v>
      </c>
      <c r="B90" s="148">
        <f t="shared" si="145"/>
        <v>1000</v>
      </c>
      <c r="C90" s="148">
        <f t="shared" si="145"/>
        <v>500</v>
      </c>
      <c r="D90" s="148">
        <f t="shared" si="145"/>
        <v>100</v>
      </c>
      <c r="E90" s="148">
        <f t="shared" si="146"/>
        <v>425.59867802059483</v>
      </c>
      <c r="F90" s="148">
        <f t="shared" si="141"/>
        <v>0</v>
      </c>
      <c r="G90" s="148">
        <f t="shared" si="147"/>
        <v>0</v>
      </c>
      <c r="H90" s="148">
        <f t="shared" si="148"/>
        <v>425.59867802059483</v>
      </c>
      <c r="I90" s="148">
        <f>'Seasonal (WITH)'!I90</f>
        <v>29</v>
      </c>
      <c r="J90" s="148">
        <f>'Seasonal (WITH)'!J90</f>
        <v>33</v>
      </c>
      <c r="K90" s="148">
        <f>'Seasonal (WITH)'!K90</f>
        <v>40</v>
      </c>
      <c r="L90" s="148">
        <f t="shared" si="142"/>
        <v>31.03</v>
      </c>
      <c r="M90" s="148">
        <f t="shared" si="149"/>
        <v>12342.36166259725</v>
      </c>
      <c r="N90" s="148">
        <f t="shared" si="143"/>
        <v>0</v>
      </c>
      <c r="O90" s="148">
        <f t="shared" si="144"/>
        <v>0</v>
      </c>
      <c r="P90" s="148">
        <f t="shared" si="150"/>
        <v>12342.36166259725</v>
      </c>
      <c r="Q90" s="7">
        <f>Y90*'LOAD DATA and INPUT SEASONAL'!$E$12*1000</f>
        <v>34724.710414934161</v>
      </c>
      <c r="R90" s="153"/>
      <c r="S90" s="148">
        <f t="shared" si="151"/>
        <v>34724.710414934161</v>
      </c>
      <c r="T90" s="154">
        <f>'Seasonal (WITH)'!T90</f>
        <v>1.988778869255116</v>
      </c>
      <c r="U90" s="148"/>
      <c r="V90" s="148">
        <f t="shared" si="152"/>
        <v>1.988778869255116</v>
      </c>
      <c r="W90" s="148">
        <f>'Seasonal (WITH)'!W90</f>
        <v>395.76699498176811</v>
      </c>
      <c r="X90" s="148">
        <f>'Seasonal (WITH)'!X90</f>
        <v>0</v>
      </c>
      <c r="Y90" s="148">
        <f t="shared" si="153"/>
        <v>397.75577385102321</v>
      </c>
      <c r="Z90" s="148">
        <f t="shared" si="154"/>
        <v>425.59867802059483</v>
      </c>
      <c r="AA90" s="148" t="b">
        <f t="shared" si="155"/>
        <v>1</v>
      </c>
      <c r="AB90" s="148">
        <f t="shared" si="156"/>
        <v>61.71180831298625</v>
      </c>
      <c r="AC90" s="148">
        <f t="shared" si="157"/>
        <v>12280.649854284266</v>
      </c>
      <c r="AD90" s="148">
        <f t="shared" si="158"/>
        <v>0</v>
      </c>
      <c r="AE90" s="148">
        <f t="shared" si="159"/>
        <v>12342.361662597252</v>
      </c>
      <c r="AF90" s="148">
        <f t="shared" si="160"/>
        <v>173.62355207467081</v>
      </c>
      <c r="AG90" s="148">
        <f t="shared" si="161"/>
        <v>34551.086862859491</v>
      </c>
      <c r="AH90" s="148">
        <f t="shared" si="162"/>
        <v>0</v>
      </c>
      <c r="AI90" s="148">
        <f t="shared" si="163"/>
        <v>34724.710414934161</v>
      </c>
      <c r="AJ90" s="148">
        <f t="shared" si="164"/>
        <v>235.33536038765706</v>
      </c>
      <c r="AK90" s="148">
        <f t="shared" si="165"/>
        <v>46831.736717143758</v>
      </c>
      <c r="AL90" s="148">
        <f t="shared" si="166"/>
        <v>0</v>
      </c>
      <c r="AM90" s="148">
        <f t="shared" si="167"/>
        <v>47067.072077531418</v>
      </c>
    </row>
    <row r="91" spans="1:39" s="66" customFormat="1" x14ac:dyDescent="0.25">
      <c r="A91" s="66">
        <v>6</v>
      </c>
      <c r="B91" s="148">
        <f t="shared" si="145"/>
        <v>1000</v>
      </c>
      <c r="C91" s="148">
        <f t="shared" si="145"/>
        <v>500</v>
      </c>
      <c r="D91" s="148">
        <f t="shared" si="145"/>
        <v>100</v>
      </c>
      <c r="E91" s="148">
        <f t="shared" si="146"/>
        <v>456.45965818922679</v>
      </c>
      <c r="F91" s="148">
        <f t="shared" si="141"/>
        <v>0</v>
      </c>
      <c r="G91" s="148">
        <f t="shared" si="147"/>
        <v>0</v>
      </c>
      <c r="H91" s="148">
        <f t="shared" si="148"/>
        <v>456.45965818922679</v>
      </c>
      <c r="I91" s="148">
        <f>'Seasonal (WITH)'!I91</f>
        <v>29</v>
      </c>
      <c r="J91" s="148">
        <f>'Seasonal (WITH)'!J91</f>
        <v>33</v>
      </c>
      <c r="K91" s="148">
        <f>'Seasonal (WITH)'!K91</f>
        <v>40</v>
      </c>
      <c r="L91" s="148">
        <f t="shared" si="142"/>
        <v>31.030000000000005</v>
      </c>
      <c r="M91" s="148">
        <f t="shared" si="149"/>
        <v>13237.330087487577</v>
      </c>
      <c r="N91" s="148">
        <f t="shared" si="143"/>
        <v>0</v>
      </c>
      <c r="O91" s="148">
        <f t="shared" si="144"/>
        <v>0</v>
      </c>
      <c r="P91" s="148">
        <f t="shared" si="150"/>
        <v>13237.330087487577</v>
      </c>
      <c r="Q91" s="7">
        <f>Y91*'LOAD DATA and INPUT SEASONAL'!$E$12*1000</f>
        <v>37242.666073210225</v>
      </c>
      <c r="R91" s="153"/>
      <c r="S91" s="148">
        <f t="shared" si="151"/>
        <v>37242.666073210225</v>
      </c>
      <c r="T91" s="154">
        <f>'Seasonal (WITH)'!T91</f>
        <v>2.1329890569590035</v>
      </c>
      <c r="U91" s="148"/>
      <c r="V91" s="148">
        <f t="shared" si="152"/>
        <v>2.1329890569590035</v>
      </c>
      <c r="W91" s="148">
        <f>'Seasonal (WITH)'!W91</f>
        <v>424.4648223348417</v>
      </c>
      <c r="X91" s="148">
        <f>'Seasonal (WITH)'!X91</f>
        <v>0</v>
      </c>
      <c r="Y91" s="148">
        <f t="shared" si="153"/>
        <v>426.59781139180069</v>
      </c>
      <c r="Z91" s="148">
        <f t="shared" si="154"/>
        <v>456.45965818922679</v>
      </c>
      <c r="AA91" s="148" t="b">
        <f t="shared" si="155"/>
        <v>1</v>
      </c>
      <c r="AB91" s="148">
        <f t="shared" si="156"/>
        <v>66.186650437437891</v>
      </c>
      <c r="AC91" s="148">
        <f t="shared" si="157"/>
        <v>13171.143437050139</v>
      </c>
      <c r="AD91" s="148">
        <f t="shared" si="158"/>
        <v>0</v>
      </c>
      <c r="AE91" s="148">
        <f t="shared" si="159"/>
        <v>13237.330087487577</v>
      </c>
      <c r="AF91" s="148">
        <f t="shared" si="160"/>
        <v>186.21333036605114</v>
      </c>
      <c r="AG91" s="148">
        <f t="shared" si="161"/>
        <v>37056.452742844172</v>
      </c>
      <c r="AH91" s="148">
        <f t="shared" si="162"/>
        <v>0</v>
      </c>
      <c r="AI91" s="148">
        <f t="shared" si="163"/>
        <v>37242.666073210225</v>
      </c>
      <c r="AJ91" s="148">
        <f t="shared" si="164"/>
        <v>252.39998080348903</v>
      </c>
      <c r="AK91" s="148">
        <f t="shared" si="165"/>
        <v>50227.59617989431</v>
      </c>
      <c r="AL91" s="148">
        <f t="shared" si="166"/>
        <v>0</v>
      </c>
      <c r="AM91" s="148">
        <f t="shared" si="167"/>
        <v>50479.996160697796</v>
      </c>
    </row>
    <row r="92" spans="1:39" s="66" customFormat="1" x14ac:dyDescent="0.25">
      <c r="A92" s="66">
        <v>7</v>
      </c>
      <c r="B92" s="148">
        <f t="shared" si="145"/>
        <v>1000</v>
      </c>
      <c r="C92" s="148">
        <f t="shared" si="145"/>
        <v>500</v>
      </c>
      <c r="D92" s="148">
        <f t="shared" si="145"/>
        <v>100</v>
      </c>
      <c r="E92" s="148">
        <f t="shared" si="146"/>
        <v>543.76953724456382</v>
      </c>
      <c r="F92" s="148">
        <f t="shared" si="141"/>
        <v>0</v>
      </c>
      <c r="G92" s="148">
        <f t="shared" si="147"/>
        <v>0</v>
      </c>
      <c r="H92" s="148">
        <f t="shared" si="148"/>
        <v>543.76953724456382</v>
      </c>
      <c r="I92" s="148">
        <f>'Seasonal (WITH)'!I92</f>
        <v>29</v>
      </c>
      <c r="J92" s="148">
        <f>'Seasonal (WITH)'!J92</f>
        <v>33</v>
      </c>
      <c r="K92" s="148">
        <f>'Seasonal (WITH)'!K92</f>
        <v>40</v>
      </c>
      <c r="L92" s="148">
        <f t="shared" si="142"/>
        <v>31.03</v>
      </c>
      <c r="M92" s="148">
        <f t="shared" si="149"/>
        <v>15769.316580092351</v>
      </c>
      <c r="N92" s="148">
        <f t="shared" si="143"/>
        <v>0</v>
      </c>
      <c r="O92" s="148">
        <f t="shared" si="144"/>
        <v>0</v>
      </c>
      <c r="P92" s="148">
        <f t="shared" si="150"/>
        <v>15769.316580092351</v>
      </c>
      <c r="Q92" s="7">
        <f>Y92*'LOAD DATA and INPUT SEASONAL'!$E$12*1000</f>
        <v>44366.302548445688</v>
      </c>
      <c r="R92" s="153"/>
      <c r="S92" s="148">
        <f t="shared" si="151"/>
        <v>44366.302548445688</v>
      </c>
      <c r="T92" s="154">
        <f>'Seasonal (WITH)'!T92</f>
        <v>2.5409791460026345</v>
      </c>
      <c r="U92" s="148"/>
      <c r="V92" s="148">
        <f t="shared" si="152"/>
        <v>2.5409791460026345</v>
      </c>
      <c r="W92" s="148">
        <f>'Seasonal (WITH)'!W92</f>
        <v>505.65485005452427</v>
      </c>
      <c r="X92" s="148">
        <f>'Seasonal (WITH)'!X92</f>
        <v>0</v>
      </c>
      <c r="Y92" s="148">
        <f t="shared" si="153"/>
        <v>508.19582920052693</v>
      </c>
      <c r="Z92" s="148">
        <f t="shared" si="154"/>
        <v>543.76953724456382</v>
      </c>
      <c r="AA92" s="148" t="b">
        <f t="shared" si="155"/>
        <v>1</v>
      </c>
      <c r="AB92" s="148">
        <f t="shared" si="156"/>
        <v>78.846582900461755</v>
      </c>
      <c r="AC92" s="148">
        <f t="shared" si="157"/>
        <v>15690.469997191889</v>
      </c>
      <c r="AD92" s="148">
        <f t="shared" si="158"/>
        <v>0</v>
      </c>
      <c r="AE92" s="148">
        <f t="shared" si="159"/>
        <v>15769.316580092351</v>
      </c>
      <c r="AF92" s="148">
        <f t="shared" si="160"/>
        <v>221.83151274222843</v>
      </c>
      <c r="AG92" s="148">
        <f t="shared" si="161"/>
        <v>44144.471035703456</v>
      </c>
      <c r="AH92" s="148">
        <f t="shared" si="162"/>
        <v>0</v>
      </c>
      <c r="AI92" s="148">
        <f t="shared" si="163"/>
        <v>44366.302548445688</v>
      </c>
      <c r="AJ92" s="148">
        <f t="shared" si="164"/>
        <v>300.67809564269021</v>
      </c>
      <c r="AK92" s="148">
        <f t="shared" si="165"/>
        <v>59834.941032895345</v>
      </c>
      <c r="AL92" s="148">
        <f t="shared" si="166"/>
        <v>0</v>
      </c>
      <c r="AM92" s="148">
        <f t="shared" si="167"/>
        <v>60135.619128538034</v>
      </c>
    </row>
    <row r="93" spans="1:39" s="66" customFormat="1" x14ac:dyDescent="0.25">
      <c r="A93" s="66">
        <v>8</v>
      </c>
      <c r="B93" s="148">
        <f t="shared" si="145"/>
        <v>1000</v>
      </c>
      <c r="C93" s="148">
        <f t="shared" si="145"/>
        <v>500</v>
      </c>
      <c r="D93" s="148">
        <f t="shared" si="145"/>
        <v>100</v>
      </c>
      <c r="E93" s="148">
        <f t="shared" si="146"/>
        <v>595.52349940134548</v>
      </c>
      <c r="F93" s="148">
        <f t="shared" si="141"/>
        <v>0</v>
      </c>
      <c r="G93" s="148">
        <f t="shared" si="147"/>
        <v>0</v>
      </c>
      <c r="H93" s="148">
        <f t="shared" si="148"/>
        <v>595.52349940134548</v>
      </c>
      <c r="I93" s="148">
        <f>'Seasonal (WITH)'!I93</f>
        <v>29</v>
      </c>
      <c r="J93" s="148">
        <f>'Seasonal (WITH)'!J93</f>
        <v>33</v>
      </c>
      <c r="K93" s="148">
        <f>'Seasonal (WITH)'!K93</f>
        <v>40</v>
      </c>
      <c r="L93" s="148">
        <f t="shared" si="142"/>
        <v>31.03</v>
      </c>
      <c r="M93" s="148">
        <f t="shared" si="149"/>
        <v>17270.181482639018</v>
      </c>
      <c r="N93" s="148">
        <f t="shared" si="143"/>
        <v>0</v>
      </c>
      <c r="O93" s="148">
        <f t="shared" si="144"/>
        <v>0</v>
      </c>
      <c r="P93" s="148">
        <f t="shared" si="150"/>
        <v>17270.181482639018</v>
      </c>
      <c r="Q93" s="7">
        <f>Y93*'LOAD DATA and INPUT SEASONAL'!$E$12*1000</f>
        <v>48588.922216998188</v>
      </c>
      <c r="R93" s="153"/>
      <c r="S93" s="148">
        <f t="shared" si="151"/>
        <v>48588.922216998188</v>
      </c>
      <c r="T93" s="154">
        <f>'Seasonal (WITH)'!T93</f>
        <v>2.782820090660493</v>
      </c>
      <c r="U93" s="148"/>
      <c r="V93" s="148">
        <f t="shared" si="152"/>
        <v>2.782820090660493</v>
      </c>
      <c r="W93" s="148">
        <f>'Seasonal (WITH)'!W93</f>
        <v>553.78119804143807</v>
      </c>
      <c r="X93" s="148">
        <f>'Seasonal (WITH)'!X93</f>
        <v>0</v>
      </c>
      <c r="Y93" s="148">
        <f t="shared" si="153"/>
        <v>556.56401813209857</v>
      </c>
      <c r="Z93" s="148">
        <f t="shared" si="154"/>
        <v>595.52349940134548</v>
      </c>
      <c r="AA93" s="148" t="b">
        <f t="shared" si="155"/>
        <v>1</v>
      </c>
      <c r="AB93" s="148">
        <f t="shared" si="156"/>
        <v>86.350907413195102</v>
      </c>
      <c r="AC93" s="148">
        <f t="shared" si="157"/>
        <v>17183.830575225824</v>
      </c>
      <c r="AD93" s="148">
        <f t="shared" si="158"/>
        <v>0</v>
      </c>
      <c r="AE93" s="148">
        <f t="shared" si="159"/>
        <v>17270.181482639018</v>
      </c>
      <c r="AF93" s="148">
        <f t="shared" si="160"/>
        <v>242.94461108499095</v>
      </c>
      <c r="AG93" s="148">
        <f t="shared" si="161"/>
        <v>48345.977605913198</v>
      </c>
      <c r="AH93" s="148">
        <f t="shared" si="162"/>
        <v>0</v>
      </c>
      <c r="AI93" s="148">
        <f t="shared" si="163"/>
        <v>48588.922216998188</v>
      </c>
      <c r="AJ93" s="148">
        <f t="shared" si="164"/>
        <v>329.29551849818608</v>
      </c>
      <c r="AK93" s="148">
        <f t="shared" si="165"/>
        <v>65529.808181139022</v>
      </c>
      <c r="AL93" s="148">
        <f t="shared" si="166"/>
        <v>0</v>
      </c>
      <c r="AM93" s="148">
        <f t="shared" si="167"/>
        <v>65859.103699637213</v>
      </c>
    </row>
    <row r="94" spans="1:39" s="66" customFormat="1" x14ac:dyDescent="0.25">
      <c r="A94" s="66">
        <v>9</v>
      </c>
      <c r="B94" s="148">
        <f t="shared" si="145"/>
        <v>1000</v>
      </c>
      <c r="C94" s="148">
        <f t="shared" si="145"/>
        <v>500</v>
      </c>
      <c r="D94" s="148">
        <f t="shared" si="145"/>
        <v>100</v>
      </c>
      <c r="E94" s="148">
        <f t="shared" si="146"/>
        <v>597.29059586892515</v>
      </c>
      <c r="F94" s="148">
        <f t="shared" si="141"/>
        <v>0</v>
      </c>
      <c r="G94" s="148">
        <f t="shared" si="147"/>
        <v>0</v>
      </c>
      <c r="H94" s="148">
        <f t="shared" si="148"/>
        <v>597.29059586892515</v>
      </c>
      <c r="I94" s="148">
        <f>'Seasonal (WITH)'!I94</f>
        <v>29</v>
      </c>
      <c r="J94" s="148">
        <f>'Seasonal (WITH)'!J94</f>
        <v>33</v>
      </c>
      <c r="K94" s="148">
        <f>'Seasonal (WITH)'!K94</f>
        <v>40</v>
      </c>
      <c r="L94" s="148">
        <f t="shared" si="142"/>
        <v>31.03</v>
      </c>
      <c r="M94" s="148">
        <f t="shared" si="149"/>
        <v>17321.42728019883</v>
      </c>
      <c r="N94" s="148">
        <f t="shared" si="143"/>
        <v>0</v>
      </c>
      <c r="O94" s="148">
        <f t="shared" si="144"/>
        <v>0</v>
      </c>
      <c r="P94" s="148">
        <f t="shared" si="150"/>
        <v>17321.42728019883</v>
      </c>
      <c r="Q94" s="7">
        <f>Y94*'LOAD DATA and INPUT SEASONAL'!$E$12*1000</f>
        <v>48733.100092261666</v>
      </c>
      <c r="R94" s="153"/>
      <c r="S94" s="148">
        <f t="shared" si="151"/>
        <v>48733.100092261666</v>
      </c>
      <c r="T94" s="154">
        <f>'Seasonal (WITH)'!T94</f>
        <v>2.7910775507893697</v>
      </c>
      <c r="U94" s="148"/>
      <c r="V94" s="148">
        <f t="shared" si="152"/>
        <v>2.7910775507893697</v>
      </c>
      <c r="W94" s="148">
        <f>'Seasonal (WITH)'!W94</f>
        <v>555.42443260708455</v>
      </c>
      <c r="X94" s="148">
        <f>'Seasonal (WITH)'!X94</f>
        <v>0</v>
      </c>
      <c r="Y94" s="148">
        <f t="shared" si="153"/>
        <v>558.21551015787395</v>
      </c>
      <c r="Z94" s="148">
        <f t="shared" si="154"/>
        <v>597.29059586892515</v>
      </c>
      <c r="AA94" s="148" t="b">
        <f t="shared" si="155"/>
        <v>1</v>
      </c>
      <c r="AB94" s="148">
        <f t="shared" si="156"/>
        <v>86.60713640099415</v>
      </c>
      <c r="AC94" s="148">
        <f t="shared" si="157"/>
        <v>17234.820143797835</v>
      </c>
      <c r="AD94" s="148">
        <f t="shared" si="158"/>
        <v>0</v>
      </c>
      <c r="AE94" s="148">
        <f t="shared" si="159"/>
        <v>17321.42728019883</v>
      </c>
      <c r="AF94" s="148">
        <f t="shared" si="160"/>
        <v>243.66550046130834</v>
      </c>
      <c r="AG94" s="148">
        <f t="shared" si="161"/>
        <v>48489.434591800353</v>
      </c>
      <c r="AH94" s="148">
        <f t="shared" si="162"/>
        <v>0</v>
      </c>
      <c r="AI94" s="148">
        <f t="shared" si="163"/>
        <v>48733.100092261659</v>
      </c>
      <c r="AJ94" s="148">
        <f t="shared" si="164"/>
        <v>330.27263686230248</v>
      </c>
      <c r="AK94" s="148">
        <f t="shared" si="165"/>
        <v>65724.254735598195</v>
      </c>
      <c r="AL94" s="148">
        <f t="shared" si="166"/>
        <v>0</v>
      </c>
      <c r="AM94" s="148">
        <f t="shared" si="167"/>
        <v>66054.527372460492</v>
      </c>
    </row>
    <row r="95" spans="1:39" s="66" customFormat="1" ht="17.25" customHeight="1" x14ac:dyDescent="0.25">
      <c r="A95" s="66">
        <v>10</v>
      </c>
      <c r="B95" s="148">
        <f t="shared" si="145"/>
        <v>1000</v>
      </c>
      <c r="C95" s="148">
        <f t="shared" si="145"/>
        <v>500</v>
      </c>
      <c r="D95" s="148">
        <f t="shared" si="145"/>
        <v>100</v>
      </c>
      <c r="E95" s="148">
        <f t="shared" si="146"/>
        <v>630.24552916922892</v>
      </c>
      <c r="F95" s="148">
        <f t="shared" si="141"/>
        <v>0</v>
      </c>
      <c r="G95" s="148">
        <f t="shared" si="147"/>
        <v>0</v>
      </c>
      <c r="H95" s="148">
        <f t="shared" si="148"/>
        <v>630.24552916922892</v>
      </c>
      <c r="I95" s="148">
        <f>'Seasonal (WITH)'!I95</f>
        <v>29</v>
      </c>
      <c r="J95" s="148">
        <f>'Seasonal (WITH)'!J95</f>
        <v>33</v>
      </c>
      <c r="K95" s="148">
        <f>'Seasonal (WITH)'!K95</f>
        <v>40</v>
      </c>
      <c r="L95" s="148">
        <f t="shared" si="142"/>
        <v>31.03</v>
      </c>
      <c r="M95" s="148">
        <f t="shared" si="149"/>
        <v>18277.120345907639</v>
      </c>
      <c r="N95" s="148">
        <f t="shared" si="143"/>
        <v>0</v>
      </c>
      <c r="O95" s="148">
        <f t="shared" si="144"/>
        <v>0</v>
      </c>
      <c r="P95" s="148">
        <f t="shared" si="150"/>
        <v>18277.120345907639</v>
      </c>
      <c r="Q95" s="7">
        <f>Y95*'LOAD DATA and INPUT SEASONAL'!$E$12*1000</f>
        <v>51421.901948787039</v>
      </c>
      <c r="R95" s="153"/>
      <c r="S95" s="148">
        <f t="shared" si="151"/>
        <v>51421.901948787039</v>
      </c>
      <c r="T95" s="154">
        <f>'Seasonal (WITH)'!T95</f>
        <v>2.9450725662113504</v>
      </c>
      <c r="U95" s="148"/>
      <c r="V95" s="148">
        <f t="shared" si="152"/>
        <v>2.9450725662113504</v>
      </c>
      <c r="W95" s="148">
        <f>'Seasonal (WITH)'!W95</f>
        <v>586.06944067605866</v>
      </c>
      <c r="X95" s="148">
        <f>'Seasonal (WITH)'!X95</f>
        <v>0</v>
      </c>
      <c r="Y95" s="148">
        <f t="shared" si="153"/>
        <v>589.01451324227003</v>
      </c>
      <c r="Z95" s="148">
        <f t="shared" si="154"/>
        <v>630.24552916922892</v>
      </c>
      <c r="AA95" s="148" t="b">
        <f t="shared" si="155"/>
        <v>1</v>
      </c>
      <c r="AB95" s="148">
        <f t="shared" si="156"/>
        <v>91.385601729538209</v>
      </c>
      <c r="AC95" s="148">
        <f t="shared" si="157"/>
        <v>18185.734744178102</v>
      </c>
      <c r="AD95" s="148">
        <f t="shared" si="158"/>
        <v>0</v>
      </c>
      <c r="AE95" s="148">
        <f t="shared" si="159"/>
        <v>18277.120345907639</v>
      </c>
      <c r="AF95" s="148">
        <f t="shared" si="160"/>
        <v>257.10950974393523</v>
      </c>
      <c r="AG95" s="148">
        <f t="shared" si="161"/>
        <v>51164.7924390431</v>
      </c>
      <c r="AH95" s="148">
        <f t="shared" si="162"/>
        <v>0</v>
      </c>
      <c r="AI95" s="148">
        <f t="shared" si="163"/>
        <v>51421.901948787032</v>
      </c>
      <c r="AJ95" s="148">
        <f t="shared" si="164"/>
        <v>348.49511147347346</v>
      </c>
      <c r="AK95" s="148">
        <f t="shared" si="165"/>
        <v>69350.527183221202</v>
      </c>
      <c r="AL95" s="148">
        <f t="shared" si="166"/>
        <v>0</v>
      </c>
      <c r="AM95" s="148">
        <f t="shared" si="167"/>
        <v>69699.022294694674</v>
      </c>
    </row>
    <row r="96" spans="1:39" s="66" customFormat="1" x14ac:dyDescent="0.25">
      <c r="A96" s="66">
        <v>11</v>
      </c>
      <c r="B96" s="148">
        <f t="shared" si="145"/>
        <v>1000</v>
      </c>
      <c r="C96" s="148">
        <f t="shared" si="145"/>
        <v>500</v>
      </c>
      <c r="D96" s="148">
        <f t="shared" si="145"/>
        <v>100</v>
      </c>
      <c r="E96" s="148">
        <f t="shared" si="146"/>
        <v>639.30091004257156</v>
      </c>
      <c r="F96" s="148">
        <f>IF(C96&lt;Z96-E96,C96,Z96-E96)</f>
        <v>0</v>
      </c>
      <c r="G96" s="148">
        <f t="shared" si="147"/>
        <v>0</v>
      </c>
      <c r="H96" s="148">
        <f t="shared" si="148"/>
        <v>639.30091004257156</v>
      </c>
      <c r="I96" s="148">
        <f>'Seasonal (WITH)'!I96</f>
        <v>29</v>
      </c>
      <c r="J96" s="148">
        <f>'Seasonal (WITH)'!J96</f>
        <v>33</v>
      </c>
      <c r="K96" s="148">
        <f>'Seasonal (WITH)'!K96</f>
        <v>40</v>
      </c>
      <c r="L96" s="148">
        <f t="shared" si="142"/>
        <v>31.029999999999998</v>
      </c>
      <c r="M96" s="148">
        <f t="shared" si="149"/>
        <v>18539.726391234573</v>
      </c>
      <c r="N96" s="148">
        <f t="shared" si="143"/>
        <v>0</v>
      </c>
      <c r="O96" s="148">
        <f t="shared" si="144"/>
        <v>0</v>
      </c>
      <c r="P96" s="148">
        <f t="shared" si="150"/>
        <v>18539.726391234573</v>
      </c>
      <c r="Q96" s="7">
        <f>Y96*'LOAD DATA and INPUT SEASONAL'!$E$12*1000</f>
        <v>52160.732905655146</v>
      </c>
      <c r="R96" s="153"/>
      <c r="S96" s="148">
        <f t="shared" si="151"/>
        <v>52160.732905655146</v>
      </c>
      <c r="T96" s="154">
        <f>'Seasonal (WITH)'!T96</f>
        <v>2.9873874301054748</v>
      </c>
      <c r="U96" s="148"/>
      <c r="V96" s="148">
        <f t="shared" si="152"/>
        <v>2.9873874301054748</v>
      </c>
      <c r="W96" s="148">
        <f>'Seasonal (WITH)'!W96</f>
        <v>594.49009859098942</v>
      </c>
      <c r="X96" s="148">
        <f>'Seasonal (WITH)'!X96</f>
        <v>0</v>
      </c>
      <c r="Y96" s="148">
        <f t="shared" si="153"/>
        <v>597.47748602109493</v>
      </c>
      <c r="Z96" s="148">
        <f t="shared" si="154"/>
        <v>639.30091004257156</v>
      </c>
      <c r="AA96" s="148" t="b">
        <f t="shared" si="155"/>
        <v>1</v>
      </c>
      <c r="AB96" s="148">
        <f t="shared" si="156"/>
        <v>92.698631956172875</v>
      </c>
      <c r="AC96" s="148">
        <f t="shared" si="157"/>
        <v>18447.0277592784</v>
      </c>
      <c r="AD96" s="148">
        <f t="shared" si="158"/>
        <v>0</v>
      </c>
      <c r="AE96" s="148">
        <f t="shared" si="159"/>
        <v>18539.726391234573</v>
      </c>
      <c r="AF96" s="148">
        <f t="shared" si="160"/>
        <v>260.80366452827576</v>
      </c>
      <c r="AG96" s="148">
        <f t="shared" si="161"/>
        <v>51899.929241126869</v>
      </c>
      <c r="AH96" s="148">
        <f t="shared" si="162"/>
        <v>0</v>
      </c>
      <c r="AI96" s="148">
        <f t="shared" si="163"/>
        <v>52160.732905655146</v>
      </c>
      <c r="AJ96" s="148">
        <f t="shared" si="164"/>
        <v>353.50229648444861</v>
      </c>
      <c r="AK96" s="148">
        <f t="shared" si="165"/>
        <v>70346.957000405266</v>
      </c>
      <c r="AL96" s="148">
        <f t="shared" si="166"/>
        <v>0</v>
      </c>
      <c r="AM96" s="148">
        <f t="shared" si="167"/>
        <v>70700.45929688972</v>
      </c>
    </row>
    <row r="97" spans="1:39" s="66" customFormat="1" x14ac:dyDescent="0.25">
      <c r="A97" s="66">
        <v>12</v>
      </c>
      <c r="B97" s="148">
        <f t="shared" si="145"/>
        <v>1000</v>
      </c>
      <c r="C97" s="148">
        <f t="shared" si="145"/>
        <v>500</v>
      </c>
      <c r="D97" s="148">
        <f t="shared" si="145"/>
        <v>100</v>
      </c>
      <c r="E97" s="148">
        <f t="shared" si="146"/>
        <v>671.37522879024334</v>
      </c>
      <c r="F97" s="148">
        <f t="shared" ref="F97:F109" si="168">IF(C97&lt;Z97-E97,C97,Z97-E97)</f>
        <v>0</v>
      </c>
      <c r="G97" s="148">
        <f t="shared" si="147"/>
        <v>0</v>
      </c>
      <c r="H97" s="148">
        <f t="shared" si="148"/>
        <v>671.37522879024334</v>
      </c>
      <c r="I97" s="148">
        <f>'Seasonal (WITH)'!I97</f>
        <v>29</v>
      </c>
      <c r="J97" s="148">
        <f>'Seasonal (WITH)'!J97</f>
        <v>33</v>
      </c>
      <c r="K97" s="148">
        <f>'Seasonal (WITH)'!K97</f>
        <v>40</v>
      </c>
      <c r="L97" s="148">
        <f t="shared" si="142"/>
        <v>31.03</v>
      </c>
      <c r="M97" s="148">
        <f t="shared" si="149"/>
        <v>19469.881634917056</v>
      </c>
      <c r="N97" s="148">
        <f t="shared" si="143"/>
        <v>0</v>
      </c>
      <c r="O97" s="148">
        <f t="shared" si="144"/>
        <v>0</v>
      </c>
      <c r="P97" s="148">
        <f t="shared" si="150"/>
        <v>19469.881634917056</v>
      </c>
      <c r="Q97" s="7">
        <f>Y97*'LOAD DATA and INPUT SEASONAL'!$E$12*1000</f>
        <v>54777.685184382142</v>
      </c>
      <c r="R97" s="153"/>
      <c r="S97" s="148">
        <f t="shared" si="151"/>
        <v>54777.685184382142</v>
      </c>
      <c r="T97" s="154">
        <f>'Seasonal (WITH)'!T97</f>
        <v>3.1372674242534733</v>
      </c>
      <c r="U97" s="148"/>
      <c r="V97" s="148">
        <f t="shared" si="152"/>
        <v>3.1372674242534733</v>
      </c>
      <c r="W97" s="148">
        <f>'Seasonal (WITH)'!W97</f>
        <v>624.3162174264412</v>
      </c>
      <c r="X97" s="148">
        <f>'Seasonal (WITH)'!X97</f>
        <v>0</v>
      </c>
      <c r="Y97" s="148">
        <f t="shared" si="153"/>
        <v>627.45348485069462</v>
      </c>
      <c r="Z97" s="148">
        <f t="shared" si="154"/>
        <v>671.37522879024334</v>
      </c>
      <c r="AA97" s="148" t="b">
        <f t="shared" si="155"/>
        <v>1</v>
      </c>
      <c r="AB97" s="148">
        <f t="shared" si="156"/>
        <v>97.349408174585278</v>
      </c>
      <c r="AC97" s="148">
        <f t="shared" si="157"/>
        <v>19372.532226742471</v>
      </c>
      <c r="AD97" s="148">
        <f t="shared" si="158"/>
        <v>0</v>
      </c>
      <c r="AE97" s="148">
        <f t="shared" si="159"/>
        <v>19469.881634917056</v>
      </c>
      <c r="AF97" s="148">
        <f t="shared" si="160"/>
        <v>273.88842592191071</v>
      </c>
      <c r="AG97" s="148">
        <f t="shared" si="161"/>
        <v>54503.796758460237</v>
      </c>
      <c r="AH97" s="148">
        <f t="shared" si="162"/>
        <v>0</v>
      </c>
      <c r="AI97" s="148">
        <f t="shared" si="163"/>
        <v>54777.68518438215</v>
      </c>
      <c r="AJ97" s="148">
        <f t="shared" si="164"/>
        <v>371.23783409649599</v>
      </c>
      <c r="AK97" s="148">
        <f t="shared" si="165"/>
        <v>73876.328985202708</v>
      </c>
      <c r="AL97" s="148">
        <f t="shared" si="166"/>
        <v>0</v>
      </c>
      <c r="AM97" s="148">
        <f t="shared" si="167"/>
        <v>74247.566819299202</v>
      </c>
    </row>
    <row r="98" spans="1:39" s="66" customFormat="1" x14ac:dyDescent="0.25">
      <c r="A98" s="66">
        <v>13</v>
      </c>
      <c r="B98" s="148">
        <f t="shared" si="145"/>
        <v>1000</v>
      </c>
      <c r="C98" s="148">
        <f t="shared" si="145"/>
        <v>500</v>
      </c>
      <c r="D98" s="148">
        <f t="shared" si="145"/>
        <v>100</v>
      </c>
      <c r="E98" s="148">
        <f t="shared" si="146"/>
        <v>684.44439569229678</v>
      </c>
      <c r="F98" s="148">
        <f t="shared" si="168"/>
        <v>0</v>
      </c>
      <c r="G98" s="148">
        <f t="shared" si="147"/>
        <v>0</v>
      </c>
      <c r="H98" s="148">
        <f t="shared" si="148"/>
        <v>684.44439569229678</v>
      </c>
      <c r="I98" s="148">
        <f>'Seasonal (WITH)'!I98</f>
        <v>29</v>
      </c>
      <c r="J98" s="148">
        <f>'Seasonal (WITH)'!J98</f>
        <v>33</v>
      </c>
      <c r="K98" s="148">
        <f>'Seasonal (WITH)'!K98</f>
        <v>40</v>
      </c>
      <c r="L98" s="148">
        <f t="shared" si="142"/>
        <v>31.03</v>
      </c>
      <c r="M98" s="148">
        <f t="shared" si="149"/>
        <v>19848.887475076608</v>
      </c>
      <c r="N98" s="148">
        <f t="shared" si="143"/>
        <v>0</v>
      </c>
      <c r="O98" s="148">
        <f t="shared" si="144"/>
        <v>0</v>
      </c>
      <c r="P98" s="148">
        <f t="shared" si="150"/>
        <v>19848.887475076608</v>
      </c>
      <c r="Q98" s="7">
        <f>Y98*'LOAD DATA and INPUT SEASONAL'!$E$12*1000</f>
        <v>55844.002021053071</v>
      </c>
      <c r="R98" s="153"/>
      <c r="S98" s="148">
        <f t="shared" si="151"/>
        <v>55844.002021053071</v>
      </c>
      <c r="T98" s="154">
        <f>'Seasonal (WITH)'!T98</f>
        <v>3.1983382976275552</v>
      </c>
      <c r="U98" s="148"/>
      <c r="V98" s="148">
        <f t="shared" si="152"/>
        <v>3.1983382976275552</v>
      </c>
      <c r="W98" s="148">
        <f>'Seasonal (WITH)'!W98</f>
        <v>636.46932122788348</v>
      </c>
      <c r="X98" s="148">
        <f>'Seasonal (WITH)'!X98</f>
        <v>0</v>
      </c>
      <c r="Y98" s="148">
        <f t="shared" si="153"/>
        <v>639.667659525511</v>
      </c>
      <c r="Z98" s="148">
        <f t="shared" si="154"/>
        <v>684.44439569229678</v>
      </c>
      <c r="AA98" s="148" t="b">
        <f t="shared" si="155"/>
        <v>1</v>
      </c>
      <c r="AB98" s="148">
        <f t="shared" si="156"/>
        <v>99.244437375383043</v>
      </c>
      <c r="AC98" s="148">
        <f t="shared" si="157"/>
        <v>19749.643037701226</v>
      </c>
      <c r="AD98" s="148">
        <f t="shared" si="158"/>
        <v>0</v>
      </c>
      <c r="AE98" s="148">
        <f t="shared" si="159"/>
        <v>19848.887475076608</v>
      </c>
      <c r="AF98" s="148">
        <f t="shared" si="160"/>
        <v>279.22001010526537</v>
      </c>
      <c r="AG98" s="148">
        <f t="shared" si="161"/>
        <v>55564.782010947813</v>
      </c>
      <c r="AH98" s="148">
        <f t="shared" si="162"/>
        <v>0</v>
      </c>
      <c r="AI98" s="148">
        <f t="shared" si="163"/>
        <v>55844.002021053078</v>
      </c>
      <c r="AJ98" s="148">
        <f t="shared" si="164"/>
        <v>378.4644474806484</v>
      </c>
      <c r="AK98" s="148">
        <f t="shared" si="165"/>
        <v>75314.425048649035</v>
      </c>
      <c r="AL98" s="148">
        <f t="shared" si="166"/>
        <v>0</v>
      </c>
      <c r="AM98" s="148">
        <f t="shared" si="167"/>
        <v>75692.88949612969</v>
      </c>
    </row>
    <row r="99" spans="1:39" s="66" customFormat="1" x14ac:dyDescent="0.25">
      <c r="A99" s="66">
        <v>14</v>
      </c>
      <c r="B99" s="148">
        <f t="shared" si="145"/>
        <v>1000</v>
      </c>
      <c r="C99" s="148">
        <f t="shared" si="145"/>
        <v>500</v>
      </c>
      <c r="D99" s="148">
        <f t="shared" si="145"/>
        <v>100</v>
      </c>
      <c r="E99" s="148">
        <f t="shared" si="146"/>
        <v>703.78857903862888</v>
      </c>
      <c r="F99" s="148">
        <f t="shared" si="168"/>
        <v>0</v>
      </c>
      <c r="G99" s="148">
        <f t="shared" si="147"/>
        <v>0</v>
      </c>
      <c r="H99" s="148">
        <f t="shared" si="148"/>
        <v>703.78857903862888</v>
      </c>
      <c r="I99" s="148">
        <f>'Seasonal (WITH)'!I99</f>
        <v>29</v>
      </c>
      <c r="J99" s="148">
        <f>'Seasonal (WITH)'!J99</f>
        <v>33</v>
      </c>
      <c r="K99" s="148">
        <f>'Seasonal (WITH)'!K99</f>
        <v>40</v>
      </c>
      <c r="L99" s="148">
        <f t="shared" si="142"/>
        <v>31.03</v>
      </c>
      <c r="M99" s="148">
        <f t="shared" si="149"/>
        <v>20409.868792120236</v>
      </c>
      <c r="N99" s="148">
        <f t="shared" si="143"/>
        <v>0</v>
      </c>
      <c r="O99" s="148">
        <f t="shared" si="144"/>
        <v>0</v>
      </c>
      <c r="P99" s="148">
        <f t="shared" si="150"/>
        <v>20409.868792120236</v>
      </c>
      <c r="Q99" s="7">
        <f>Y99*'LOAD DATA and INPUT SEASONAL'!$E$12*1000</f>
        <v>57422.29913428393</v>
      </c>
      <c r="R99" s="153"/>
      <c r="S99" s="148">
        <f t="shared" si="151"/>
        <v>57422.29913428393</v>
      </c>
      <c r="T99" s="154">
        <f>'Seasonal (WITH)'!T99</f>
        <v>3.2887316777506022</v>
      </c>
      <c r="U99" s="148"/>
      <c r="V99" s="148">
        <f t="shared" si="152"/>
        <v>3.2887316777506022</v>
      </c>
      <c r="W99" s="148">
        <f>'Seasonal (WITH)'!W99</f>
        <v>654.45760387236987</v>
      </c>
      <c r="X99" s="148">
        <f>'Seasonal (WITH)'!X99</f>
        <v>0</v>
      </c>
      <c r="Y99" s="148">
        <f t="shared" si="153"/>
        <v>657.74633555012042</v>
      </c>
      <c r="Z99" s="148">
        <f t="shared" si="154"/>
        <v>703.78857903862888</v>
      </c>
      <c r="AA99" s="148" t="b">
        <f t="shared" si="155"/>
        <v>1</v>
      </c>
      <c r="AB99" s="148">
        <f t="shared" si="156"/>
        <v>102.04934396060119</v>
      </c>
      <c r="AC99" s="148">
        <f t="shared" si="157"/>
        <v>20307.819448159637</v>
      </c>
      <c r="AD99" s="148">
        <f t="shared" si="158"/>
        <v>0</v>
      </c>
      <c r="AE99" s="148">
        <f t="shared" si="159"/>
        <v>20409.868792120236</v>
      </c>
      <c r="AF99" s="148">
        <f t="shared" si="160"/>
        <v>287.11149567141962</v>
      </c>
      <c r="AG99" s="148">
        <f t="shared" si="161"/>
        <v>57135.187638612515</v>
      </c>
      <c r="AH99" s="148">
        <f t="shared" si="162"/>
        <v>0</v>
      </c>
      <c r="AI99" s="148">
        <f t="shared" si="163"/>
        <v>57422.299134283938</v>
      </c>
      <c r="AJ99" s="148">
        <f t="shared" si="164"/>
        <v>389.16083963202084</v>
      </c>
      <c r="AK99" s="148">
        <f t="shared" si="165"/>
        <v>77443.007086772152</v>
      </c>
      <c r="AL99" s="148">
        <f t="shared" si="166"/>
        <v>0</v>
      </c>
      <c r="AM99" s="148">
        <f t="shared" si="167"/>
        <v>77832.167926404174</v>
      </c>
    </row>
    <row r="100" spans="1:39" s="66" customFormat="1" x14ac:dyDescent="0.25">
      <c r="A100" s="66">
        <v>15</v>
      </c>
      <c r="B100" s="148">
        <f t="shared" si="145"/>
        <v>1000</v>
      </c>
      <c r="C100" s="148">
        <f t="shared" si="145"/>
        <v>500</v>
      </c>
      <c r="D100" s="148">
        <f t="shared" si="145"/>
        <v>100</v>
      </c>
      <c r="E100" s="148">
        <f t="shared" si="146"/>
        <v>747.57153729449306</v>
      </c>
      <c r="F100" s="148">
        <f t="shared" si="168"/>
        <v>0</v>
      </c>
      <c r="G100" s="148">
        <f t="shared" si="147"/>
        <v>0</v>
      </c>
      <c r="H100" s="148">
        <f t="shared" si="148"/>
        <v>747.57153729449306</v>
      </c>
      <c r="I100" s="148">
        <f>'Seasonal (WITH)'!I100</f>
        <v>29</v>
      </c>
      <c r="J100" s="148">
        <f>'Seasonal (WITH)'!J100</f>
        <v>33</v>
      </c>
      <c r="K100" s="148">
        <f>'Seasonal (WITH)'!K100</f>
        <v>40</v>
      </c>
      <c r="L100" s="148">
        <f t="shared" si="142"/>
        <v>31.03</v>
      </c>
      <c r="M100" s="148">
        <f t="shared" si="149"/>
        <v>21679.574581540299</v>
      </c>
      <c r="N100" s="148">
        <f t="shared" si="143"/>
        <v>0</v>
      </c>
      <c r="O100" s="148">
        <f t="shared" si="144"/>
        <v>0</v>
      </c>
      <c r="P100" s="148">
        <f t="shared" si="150"/>
        <v>21679.574581540299</v>
      </c>
      <c r="Q100" s="7">
        <f>Y100*'LOAD DATA and INPUT SEASONAL'!$E$12*1000</f>
        <v>60994.562454308776</v>
      </c>
      <c r="R100" s="153"/>
      <c r="S100" s="148">
        <f t="shared" si="151"/>
        <v>60994.562454308776</v>
      </c>
      <c r="T100" s="154">
        <f>'Seasonal (WITH)'!T100</f>
        <v>3.4933249406284723</v>
      </c>
      <c r="U100" s="148"/>
      <c r="V100" s="148">
        <f t="shared" si="152"/>
        <v>3.4933249406284723</v>
      </c>
      <c r="W100" s="148">
        <f>'Seasonal (WITH)'!W100</f>
        <v>695.171663185066</v>
      </c>
      <c r="X100" s="148">
        <f>'Seasonal (WITH)'!X100</f>
        <v>0</v>
      </c>
      <c r="Y100" s="148">
        <f t="shared" si="153"/>
        <v>698.66498812569444</v>
      </c>
      <c r="Z100" s="148">
        <f t="shared" si="154"/>
        <v>747.57153729449306</v>
      </c>
      <c r="AA100" s="148" t="b">
        <f t="shared" si="155"/>
        <v>1</v>
      </c>
      <c r="AB100" s="148">
        <f>V100*L100</f>
        <v>108.3978729077015</v>
      </c>
      <c r="AC100" s="148">
        <f t="shared" si="157"/>
        <v>21571.1767086326</v>
      </c>
      <c r="AD100" s="148">
        <f t="shared" si="158"/>
        <v>0</v>
      </c>
      <c r="AE100" s="148">
        <f t="shared" si="159"/>
        <v>21679.574581540302</v>
      </c>
      <c r="AF100" s="148">
        <f t="shared" si="160"/>
        <v>304.97281227154389</v>
      </c>
      <c r="AG100" s="148">
        <f t="shared" si="161"/>
        <v>60689.58964203723</v>
      </c>
      <c r="AH100" s="148">
        <f t="shared" si="162"/>
        <v>0</v>
      </c>
      <c r="AI100" s="148">
        <f t="shared" si="163"/>
        <v>60994.562454308776</v>
      </c>
      <c r="AJ100" s="148">
        <f t="shared" si="164"/>
        <v>413.37068517924536</v>
      </c>
      <c r="AK100" s="148">
        <f t="shared" si="165"/>
        <v>82260.76635066983</v>
      </c>
      <c r="AL100" s="148">
        <f t="shared" si="166"/>
        <v>0</v>
      </c>
      <c r="AM100" s="148">
        <f t="shared" si="167"/>
        <v>82674.137035849082</v>
      </c>
    </row>
    <row r="101" spans="1:39" s="66" customFormat="1" x14ac:dyDescent="0.25">
      <c r="A101" s="66">
        <v>16</v>
      </c>
      <c r="B101" s="148">
        <f t="shared" si="145"/>
        <v>1000</v>
      </c>
      <c r="C101" s="148">
        <f t="shared" si="145"/>
        <v>500</v>
      </c>
      <c r="D101" s="148">
        <f t="shared" si="145"/>
        <v>100</v>
      </c>
      <c r="E101" s="148">
        <f t="shared" si="146"/>
        <v>791.12798165997663</v>
      </c>
      <c r="F101" s="148">
        <f t="shared" si="168"/>
        <v>0</v>
      </c>
      <c r="G101" s="148">
        <f t="shared" si="147"/>
        <v>0</v>
      </c>
      <c r="H101" s="148">
        <f t="shared" si="148"/>
        <v>791.12798165997663</v>
      </c>
      <c r="I101" s="148">
        <f>'Seasonal (WITH)'!I101</f>
        <v>29</v>
      </c>
      <c r="J101" s="148">
        <f>'Seasonal (WITH)'!J101</f>
        <v>33</v>
      </c>
      <c r="K101" s="148">
        <f>'Seasonal (WITH)'!K101</f>
        <v>40</v>
      </c>
      <c r="L101" s="148">
        <f t="shared" si="142"/>
        <v>31.03</v>
      </c>
      <c r="M101" s="148">
        <f t="shared" si="149"/>
        <v>22942.711468139321</v>
      </c>
      <c r="N101" s="148">
        <f t="shared" si="143"/>
        <v>0</v>
      </c>
      <c r="O101" s="148">
        <f t="shared" si="144"/>
        <v>0</v>
      </c>
      <c r="P101" s="148">
        <f t="shared" si="150"/>
        <v>22942.711468139321</v>
      </c>
      <c r="Q101" s="7">
        <f>Y101*'LOAD DATA and INPUT SEASONAL'!$E$12*1000</f>
        <v>64548.344445197428</v>
      </c>
      <c r="R101" s="153"/>
      <c r="S101" s="148">
        <f t="shared" si="151"/>
        <v>64548.344445197428</v>
      </c>
      <c r="T101" s="154">
        <f>'Seasonal (WITH)'!T101</f>
        <v>3.6968597273830683</v>
      </c>
      <c r="U101" s="148"/>
      <c r="V101" s="148">
        <f t="shared" si="152"/>
        <v>3.6968597273830683</v>
      </c>
      <c r="W101" s="148">
        <f>'Seasonal (WITH)'!W101</f>
        <v>735.67508574923056</v>
      </c>
      <c r="X101" s="148">
        <f>'Seasonal (WITH)'!X101</f>
        <v>0</v>
      </c>
      <c r="Y101" s="148">
        <f t="shared" si="153"/>
        <v>739.37194547661363</v>
      </c>
      <c r="Z101" s="148">
        <f t="shared" si="154"/>
        <v>791.12798165997663</v>
      </c>
      <c r="AA101" s="148" t="b">
        <f t="shared" si="155"/>
        <v>1</v>
      </c>
      <c r="AB101" s="148">
        <f t="shared" ref="AB101:AB105" si="169">V101*L101</f>
        <v>114.71355734069661</v>
      </c>
      <c r="AC101" s="148">
        <f t="shared" si="157"/>
        <v>22827.997910798626</v>
      </c>
      <c r="AD101" s="148">
        <f t="shared" si="158"/>
        <v>0</v>
      </c>
      <c r="AE101" s="148">
        <f t="shared" si="159"/>
        <v>22942.711468139321</v>
      </c>
      <c r="AF101" s="148">
        <f t="shared" si="160"/>
        <v>322.74172222598719</v>
      </c>
      <c r="AG101" s="148">
        <f t="shared" si="161"/>
        <v>64225.602722971445</v>
      </c>
      <c r="AH101" s="148">
        <f t="shared" si="162"/>
        <v>0</v>
      </c>
      <c r="AI101" s="148">
        <f t="shared" si="163"/>
        <v>64548.344445197436</v>
      </c>
      <c r="AJ101" s="148">
        <f t="shared" si="164"/>
        <v>437.45527956668377</v>
      </c>
      <c r="AK101" s="148">
        <f t="shared" si="165"/>
        <v>87053.600633770067</v>
      </c>
      <c r="AL101" s="148">
        <f t="shared" si="166"/>
        <v>0</v>
      </c>
      <c r="AM101" s="148">
        <f t="shared" si="167"/>
        <v>87491.05591333675</v>
      </c>
    </row>
    <row r="102" spans="1:39" s="66" customFormat="1" x14ac:dyDescent="0.25">
      <c r="A102" s="66">
        <v>17</v>
      </c>
      <c r="B102" s="148">
        <f t="shared" si="145"/>
        <v>1000</v>
      </c>
      <c r="C102" s="148">
        <f t="shared" si="145"/>
        <v>500</v>
      </c>
      <c r="D102" s="148">
        <f t="shared" si="145"/>
        <v>100</v>
      </c>
      <c r="E102" s="148">
        <f t="shared" si="146"/>
        <v>869.1108339387041</v>
      </c>
      <c r="F102" s="148">
        <f t="shared" si="168"/>
        <v>0</v>
      </c>
      <c r="G102" s="148">
        <f t="shared" si="147"/>
        <v>0</v>
      </c>
      <c r="H102" s="148">
        <f>SUM(E102:G102)</f>
        <v>869.1108339387041</v>
      </c>
      <c r="I102" s="148">
        <f>'Seasonal (WITH)'!I102</f>
        <v>29</v>
      </c>
      <c r="J102" s="148">
        <f>'Seasonal (WITH)'!J102</f>
        <v>33</v>
      </c>
      <c r="K102" s="148">
        <f>'Seasonal (WITH)'!K102</f>
        <v>40</v>
      </c>
      <c r="L102" s="148">
        <f t="shared" si="142"/>
        <v>31.03</v>
      </c>
      <c r="M102" s="148">
        <f t="shared" si="149"/>
        <v>25204.214184222419</v>
      </c>
      <c r="N102" s="148">
        <f t="shared" si="143"/>
        <v>0</v>
      </c>
      <c r="O102" s="148">
        <f t="shared" si="144"/>
        <v>0</v>
      </c>
      <c r="P102" s="148">
        <f t="shared" si="150"/>
        <v>25204.214184222419</v>
      </c>
      <c r="Q102" s="7">
        <f>Y102*'LOAD DATA and INPUT SEASONAL'!$E$12*1000</f>
        <v>70910.986301379045</v>
      </c>
      <c r="R102" s="153"/>
      <c r="S102" s="148">
        <f t="shared" si="151"/>
        <v>70910.986301379045</v>
      </c>
      <c r="T102" s="154">
        <f>'Seasonal (WITH)'!T102</f>
        <v>4.0612655791528223</v>
      </c>
      <c r="U102" s="148"/>
      <c r="V102" s="148">
        <f t="shared" si="152"/>
        <v>4.0612655791528223</v>
      </c>
      <c r="W102" s="148">
        <f>'Seasonal (WITH)'!W102</f>
        <v>808.19185025141167</v>
      </c>
      <c r="X102" s="148">
        <f>'Seasonal (WITH)'!X102</f>
        <v>0</v>
      </c>
      <c r="Y102" s="148">
        <f t="shared" si="153"/>
        <v>812.25311583056452</v>
      </c>
      <c r="Z102" s="148">
        <f t="shared" si="154"/>
        <v>869.1108339387041</v>
      </c>
      <c r="AA102" s="148" t="b">
        <f t="shared" si="155"/>
        <v>1</v>
      </c>
      <c r="AB102" s="148">
        <f t="shared" si="169"/>
        <v>126.02107092111208</v>
      </c>
      <c r="AC102" s="148">
        <f t="shared" si="157"/>
        <v>25078.193113301306</v>
      </c>
      <c r="AD102" s="148">
        <f t="shared" si="158"/>
        <v>0</v>
      </c>
      <c r="AE102" s="148">
        <f t="shared" si="159"/>
        <v>25204.214184222419</v>
      </c>
      <c r="AF102" s="148">
        <f t="shared" si="160"/>
        <v>354.55493150689523</v>
      </c>
      <c r="AG102" s="148">
        <f t="shared" si="161"/>
        <v>70556.431369872153</v>
      </c>
      <c r="AH102" s="148">
        <f t="shared" si="162"/>
        <v>0</v>
      </c>
      <c r="AI102" s="148">
        <f t="shared" si="163"/>
        <v>70910.986301379045</v>
      </c>
      <c r="AJ102" s="148">
        <f t="shared" si="164"/>
        <v>480.57600242800731</v>
      </c>
      <c r="AK102" s="148">
        <f t="shared" si="165"/>
        <v>95634.624483173451</v>
      </c>
      <c r="AL102" s="148">
        <f t="shared" si="166"/>
        <v>0</v>
      </c>
      <c r="AM102" s="148">
        <f t="shared" si="167"/>
        <v>96115.200485601454</v>
      </c>
    </row>
    <row r="103" spans="1:39" s="66" customFormat="1" x14ac:dyDescent="0.25">
      <c r="A103" s="66">
        <v>18</v>
      </c>
      <c r="B103" s="148">
        <f t="shared" ref="B103:D109" si="170">B76</f>
        <v>1000</v>
      </c>
      <c r="C103" s="148">
        <f t="shared" si="170"/>
        <v>500</v>
      </c>
      <c r="D103" s="148">
        <f t="shared" si="170"/>
        <v>100</v>
      </c>
      <c r="E103" s="148">
        <f t="shared" si="146"/>
        <v>966.05822393882193</v>
      </c>
      <c r="F103" s="148">
        <f t="shared" si="168"/>
        <v>0</v>
      </c>
      <c r="G103" s="148">
        <f t="shared" si="147"/>
        <v>0</v>
      </c>
      <c r="H103" s="148">
        <f t="shared" ref="H103:H105" si="171">SUM(E103:G103)</f>
        <v>966.05822393882193</v>
      </c>
      <c r="I103" s="148">
        <f>'Seasonal (WITH)'!I103</f>
        <v>29</v>
      </c>
      <c r="J103" s="148">
        <f>'Seasonal (WITH)'!J103</f>
        <v>33</v>
      </c>
      <c r="K103" s="148">
        <f>'Seasonal (WITH)'!K103</f>
        <v>40</v>
      </c>
      <c r="L103" s="148">
        <f t="shared" si="142"/>
        <v>31.03</v>
      </c>
      <c r="M103" s="148">
        <f t="shared" si="149"/>
        <v>28015.688494225837</v>
      </c>
      <c r="N103" s="148">
        <f t="shared" si="143"/>
        <v>0</v>
      </c>
      <c r="O103" s="148">
        <f t="shared" si="144"/>
        <v>0</v>
      </c>
      <c r="P103" s="148">
        <f t="shared" si="150"/>
        <v>28015.688494225837</v>
      </c>
      <c r="Q103" s="7">
        <f>Y103*'LOAD DATA and INPUT SEASONAL'!$E$12*1000</f>
        <v>78820.949882315894</v>
      </c>
      <c r="R103" s="153"/>
      <c r="S103" s="148">
        <f t="shared" si="151"/>
        <v>78820.949882315894</v>
      </c>
      <c r="T103" s="154">
        <f>'Seasonal (WITH)'!T103</f>
        <v>4.5142907660692613</v>
      </c>
      <c r="U103" s="148"/>
      <c r="V103" s="148">
        <f t="shared" si="152"/>
        <v>4.5142907660692613</v>
      </c>
      <c r="W103" s="148">
        <f>'Seasonal (WITH)'!W103</f>
        <v>898.34386244778295</v>
      </c>
      <c r="X103" s="148">
        <f>'Seasonal (WITH)'!X103</f>
        <v>0</v>
      </c>
      <c r="Y103" s="148">
        <f t="shared" si="153"/>
        <v>902.85815321385223</v>
      </c>
      <c r="Z103" s="148">
        <f t="shared" si="154"/>
        <v>966.05822393882193</v>
      </c>
      <c r="AA103" s="148" t="b">
        <f t="shared" si="155"/>
        <v>1</v>
      </c>
      <c r="AB103" s="148">
        <f t="shared" si="169"/>
        <v>140.07844247112919</v>
      </c>
      <c r="AC103" s="148">
        <f t="shared" si="157"/>
        <v>27875.610051754706</v>
      </c>
      <c r="AD103" s="148">
        <f t="shared" si="158"/>
        <v>0</v>
      </c>
      <c r="AE103" s="148">
        <f t="shared" si="159"/>
        <v>28015.688494225837</v>
      </c>
      <c r="AF103" s="148">
        <f t="shared" si="160"/>
        <v>394.10474941157946</v>
      </c>
      <c r="AG103" s="148">
        <f t="shared" si="161"/>
        <v>78426.845132904316</v>
      </c>
      <c r="AH103" s="148">
        <f t="shared" si="162"/>
        <v>0</v>
      </c>
      <c r="AI103" s="148">
        <f t="shared" si="163"/>
        <v>78820.949882315894</v>
      </c>
      <c r="AJ103" s="148">
        <f t="shared" si="164"/>
        <v>534.18319188270868</v>
      </c>
      <c r="AK103" s="148">
        <f t="shared" si="165"/>
        <v>106302.45518465902</v>
      </c>
      <c r="AL103" s="148">
        <f t="shared" si="166"/>
        <v>0</v>
      </c>
      <c r="AM103" s="148">
        <f t="shared" si="167"/>
        <v>106836.63837654173</v>
      </c>
    </row>
    <row r="104" spans="1:39" s="66" customFormat="1" x14ac:dyDescent="0.25">
      <c r="A104" s="66">
        <v>19</v>
      </c>
      <c r="B104" s="148">
        <f t="shared" si="170"/>
        <v>1000</v>
      </c>
      <c r="C104" s="148">
        <f t="shared" si="170"/>
        <v>500</v>
      </c>
      <c r="D104" s="148">
        <f t="shared" si="170"/>
        <v>100</v>
      </c>
      <c r="E104" s="148">
        <f t="shared" si="146"/>
        <v>1000</v>
      </c>
      <c r="F104" s="148">
        <f t="shared" si="168"/>
        <v>14.739258510618697</v>
      </c>
      <c r="G104" s="148">
        <f t="shared" si="147"/>
        <v>0</v>
      </c>
      <c r="H104" s="148">
        <f t="shared" si="171"/>
        <v>1014.7392585106187</v>
      </c>
      <c r="I104" s="148">
        <f>'Seasonal (WITH)'!I104</f>
        <v>29</v>
      </c>
      <c r="J104" s="148">
        <f>'Seasonal (WITH)'!J104</f>
        <v>33</v>
      </c>
      <c r="K104" s="148">
        <f>'Seasonal (WITH)'!K104</f>
        <v>40</v>
      </c>
      <c r="L104" s="148">
        <f t="shared" si="142"/>
        <v>31.092167720324568</v>
      </c>
      <c r="M104" s="148">
        <f t="shared" si="149"/>
        <v>29000</v>
      </c>
      <c r="N104" s="148">
        <f t="shared" si="143"/>
        <v>486.395530850417</v>
      </c>
      <c r="O104" s="148">
        <f t="shared" si="144"/>
        <v>0</v>
      </c>
      <c r="P104" s="148">
        <f t="shared" si="150"/>
        <v>29486.395530850416</v>
      </c>
      <c r="Q104" s="7">
        <f>Y104*'LOAD DATA and INPUT SEASONAL'!$E$12*1000</f>
        <v>82792.848564114058</v>
      </c>
      <c r="R104" s="153"/>
      <c r="S104" s="148">
        <f t="shared" si="151"/>
        <v>82792.848564114058</v>
      </c>
      <c r="T104" s="154">
        <f>'Seasonal (WITH)'!T104</f>
        <v>4.7417722360309282</v>
      </c>
      <c r="U104" s="148"/>
      <c r="V104" s="148">
        <f t="shared" si="152"/>
        <v>4.7417722360309282</v>
      </c>
      <c r="W104" s="148">
        <f>'Seasonal (WITH)'!W104</f>
        <v>943.61267497015479</v>
      </c>
      <c r="X104" s="148">
        <f>'Seasonal (WITH)'!X104</f>
        <v>0</v>
      </c>
      <c r="Y104" s="148">
        <f t="shared" si="153"/>
        <v>948.35444720618568</v>
      </c>
      <c r="Z104" s="148">
        <f t="shared" si="154"/>
        <v>1014.7392585106187</v>
      </c>
      <c r="AA104" s="148" t="b">
        <f t="shared" si="155"/>
        <v>1</v>
      </c>
      <c r="AB104" s="148">
        <f t="shared" si="169"/>
        <v>147.43197765425208</v>
      </c>
      <c r="AC104" s="148">
        <f t="shared" si="157"/>
        <v>29338.963553196165</v>
      </c>
      <c r="AD104" s="148">
        <f t="shared" si="158"/>
        <v>0</v>
      </c>
      <c r="AE104" s="148">
        <f t="shared" si="159"/>
        <v>29486.395530850416</v>
      </c>
      <c r="AF104" s="148">
        <f t="shared" si="160"/>
        <v>413.96424282057023</v>
      </c>
      <c r="AG104" s="148">
        <f t="shared" si="161"/>
        <v>82378.884321293488</v>
      </c>
      <c r="AH104" s="148">
        <f t="shared" si="162"/>
        <v>0</v>
      </c>
      <c r="AI104" s="148">
        <f t="shared" si="163"/>
        <v>82792.848564114058</v>
      </c>
      <c r="AJ104" s="148">
        <f t="shared" si="164"/>
        <v>561.39622047482226</v>
      </c>
      <c r="AK104" s="148">
        <f t="shared" si="165"/>
        <v>111717.84787448966</v>
      </c>
      <c r="AL104" s="148">
        <f t="shared" si="166"/>
        <v>0</v>
      </c>
      <c r="AM104" s="148">
        <f t="shared" si="167"/>
        <v>112279.24409496448</v>
      </c>
    </row>
    <row r="105" spans="1:39" s="66" customFormat="1" x14ac:dyDescent="0.25">
      <c r="A105" s="66">
        <v>20</v>
      </c>
      <c r="B105" s="148">
        <f t="shared" si="170"/>
        <v>1000</v>
      </c>
      <c r="C105" s="148">
        <f t="shared" si="170"/>
        <v>500</v>
      </c>
      <c r="D105" s="148">
        <f t="shared" si="170"/>
        <v>100</v>
      </c>
      <c r="E105" s="148">
        <f t="shared" si="146"/>
        <v>996.19019697846875</v>
      </c>
      <c r="F105" s="148">
        <f t="shared" si="168"/>
        <v>0</v>
      </c>
      <c r="G105" s="148">
        <f t="shared" si="147"/>
        <v>0</v>
      </c>
      <c r="H105" s="148">
        <f t="shared" si="171"/>
        <v>996.19019697846875</v>
      </c>
      <c r="I105" s="148">
        <f>'Seasonal (WITH)'!I105</f>
        <v>29</v>
      </c>
      <c r="J105" s="148">
        <f>'Seasonal (WITH)'!J105</f>
        <v>33</v>
      </c>
      <c r="K105" s="148">
        <f>'Seasonal (WITH)'!K105</f>
        <v>40</v>
      </c>
      <c r="L105" s="148">
        <f t="shared" si="142"/>
        <v>31.029999999999998</v>
      </c>
      <c r="M105" s="148">
        <f t="shared" si="149"/>
        <v>28889.515712375593</v>
      </c>
      <c r="N105" s="148">
        <f t="shared" si="143"/>
        <v>0</v>
      </c>
      <c r="O105" s="148">
        <f t="shared" si="144"/>
        <v>0</v>
      </c>
      <c r="P105" s="148">
        <f t="shared" si="150"/>
        <v>28889.515712375593</v>
      </c>
      <c r="Q105" s="7">
        <f>Y105*'LOAD DATA and INPUT SEASONAL'!$E$12*1000</f>
        <v>81279.425653196246</v>
      </c>
      <c r="R105" s="153"/>
      <c r="S105" s="148">
        <f t="shared" si="151"/>
        <v>81279.425653196246</v>
      </c>
      <c r="T105" s="154">
        <f>'Seasonal (WITH)'!T105</f>
        <v>4.6550943784040593</v>
      </c>
      <c r="U105" s="148"/>
      <c r="V105" s="148">
        <f t="shared" si="152"/>
        <v>4.6550943784040593</v>
      </c>
      <c r="W105" s="148">
        <f>'Seasonal (WITH)'!W105</f>
        <v>926.3637813024078</v>
      </c>
      <c r="X105" s="148">
        <f>'Seasonal (WITH)'!X105</f>
        <v>0</v>
      </c>
      <c r="Y105" s="148">
        <f t="shared" si="153"/>
        <v>931.0188756808119</v>
      </c>
      <c r="Z105" s="148">
        <f t="shared" si="154"/>
        <v>996.19019697846875</v>
      </c>
      <c r="AA105" s="148" t="b">
        <f t="shared" si="155"/>
        <v>1</v>
      </c>
      <c r="AB105" s="148">
        <f t="shared" si="169"/>
        <v>144.44757856187795</v>
      </c>
      <c r="AC105" s="148">
        <f t="shared" si="157"/>
        <v>28745.068133813711</v>
      </c>
      <c r="AD105" s="148">
        <f t="shared" si="158"/>
        <v>0</v>
      </c>
      <c r="AE105" s="148">
        <f t="shared" si="159"/>
        <v>28889.515712375589</v>
      </c>
      <c r="AF105" s="148">
        <f t="shared" si="160"/>
        <v>406.39712826598117</v>
      </c>
      <c r="AG105" s="148">
        <f t="shared" si="161"/>
        <v>80873.028524930254</v>
      </c>
      <c r="AH105" s="148">
        <f t="shared" si="162"/>
        <v>0</v>
      </c>
      <c r="AI105" s="148">
        <f t="shared" si="163"/>
        <v>81279.425653196231</v>
      </c>
      <c r="AJ105" s="148">
        <f t="shared" si="164"/>
        <v>550.84470682785911</v>
      </c>
      <c r="AK105" s="148">
        <f t="shared" si="165"/>
        <v>109618.09665874396</v>
      </c>
      <c r="AL105" s="148">
        <f t="shared" si="166"/>
        <v>0</v>
      </c>
      <c r="AM105" s="148">
        <f t="shared" si="167"/>
        <v>110168.94136557182</v>
      </c>
    </row>
    <row r="106" spans="1:39" s="66" customFormat="1" x14ac:dyDescent="0.25">
      <c r="A106" s="66">
        <v>21</v>
      </c>
      <c r="B106" s="148">
        <f t="shared" si="170"/>
        <v>1000</v>
      </c>
      <c r="C106" s="148">
        <f t="shared" si="170"/>
        <v>500</v>
      </c>
      <c r="D106" s="148">
        <f t="shared" si="170"/>
        <v>100</v>
      </c>
      <c r="E106" s="148">
        <f t="shared" si="146"/>
        <v>992.38320405554862</v>
      </c>
      <c r="F106" s="148">
        <f t="shared" si="168"/>
        <v>0</v>
      </c>
      <c r="G106" s="148">
        <f>IF(SUM(E106,F106)&lt;Z106,IF(SUM(E106,F106,D106)&lt;Z106,D106,Z106-E106-F106),0)</f>
        <v>0</v>
      </c>
      <c r="H106" s="148">
        <f>SUM(E106:G106)</f>
        <v>992.38320405554862</v>
      </c>
      <c r="I106" s="148">
        <f>'Seasonal (WITH)'!I106</f>
        <v>29</v>
      </c>
      <c r="J106" s="148">
        <f>'Seasonal (WITH)'!J106</f>
        <v>33</v>
      </c>
      <c r="K106" s="148">
        <f>'Seasonal (WITH)'!K106</f>
        <v>40</v>
      </c>
      <c r="L106" s="148">
        <f t="shared" si="142"/>
        <v>31.03</v>
      </c>
      <c r="M106" s="148">
        <f>E106*I106</f>
        <v>28779.11291761091</v>
      </c>
      <c r="N106" s="148">
        <f t="shared" si="143"/>
        <v>0</v>
      </c>
      <c r="O106" s="148">
        <f t="shared" si="144"/>
        <v>0</v>
      </c>
      <c r="P106" s="148">
        <f>SUM(M106:O106)</f>
        <v>28779.11291761091</v>
      </c>
      <c r="Q106" s="7">
        <f>Y106*'LOAD DATA and INPUT SEASONAL'!$E$12*1000</f>
        <v>80968.812078419796</v>
      </c>
      <c r="R106" s="153"/>
      <c r="S106" s="148">
        <f t="shared" si="151"/>
        <v>80968.812078419796</v>
      </c>
      <c r="T106" s="154">
        <f>'Seasonal (WITH)'!T106</f>
        <v>4.6373046918483576</v>
      </c>
      <c r="U106" s="148"/>
      <c r="V106" s="148">
        <f t="shared" si="152"/>
        <v>4.6373046918483576</v>
      </c>
      <c r="W106" s="148">
        <f>'Seasonal (WITH)'!W106</f>
        <v>922.82363367782318</v>
      </c>
      <c r="X106" s="148">
        <f>'Seasonal (WITH)'!X106</f>
        <v>0</v>
      </c>
      <c r="Y106" s="148">
        <f>SUM(V106:X106)</f>
        <v>927.46093836967157</v>
      </c>
      <c r="Z106" s="148">
        <f>Y106*1.07</f>
        <v>992.38320405554862</v>
      </c>
      <c r="AA106" s="148" t="b">
        <f>Z106=H106</f>
        <v>1</v>
      </c>
      <c r="AB106" s="148">
        <f>V106*L106</f>
        <v>143.89556458805455</v>
      </c>
      <c r="AC106" s="148">
        <f>W106*$L106</f>
        <v>28635.217353022854</v>
      </c>
      <c r="AD106" s="148">
        <f>X106*$L106</f>
        <v>0</v>
      </c>
      <c r="AE106" s="148">
        <f>SUM(AB106:AD106)</f>
        <v>28779.11291761091</v>
      </c>
      <c r="AF106" s="148">
        <f>$S106/$Y106*V106</f>
        <v>404.84406039209898</v>
      </c>
      <c r="AG106" s="148">
        <f t="shared" si="161"/>
        <v>80563.968018027692</v>
      </c>
      <c r="AH106" s="148">
        <f t="shared" si="162"/>
        <v>0</v>
      </c>
      <c r="AI106" s="148">
        <f>SUM(AF106:AH106)</f>
        <v>80968.812078419796</v>
      </c>
      <c r="AJ106" s="148">
        <f>AB106+AF106</f>
        <v>548.73962498015351</v>
      </c>
      <c r="AK106" s="148">
        <f>AC106+AG106</f>
        <v>109199.18537105055</v>
      </c>
      <c r="AL106" s="148">
        <f>AD106+AH106</f>
        <v>0</v>
      </c>
      <c r="AM106" s="148">
        <f>SUM(AJ106:AL106)</f>
        <v>109747.92499603071</v>
      </c>
    </row>
    <row r="107" spans="1:39" s="66" customFormat="1" x14ac:dyDescent="0.25">
      <c r="A107" s="66">
        <v>22</v>
      </c>
      <c r="B107" s="148">
        <f t="shared" si="170"/>
        <v>1000</v>
      </c>
      <c r="C107" s="148">
        <f t="shared" si="170"/>
        <v>500</v>
      </c>
      <c r="D107" s="148">
        <f t="shared" si="170"/>
        <v>100</v>
      </c>
      <c r="E107" s="148">
        <f t="shared" si="146"/>
        <v>938.11103549069787</v>
      </c>
      <c r="F107" s="148">
        <f t="shared" si="168"/>
        <v>0</v>
      </c>
      <c r="G107" s="148">
        <f t="shared" ref="G107:G108" si="172">IF(SUM(E107,F107)&lt;Z107,IF(SUM(E107,F107,D107)&lt;Z107,D107,Z107-E107-F107),0)</f>
        <v>0</v>
      </c>
      <c r="H107" s="148">
        <f t="shared" ref="H107:H108" si="173">SUM(E107:G107)</f>
        <v>938.11103549069787</v>
      </c>
      <c r="I107" s="148">
        <f>'Seasonal (WITH)'!I107</f>
        <v>29</v>
      </c>
      <c r="J107" s="148">
        <f>'Seasonal (WITH)'!J107</f>
        <v>33</v>
      </c>
      <c r="K107" s="148">
        <f>'Seasonal (WITH)'!K107</f>
        <v>40</v>
      </c>
      <c r="L107" s="148">
        <f t="shared" si="142"/>
        <v>31.03</v>
      </c>
      <c r="M107" s="148">
        <f t="shared" ref="M107:M108" si="174">E107*I107</f>
        <v>27205.220029230237</v>
      </c>
      <c r="N107" s="148">
        <f t="shared" si="143"/>
        <v>0</v>
      </c>
      <c r="O107" s="148">
        <f t="shared" si="144"/>
        <v>0</v>
      </c>
      <c r="P107" s="148">
        <f t="shared" ref="P107:P108" si="175">SUM(M107:O107)</f>
        <v>27205.220029230237</v>
      </c>
      <c r="Q107" s="7">
        <f>Y107*'LOAD DATA and INPUT SEASONAL'!$E$12*1000</f>
        <v>76540.731272882753</v>
      </c>
      <c r="R107" s="153"/>
      <c r="S107" s="148">
        <f t="shared" si="151"/>
        <v>76540.731272882753</v>
      </c>
      <c r="T107" s="154">
        <f>'Seasonal (WITH)'!T107</f>
        <v>4.3836964275266252</v>
      </c>
      <c r="U107" s="148"/>
      <c r="V107" s="148">
        <f t="shared" si="152"/>
        <v>4.3836964275266252</v>
      </c>
      <c r="W107" s="148">
        <f>'Seasonal (WITH)'!W107</f>
        <v>872.35558907779841</v>
      </c>
      <c r="X107" s="148">
        <f>'Seasonal (WITH)'!X107</f>
        <v>0</v>
      </c>
      <c r="Y107" s="148">
        <f t="shared" ref="Y107:Y108" si="176">SUM(V107:X107)</f>
        <v>876.73928550532503</v>
      </c>
      <c r="Z107" s="148">
        <f t="shared" ref="Z107:Z108" si="177">Y107*1.07</f>
        <v>938.11103549069787</v>
      </c>
      <c r="AA107" s="148" t="b">
        <f t="shared" ref="AA107:AA108" si="178">Z107=H107</f>
        <v>1</v>
      </c>
      <c r="AB107" s="148">
        <f t="shared" ref="AB107:AB108" si="179">V107*L107</f>
        <v>136.02610014615118</v>
      </c>
      <c r="AC107" s="148">
        <f t="shared" ref="AC107:AC108" si="180">W107*$L107</f>
        <v>27069.193929084086</v>
      </c>
      <c r="AD107" s="148">
        <f t="shared" ref="AD107:AD108" si="181">X107*$L107</f>
        <v>0</v>
      </c>
      <c r="AE107" s="148">
        <f t="shared" ref="AE107:AE108" si="182">SUM(AB107:AD107)</f>
        <v>27205.220029230237</v>
      </c>
      <c r="AF107" s="148">
        <f t="shared" ref="AF107:AF108" si="183">$S107/$Y107*V107</f>
        <v>382.70365636441375</v>
      </c>
      <c r="AG107" s="148">
        <f t="shared" si="161"/>
        <v>76158.027616518346</v>
      </c>
      <c r="AH107" s="148">
        <f t="shared" si="162"/>
        <v>0</v>
      </c>
      <c r="AI107" s="148">
        <f t="shared" ref="AI107:AI108" si="184">SUM(AF107:AH107)</f>
        <v>76540.731272882753</v>
      </c>
      <c r="AJ107" s="148">
        <f t="shared" ref="AJ107:AJ108" si="185">AB107+AF107</f>
        <v>518.72975651056493</v>
      </c>
      <c r="AK107" s="148">
        <f t="shared" ref="AK107:AK108" si="186">AC107+AG107</f>
        <v>103227.22154560243</v>
      </c>
      <c r="AL107" s="148">
        <f t="shared" ref="AL107:AL108" si="187">AD107+AH107</f>
        <v>0</v>
      </c>
      <c r="AM107" s="148">
        <f t="shared" ref="AM107:AM108" si="188">SUM(AJ107:AL107)</f>
        <v>103745.951302113</v>
      </c>
    </row>
    <row r="108" spans="1:39" s="66" customFormat="1" x14ac:dyDescent="0.25">
      <c r="A108" s="66">
        <v>23</v>
      </c>
      <c r="B108" s="148">
        <f t="shared" si="170"/>
        <v>1000</v>
      </c>
      <c r="C108" s="148">
        <f t="shared" si="170"/>
        <v>500</v>
      </c>
      <c r="D108" s="148">
        <f t="shared" si="170"/>
        <v>100</v>
      </c>
      <c r="E108" s="148">
        <f t="shared" si="146"/>
        <v>774.17404545238867</v>
      </c>
      <c r="F108" s="148">
        <f t="shared" si="168"/>
        <v>0</v>
      </c>
      <c r="G108" s="148">
        <f t="shared" si="172"/>
        <v>0</v>
      </c>
      <c r="H108" s="148">
        <f t="shared" si="173"/>
        <v>774.17404545238867</v>
      </c>
      <c r="I108" s="148">
        <f>'Seasonal (WITH)'!I108</f>
        <v>29</v>
      </c>
      <c r="J108" s="148">
        <f>'Seasonal (WITH)'!J108</f>
        <v>33</v>
      </c>
      <c r="K108" s="148">
        <f>'Seasonal (WITH)'!K108</f>
        <v>40</v>
      </c>
      <c r="L108" s="148">
        <f t="shared" si="142"/>
        <v>31.030000000000005</v>
      </c>
      <c r="M108" s="148">
        <f t="shared" si="174"/>
        <v>22451.047318119272</v>
      </c>
      <c r="N108" s="148">
        <f t="shared" si="143"/>
        <v>0</v>
      </c>
      <c r="O108" s="148">
        <f t="shared" si="144"/>
        <v>0</v>
      </c>
      <c r="P108" s="148">
        <f t="shared" si="175"/>
        <v>22451.047318119272</v>
      </c>
      <c r="Q108" s="7">
        <f>Y108*'LOAD DATA and INPUT SEASONAL'!$E$12*1000</f>
        <v>63165.068237809224</v>
      </c>
      <c r="R108" s="153"/>
      <c r="S108" s="148">
        <f t="shared" si="151"/>
        <v>63165.068237809224</v>
      </c>
      <c r="T108" s="154">
        <f>'Seasonal (WITH)'!T108</f>
        <v>3.617635726413031</v>
      </c>
      <c r="U108" s="148"/>
      <c r="V108" s="148">
        <f t="shared" si="152"/>
        <v>3.617635726413031</v>
      </c>
      <c r="W108" s="148">
        <f>'Seasonal (WITH)'!W108</f>
        <v>719.90950955619314</v>
      </c>
      <c r="X108" s="148">
        <f>'Seasonal (WITH)'!X108</f>
        <v>0</v>
      </c>
      <c r="Y108" s="148">
        <f t="shared" si="176"/>
        <v>723.52714528260617</v>
      </c>
      <c r="Z108" s="148">
        <f t="shared" si="177"/>
        <v>774.17404545238867</v>
      </c>
      <c r="AA108" s="148" t="b">
        <f t="shared" si="178"/>
        <v>1</v>
      </c>
      <c r="AB108" s="148">
        <f t="shared" si="179"/>
        <v>112.25523659059637</v>
      </c>
      <c r="AC108" s="148">
        <f t="shared" si="180"/>
        <v>22338.792081528678</v>
      </c>
      <c r="AD108" s="148">
        <f t="shared" si="181"/>
        <v>0</v>
      </c>
      <c r="AE108" s="148">
        <f t="shared" si="182"/>
        <v>22451.047318119276</v>
      </c>
      <c r="AF108" s="148">
        <f t="shared" si="183"/>
        <v>315.82534118904613</v>
      </c>
      <c r="AG108" s="148">
        <f t="shared" si="161"/>
        <v>62849.242896620177</v>
      </c>
      <c r="AH108" s="148">
        <f t="shared" si="162"/>
        <v>0</v>
      </c>
      <c r="AI108" s="148">
        <f t="shared" si="184"/>
        <v>63165.068237809224</v>
      </c>
      <c r="AJ108" s="148">
        <f t="shared" si="185"/>
        <v>428.08057777964251</v>
      </c>
      <c r="AK108" s="148">
        <f t="shared" si="186"/>
        <v>85188.034978148848</v>
      </c>
      <c r="AL108" s="148">
        <f t="shared" si="187"/>
        <v>0</v>
      </c>
      <c r="AM108" s="148">
        <f t="shared" si="188"/>
        <v>85616.115555928496</v>
      </c>
    </row>
    <row r="109" spans="1:39" s="66" customFormat="1" x14ac:dyDescent="0.25">
      <c r="A109" s="66">
        <v>24</v>
      </c>
      <c r="B109" s="148">
        <f t="shared" si="170"/>
        <v>1000</v>
      </c>
      <c r="C109" s="148">
        <f t="shared" si="170"/>
        <v>500</v>
      </c>
      <c r="D109" s="148">
        <f t="shared" si="170"/>
        <v>100</v>
      </c>
      <c r="E109" s="148">
        <f t="shared" si="146"/>
        <v>604.06150506033055</v>
      </c>
      <c r="F109" s="148">
        <f t="shared" si="168"/>
        <v>0</v>
      </c>
      <c r="G109" s="148">
        <f>IF(SUM(E109,F109)&lt;Z109,IF(SUM(E109,F109,D109)&lt;Z109,D109,Z109-E109-F109),0)</f>
        <v>0</v>
      </c>
      <c r="H109" s="148">
        <f>SUM(E109:G109)</f>
        <v>604.06150506033055</v>
      </c>
      <c r="I109" s="148">
        <f>'Seasonal (WITH)'!I109</f>
        <v>29</v>
      </c>
      <c r="J109" s="148">
        <f>'Seasonal (WITH)'!J109</f>
        <v>33</v>
      </c>
      <c r="K109" s="148">
        <f>'Seasonal (WITH)'!K109</f>
        <v>40</v>
      </c>
      <c r="L109" s="148">
        <f>P109/Y109</f>
        <v>31.03</v>
      </c>
      <c r="M109" s="148">
        <f>E109*I109</f>
        <v>17517.783646749587</v>
      </c>
      <c r="N109" s="148">
        <f t="shared" si="143"/>
        <v>0</v>
      </c>
      <c r="O109" s="148">
        <f t="shared" si="144"/>
        <v>0</v>
      </c>
      <c r="P109" s="148">
        <f>SUM(M109:O109)</f>
        <v>17517.783646749587</v>
      </c>
      <c r="Q109" s="7">
        <f>Y109*'LOAD DATA and INPUT SEASONAL'!$E$12*1000</f>
        <v>49285.540391209193</v>
      </c>
      <c r="R109" s="153"/>
      <c r="S109" s="148">
        <f t="shared" si="151"/>
        <v>49285.540391209193</v>
      </c>
      <c r="T109" s="154">
        <f>'Seasonal (WITH)'!T109</f>
        <v>2.8227173133660308</v>
      </c>
      <c r="U109" s="148"/>
      <c r="V109" s="148">
        <f t="shared" si="152"/>
        <v>2.8227173133660308</v>
      </c>
      <c r="W109" s="148">
        <f>'Seasonal (WITH)'!W109</f>
        <v>561.72074535984007</v>
      </c>
      <c r="X109" s="148">
        <f>'Seasonal (WITH)'!X109</f>
        <v>0</v>
      </c>
      <c r="Y109" s="148">
        <f>SUM(V109:X109)</f>
        <v>564.54346267320614</v>
      </c>
      <c r="Z109" s="148">
        <f>Y109*1.07</f>
        <v>604.06150506033055</v>
      </c>
      <c r="AA109" s="148" t="b">
        <f>Z109=H109</f>
        <v>1</v>
      </c>
      <c r="AB109" s="148">
        <f>V109*L109</f>
        <v>87.588918233747933</v>
      </c>
      <c r="AC109" s="148">
        <f>W109*$L109</f>
        <v>17430.194728515839</v>
      </c>
      <c r="AD109" s="148">
        <f>X109*$L109</f>
        <v>0</v>
      </c>
      <c r="AE109" s="148">
        <f>SUM(AB109:AD109)</f>
        <v>17517.783646749587</v>
      </c>
      <c r="AF109" s="148">
        <f>$S109/$Y109*V109</f>
        <v>246.42770195604598</v>
      </c>
      <c r="AG109" s="148">
        <f t="shared" si="161"/>
        <v>49039.112689253147</v>
      </c>
      <c r="AH109" s="148">
        <f t="shared" si="162"/>
        <v>0</v>
      </c>
      <c r="AI109" s="148">
        <f>SUM(AF109:AH109)</f>
        <v>49285.540391209193</v>
      </c>
      <c r="AJ109" s="148">
        <f>AB109+AF109</f>
        <v>334.01662018979391</v>
      </c>
      <c r="AK109" s="148">
        <f>AC109+AG109</f>
        <v>66469.307417768985</v>
      </c>
      <c r="AL109" s="148">
        <f>AD109+AH109</f>
        <v>0</v>
      </c>
      <c r="AM109" s="148">
        <f>SUM(AJ109:AL109)</f>
        <v>66803.324037958781</v>
      </c>
    </row>
    <row r="110" spans="1:39" s="66" customFormat="1" x14ac:dyDescent="0.25">
      <c r="A110" s="66" t="s">
        <v>36</v>
      </c>
      <c r="B110" s="66">
        <f t="shared" ref="B110:AA110" si="189">SUM(B86:B109)</f>
        <v>24000</v>
      </c>
      <c r="C110" s="66">
        <f t="shared" si="189"/>
        <v>12000</v>
      </c>
      <c r="D110" s="66">
        <f t="shared" si="189"/>
        <v>2400</v>
      </c>
      <c r="E110" s="66">
        <f t="shared" si="189"/>
        <v>16409.802800224465</v>
      </c>
      <c r="F110" s="66">
        <f t="shared" si="189"/>
        <v>14.739258510618697</v>
      </c>
      <c r="G110" s="66">
        <f t="shared" si="189"/>
        <v>0</v>
      </c>
      <c r="H110" s="66">
        <f t="shared" si="189"/>
        <v>16424.542058735085</v>
      </c>
      <c r="I110" s="66">
        <f t="shared" si="189"/>
        <v>696</v>
      </c>
      <c r="J110" s="66">
        <f t="shared" si="189"/>
        <v>792</v>
      </c>
      <c r="K110" s="66">
        <f t="shared" si="189"/>
        <v>960</v>
      </c>
      <c r="L110" s="66">
        <f t="shared" si="189"/>
        <v>744.7821677203242</v>
      </c>
      <c r="M110" s="66">
        <f t="shared" si="189"/>
        <v>475884.28120650945</v>
      </c>
      <c r="N110" s="66">
        <f t="shared" si="189"/>
        <v>486.395530850417</v>
      </c>
      <c r="O110" s="66">
        <f t="shared" si="189"/>
        <v>0</v>
      </c>
      <c r="P110" s="66">
        <f t="shared" si="189"/>
        <v>476370.67673735984</v>
      </c>
      <c r="Q110" s="66">
        <f t="shared" si="189"/>
        <v>1340082.7966384885</v>
      </c>
      <c r="R110" s="66">
        <f t="shared" si="189"/>
        <v>0</v>
      </c>
      <c r="S110" s="66">
        <f t="shared" si="189"/>
        <v>1340082.7966384885</v>
      </c>
      <c r="T110" s="66">
        <f t="shared" si="189"/>
        <v>76.750196536145253</v>
      </c>
      <c r="U110" s="66">
        <f t="shared" si="189"/>
        <v>0</v>
      </c>
      <c r="V110" s="66">
        <f t="shared" si="189"/>
        <v>76.750196536145253</v>
      </c>
      <c r="W110" s="66">
        <f t="shared" si="189"/>
        <v>15273.289110692904</v>
      </c>
      <c r="X110" s="66">
        <f t="shared" si="189"/>
        <v>0</v>
      </c>
      <c r="Y110" s="66">
        <f t="shared" si="189"/>
        <v>15350.03930722905</v>
      </c>
      <c r="Z110" s="66">
        <f t="shared" si="189"/>
        <v>16424.542058735085</v>
      </c>
      <c r="AA110" s="66">
        <f t="shared" si="189"/>
        <v>0</v>
      </c>
      <c r="AB110" s="66">
        <f>SUM(AB86:AB109)</f>
        <v>2381.8533836867996</v>
      </c>
      <c r="AC110" s="66">
        <f t="shared" ref="AC110:AL110" si="190">SUM(AC86:AC109)</f>
        <v>473988.82335367322</v>
      </c>
      <c r="AD110" s="66">
        <f t="shared" si="190"/>
        <v>0</v>
      </c>
      <c r="AE110" s="66">
        <f t="shared" si="190"/>
        <v>476370.67673735984</v>
      </c>
      <c r="AF110" s="66">
        <f t="shared" si="190"/>
        <v>6700.4139831924422</v>
      </c>
      <c r="AG110" s="66">
        <f t="shared" si="190"/>
        <v>1333382.382655296</v>
      </c>
      <c r="AH110" s="66">
        <f t="shared" si="190"/>
        <v>0</v>
      </c>
      <c r="AI110" s="66">
        <f t="shared" si="190"/>
        <v>1340082.7966384888</v>
      </c>
      <c r="AJ110" s="66">
        <f t="shared" si="190"/>
        <v>9082.2673668792431</v>
      </c>
      <c r="AK110" s="66">
        <f t="shared" si="190"/>
        <v>1807371.2060089689</v>
      </c>
      <c r="AL110" s="66">
        <f t="shared" si="190"/>
        <v>0</v>
      </c>
      <c r="AM110" s="66">
        <f>SUM(AM86:AM109)</f>
        <v>1816453.4733758487</v>
      </c>
    </row>
    <row r="112" spans="1:39" x14ac:dyDescent="0.25">
      <c r="AB112" s="199" t="s">
        <v>17</v>
      </c>
      <c r="AC112" s="200"/>
      <c r="AD112" s="200"/>
      <c r="AE112" s="201"/>
      <c r="AF112" s="199" t="s">
        <v>18</v>
      </c>
      <c r="AG112" s="200"/>
      <c r="AH112" s="200"/>
      <c r="AI112" s="201"/>
      <c r="AJ112" s="199" t="s">
        <v>19</v>
      </c>
      <c r="AK112" s="200"/>
      <c r="AL112" s="200"/>
      <c r="AM112" s="201"/>
    </row>
    <row r="113" spans="1:39" x14ac:dyDescent="0.25">
      <c r="AB113" s="156" t="s">
        <v>26</v>
      </c>
      <c r="AC113" s="68" t="s">
        <v>2</v>
      </c>
      <c r="AD113" s="68" t="s">
        <v>3</v>
      </c>
      <c r="AE113" s="157" t="s">
        <v>6</v>
      </c>
      <c r="AF113" s="156" t="s">
        <v>26</v>
      </c>
      <c r="AG113" s="68" t="s">
        <v>2</v>
      </c>
      <c r="AH113" s="68" t="s">
        <v>3</v>
      </c>
      <c r="AI113" s="157" t="s">
        <v>6</v>
      </c>
      <c r="AJ113" s="156" t="s">
        <v>26</v>
      </c>
      <c r="AK113" s="68" t="s">
        <v>2</v>
      </c>
      <c r="AL113" s="68" t="s">
        <v>3</v>
      </c>
      <c r="AM113" s="157" t="s">
        <v>6</v>
      </c>
    </row>
    <row r="114" spans="1:39" s="66" customFormat="1" x14ac:dyDescent="0.25">
      <c r="A114" s="66" t="s">
        <v>44</v>
      </c>
      <c r="B114" s="145"/>
      <c r="C114" s="145"/>
      <c r="D114" s="145"/>
      <c r="E114" s="159">
        <f t="shared" ref="E114:Z114" si="191">E29</f>
        <v>18516.734984664454</v>
      </c>
      <c r="F114" s="159">
        <f t="shared" si="191"/>
        <v>491.56347996407123</v>
      </c>
      <c r="G114" s="159">
        <f t="shared" si="191"/>
        <v>0</v>
      </c>
      <c r="H114" s="159">
        <f t="shared" si="191"/>
        <v>19008.298464628529</v>
      </c>
      <c r="I114" s="159">
        <f t="shared" si="191"/>
        <v>696</v>
      </c>
      <c r="J114" s="159">
        <f t="shared" si="191"/>
        <v>792</v>
      </c>
      <c r="K114" s="159">
        <f t="shared" si="191"/>
        <v>960</v>
      </c>
      <c r="L114" s="159">
        <f t="shared" si="191"/>
        <v>746.60206123233343</v>
      </c>
      <c r="M114" s="159">
        <f t="shared" si="191"/>
        <v>536985.3145552692</v>
      </c>
      <c r="N114" s="159">
        <f t="shared" si="191"/>
        <v>16221.594838814352</v>
      </c>
      <c r="O114" s="159">
        <f t="shared" si="191"/>
        <v>0</v>
      </c>
      <c r="P114" s="159">
        <f t="shared" si="191"/>
        <v>553206.90939408343</v>
      </c>
      <c r="Q114" s="159">
        <f t="shared" si="191"/>
        <v>1550892.175546003</v>
      </c>
      <c r="R114" s="159">
        <f t="shared" si="191"/>
        <v>0</v>
      </c>
      <c r="S114" s="159">
        <f t="shared" si="191"/>
        <v>1550892.175546003</v>
      </c>
      <c r="T114" s="159">
        <f t="shared" si="191"/>
        <v>88.823824601067869</v>
      </c>
      <c r="U114" s="159">
        <f t="shared" si="191"/>
        <v>0</v>
      </c>
      <c r="V114" s="159">
        <f t="shared" si="191"/>
        <v>88.823824601067869</v>
      </c>
      <c r="W114" s="159">
        <f t="shared" si="191"/>
        <v>17675.941095612507</v>
      </c>
      <c r="X114" s="159">
        <f t="shared" si="191"/>
        <v>0</v>
      </c>
      <c r="Y114" s="159">
        <f t="shared" si="191"/>
        <v>17764.76492021358</v>
      </c>
      <c r="Z114" s="159">
        <f t="shared" si="191"/>
        <v>19008.298464628529</v>
      </c>
      <c r="AA114" s="159">
        <f>AA29</f>
        <v>0</v>
      </c>
      <c r="AB114" s="161">
        <f t="shared" ref="AB114:AM114" si="192">AB29</f>
        <v>2766.034546970418</v>
      </c>
      <c r="AC114" s="159">
        <f t="shared" si="192"/>
        <v>550440.87484711315</v>
      </c>
      <c r="AD114" s="159">
        <f t="shared" si="192"/>
        <v>0</v>
      </c>
      <c r="AE114" s="160">
        <f t="shared" si="192"/>
        <v>553206.90939408343</v>
      </c>
      <c r="AF114" s="161">
        <f t="shared" si="192"/>
        <v>7754.4608777300164</v>
      </c>
      <c r="AG114" s="159">
        <f t="shared" si="192"/>
        <v>1543137.7146682728</v>
      </c>
      <c r="AH114" s="159">
        <f t="shared" si="192"/>
        <v>0</v>
      </c>
      <c r="AI114" s="160">
        <f t="shared" si="192"/>
        <v>1550892.1755460028</v>
      </c>
      <c r="AJ114" s="161">
        <f t="shared" si="192"/>
        <v>10520.495424700432</v>
      </c>
      <c r="AK114" s="159">
        <f t="shared" si="192"/>
        <v>2093578.5895153857</v>
      </c>
      <c r="AL114" s="159">
        <f t="shared" si="192"/>
        <v>0</v>
      </c>
      <c r="AM114" s="160">
        <f t="shared" si="192"/>
        <v>2104099.0849400866</v>
      </c>
    </row>
    <row r="115" spans="1:39" s="66" customFormat="1" x14ac:dyDescent="0.25">
      <c r="A115" s="66" t="s">
        <v>45</v>
      </c>
      <c r="B115" s="145"/>
      <c r="C115" s="145"/>
      <c r="D115" s="145"/>
      <c r="E115" s="159">
        <f t="shared" ref="E115:AA115" si="193">E56</f>
        <v>15318.567543033823</v>
      </c>
      <c r="F115" s="159">
        <f t="shared" si="193"/>
        <v>0</v>
      </c>
      <c r="G115" s="159">
        <f t="shared" si="193"/>
        <v>0</v>
      </c>
      <c r="H115" s="159">
        <f t="shared" si="193"/>
        <v>15318.567543033823</v>
      </c>
      <c r="I115" s="159">
        <f t="shared" si="193"/>
        <v>696</v>
      </c>
      <c r="J115" s="159">
        <f t="shared" si="193"/>
        <v>792</v>
      </c>
      <c r="K115" s="159">
        <f t="shared" si="193"/>
        <v>960</v>
      </c>
      <c r="L115" s="159">
        <f t="shared" si="193"/>
        <v>744.71999999999969</v>
      </c>
      <c r="M115" s="159">
        <f t="shared" si="193"/>
        <v>444238.45874798088</v>
      </c>
      <c r="N115" s="159">
        <f t="shared" si="193"/>
        <v>0</v>
      </c>
      <c r="O115" s="159">
        <f t="shared" si="193"/>
        <v>0</v>
      </c>
      <c r="P115" s="159">
        <f t="shared" si="193"/>
        <v>444238.45874798088</v>
      </c>
      <c r="Q115" s="159">
        <f t="shared" si="193"/>
        <v>1249846.0389430968</v>
      </c>
      <c r="R115" s="159">
        <f t="shared" si="193"/>
        <v>0</v>
      </c>
      <c r="S115" s="159">
        <f t="shared" si="193"/>
        <v>1249846.0389430968</v>
      </c>
      <c r="T115" s="159">
        <f t="shared" si="193"/>
        <v>71.582091322587956</v>
      </c>
      <c r="U115" s="159">
        <f t="shared" si="193"/>
        <v>0</v>
      </c>
      <c r="V115" s="159">
        <f t="shared" si="193"/>
        <v>71.582091322587956</v>
      </c>
      <c r="W115" s="159">
        <f t="shared" si="193"/>
        <v>14244.836173195003</v>
      </c>
      <c r="X115" s="159">
        <f t="shared" si="193"/>
        <v>0</v>
      </c>
      <c r="Y115" s="159">
        <f t="shared" si="193"/>
        <v>14316.418264517592</v>
      </c>
      <c r="Z115" s="159">
        <f t="shared" si="193"/>
        <v>15318.567543033823</v>
      </c>
      <c r="AA115" s="159">
        <f t="shared" si="193"/>
        <v>0</v>
      </c>
      <c r="AB115" s="161">
        <f t="shared" ref="AB115:AM115" si="194">AB56</f>
        <v>2221.192293739904</v>
      </c>
      <c r="AC115" s="159">
        <f t="shared" si="194"/>
        <v>442017.26645424089</v>
      </c>
      <c r="AD115" s="159">
        <f t="shared" si="194"/>
        <v>0</v>
      </c>
      <c r="AE115" s="160">
        <f t="shared" si="194"/>
        <v>444238.45874798088</v>
      </c>
      <c r="AF115" s="161">
        <f t="shared" si="194"/>
        <v>6249.2301947154838</v>
      </c>
      <c r="AG115" s="159">
        <f t="shared" si="194"/>
        <v>1243596.8087483814</v>
      </c>
      <c r="AH115" s="159">
        <f t="shared" si="194"/>
        <v>0</v>
      </c>
      <c r="AI115" s="160">
        <f t="shared" si="194"/>
        <v>1249846.0389430968</v>
      </c>
      <c r="AJ115" s="161">
        <f t="shared" si="194"/>
        <v>8470.4224884553878</v>
      </c>
      <c r="AK115" s="159">
        <f t="shared" si="194"/>
        <v>1685614.0752026222</v>
      </c>
      <c r="AL115" s="159">
        <f t="shared" si="194"/>
        <v>0</v>
      </c>
      <c r="AM115" s="160">
        <f t="shared" si="194"/>
        <v>1694084.4976910781</v>
      </c>
    </row>
    <row r="116" spans="1:39" s="66" customFormat="1" x14ac:dyDescent="0.25">
      <c r="A116" s="66" t="s">
        <v>46</v>
      </c>
      <c r="B116" s="145"/>
      <c r="C116" s="145"/>
      <c r="D116" s="145"/>
      <c r="E116" s="159">
        <f t="shared" ref="E116:AA116" si="195">E83</f>
        <v>19356.89832310599</v>
      </c>
      <c r="F116" s="159">
        <f t="shared" si="195"/>
        <v>3632.5298806035134</v>
      </c>
      <c r="G116" s="159">
        <f t="shared" si="195"/>
        <v>133.1363326327953</v>
      </c>
      <c r="H116" s="159">
        <f t="shared" si="195"/>
        <v>23122.564536342299</v>
      </c>
      <c r="I116" s="159">
        <f t="shared" si="195"/>
        <v>696</v>
      </c>
      <c r="J116" s="159">
        <f t="shared" si="195"/>
        <v>792</v>
      </c>
      <c r="K116" s="159">
        <f t="shared" si="195"/>
        <v>960</v>
      </c>
      <c r="L116" s="159">
        <f t="shared" si="195"/>
        <v>756.76048277933717</v>
      </c>
      <c r="M116" s="159">
        <f t="shared" si="195"/>
        <v>561350.05137007369</v>
      </c>
      <c r="N116" s="159">
        <f t="shared" si="195"/>
        <v>119873.48605991594</v>
      </c>
      <c r="O116" s="159">
        <f t="shared" si="195"/>
        <v>5325.4533053118121</v>
      </c>
      <c r="P116" s="159">
        <f t="shared" si="195"/>
        <v>686548.99073530128</v>
      </c>
      <c r="Q116" s="159">
        <f t="shared" si="195"/>
        <v>1886576.2490367955</v>
      </c>
      <c r="R116" s="159">
        <f t="shared" si="195"/>
        <v>0</v>
      </c>
      <c r="S116" s="159">
        <f t="shared" si="195"/>
        <v>1886576.2490367955</v>
      </c>
      <c r="T116" s="159">
        <f t="shared" si="195"/>
        <v>108.04936699225374</v>
      </c>
      <c r="U116" s="159">
        <f t="shared" si="195"/>
        <v>0</v>
      </c>
      <c r="V116" s="159">
        <f t="shared" si="195"/>
        <v>108.04936699225374</v>
      </c>
      <c r="W116" s="159">
        <f t="shared" si="195"/>
        <v>21501.824031458491</v>
      </c>
      <c r="X116" s="159">
        <f t="shared" si="195"/>
        <v>0</v>
      </c>
      <c r="Y116" s="159">
        <f t="shared" si="195"/>
        <v>21609.873398450745</v>
      </c>
      <c r="Z116" s="159">
        <f t="shared" si="195"/>
        <v>23122.564536342299</v>
      </c>
      <c r="AA116" s="159">
        <f t="shared" si="195"/>
        <v>0</v>
      </c>
      <c r="AB116" s="161">
        <f t="shared" ref="AB116:AM116" si="196">AB83</f>
        <v>3432.7449536765066</v>
      </c>
      <c r="AC116" s="159">
        <f t="shared" si="196"/>
        <v>683116.24578162481</v>
      </c>
      <c r="AD116" s="159">
        <f t="shared" si="196"/>
        <v>0</v>
      </c>
      <c r="AE116" s="160">
        <f t="shared" si="196"/>
        <v>686548.9907353014</v>
      </c>
      <c r="AF116" s="161">
        <f t="shared" si="196"/>
        <v>9432.8812451839767</v>
      </c>
      <c r="AG116" s="159">
        <f t="shared" si="196"/>
        <v>1877143.3677916112</v>
      </c>
      <c r="AH116" s="159">
        <f t="shared" si="196"/>
        <v>0</v>
      </c>
      <c r="AI116" s="160">
        <f t="shared" si="196"/>
        <v>1886576.2490367955</v>
      </c>
      <c r="AJ116" s="161">
        <f t="shared" si="196"/>
        <v>12865.626198860484</v>
      </c>
      <c r="AK116" s="159">
        <f t="shared" si="196"/>
        <v>2560259.6135732369</v>
      </c>
      <c r="AL116" s="159">
        <f t="shared" si="196"/>
        <v>0</v>
      </c>
      <c r="AM116" s="160">
        <f t="shared" si="196"/>
        <v>2573125.2397720967</v>
      </c>
    </row>
    <row r="117" spans="1:39" s="66" customFormat="1" x14ac:dyDescent="0.25">
      <c r="A117" s="66" t="s">
        <v>47</v>
      </c>
      <c r="B117" s="145"/>
      <c r="C117" s="145"/>
      <c r="D117" s="145"/>
      <c r="E117" s="159">
        <f t="shared" ref="E117:AA117" si="197">E110</f>
        <v>16409.802800224465</v>
      </c>
      <c r="F117" s="159">
        <f t="shared" si="197"/>
        <v>14.739258510618697</v>
      </c>
      <c r="G117" s="159">
        <f t="shared" si="197"/>
        <v>0</v>
      </c>
      <c r="H117" s="159">
        <f t="shared" si="197"/>
        <v>16424.542058735085</v>
      </c>
      <c r="I117" s="159">
        <f t="shared" si="197"/>
        <v>696</v>
      </c>
      <c r="J117" s="159">
        <f t="shared" si="197"/>
        <v>792</v>
      </c>
      <c r="K117" s="159">
        <f t="shared" si="197"/>
        <v>960</v>
      </c>
      <c r="L117" s="159">
        <f t="shared" si="197"/>
        <v>744.7821677203242</v>
      </c>
      <c r="M117" s="159">
        <f t="shared" si="197"/>
        <v>475884.28120650945</v>
      </c>
      <c r="N117" s="159">
        <f t="shared" si="197"/>
        <v>486.395530850417</v>
      </c>
      <c r="O117" s="159">
        <f t="shared" si="197"/>
        <v>0</v>
      </c>
      <c r="P117" s="159">
        <f t="shared" si="197"/>
        <v>476370.67673735984</v>
      </c>
      <c r="Q117" s="159">
        <f t="shared" si="197"/>
        <v>1340082.7966384885</v>
      </c>
      <c r="R117" s="159">
        <f t="shared" si="197"/>
        <v>0</v>
      </c>
      <c r="S117" s="159">
        <f t="shared" si="197"/>
        <v>1340082.7966384885</v>
      </c>
      <c r="T117" s="159">
        <f t="shared" si="197"/>
        <v>76.750196536145253</v>
      </c>
      <c r="U117" s="159">
        <f t="shared" si="197"/>
        <v>0</v>
      </c>
      <c r="V117" s="159">
        <f t="shared" si="197"/>
        <v>76.750196536145253</v>
      </c>
      <c r="W117" s="159">
        <f t="shared" si="197"/>
        <v>15273.289110692904</v>
      </c>
      <c r="X117" s="159">
        <f t="shared" si="197"/>
        <v>0</v>
      </c>
      <c r="Y117" s="159">
        <f t="shared" si="197"/>
        <v>15350.03930722905</v>
      </c>
      <c r="Z117" s="159">
        <f t="shared" si="197"/>
        <v>16424.542058735085</v>
      </c>
      <c r="AA117" s="159">
        <f t="shared" si="197"/>
        <v>0</v>
      </c>
      <c r="AB117" s="161">
        <f t="shared" ref="AB117:AM117" si="198">AB110</f>
        <v>2381.8533836867996</v>
      </c>
      <c r="AC117" s="159">
        <f t="shared" si="198"/>
        <v>473988.82335367322</v>
      </c>
      <c r="AD117" s="159">
        <f t="shared" si="198"/>
        <v>0</v>
      </c>
      <c r="AE117" s="160">
        <f t="shared" si="198"/>
        <v>476370.67673735984</v>
      </c>
      <c r="AF117" s="161">
        <f t="shared" si="198"/>
        <v>6700.4139831924422</v>
      </c>
      <c r="AG117" s="159">
        <f t="shared" si="198"/>
        <v>1333382.382655296</v>
      </c>
      <c r="AH117" s="159">
        <f t="shared" si="198"/>
        <v>0</v>
      </c>
      <c r="AI117" s="160">
        <f t="shared" si="198"/>
        <v>1340082.7966384888</v>
      </c>
      <c r="AJ117" s="161">
        <f t="shared" si="198"/>
        <v>9082.2673668792431</v>
      </c>
      <c r="AK117" s="159">
        <f t="shared" si="198"/>
        <v>1807371.2060089689</v>
      </c>
      <c r="AL117" s="159">
        <f t="shared" si="198"/>
        <v>0</v>
      </c>
      <c r="AM117" s="160">
        <f t="shared" si="198"/>
        <v>1816453.4733758487</v>
      </c>
    </row>
    <row r="118" spans="1:39" x14ac:dyDescent="0.25">
      <c r="AB118" s="161"/>
      <c r="AC118" s="159"/>
      <c r="AD118" s="159"/>
      <c r="AE118" s="160"/>
      <c r="AF118" s="161"/>
      <c r="AG118" s="159"/>
      <c r="AH118" s="159"/>
      <c r="AI118" s="160"/>
      <c r="AJ118" s="161"/>
      <c r="AK118" s="159"/>
      <c r="AL118" s="159"/>
      <c r="AM118" s="160"/>
    </row>
    <row r="119" spans="1:39" s="66" customFormat="1" x14ac:dyDescent="0.25">
      <c r="A119" s="66" t="s">
        <v>48</v>
      </c>
      <c r="B119" s="145"/>
      <c r="C119" s="145"/>
      <c r="D119" s="145"/>
      <c r="E119" s="164">
        <f t="shared" ref="E119:Y122" si="199">E114*91.25</f>
        <v>1689652.0673506313</v>
      </c>
      <c r="F119" s="164">
        <f t="shared" si="199"/>
        <v>44855.167546721503</v>
      </c>
      <c r="G119" s="164">
        <f t="shared" si="199"/>
        <v>0</v>
      </c>
      <c r="H119" s="164">
        <f t="shared" si="199"/>
        <v>1734507.2348973532</v>
      </c>
      <c r="I119" s="164">
        <f t="shared" si="199"/>
        <v>63510</v>
      </c>
      <c r="J119" s="164">
        <f t="shared" si="199"/>
        <v>72270</v>
      </c>
      <c r="K119" s="164">
        <f t="shared" si="199"/>
        <v>87600</v>
      </c>
      <c r="L119" s="164">
        <f t="shared" si="199"/>
        <v>68127.438087450428</v>
      </c>
      <c r="M119" s="164">
        <f t="shared" si="199"/>
        <v>48999909.953168318</v>
      </c>
      <c r="N119" s="164">
        <f t="shared" si="199"/>
        <v>1480220.5290418095</v>
      </c>
      <c r="O119" s="164">
        <f t="shared" si="199"/>
        <v>0</v>
      </c>
      <c r="P119" s="164">
        <f t="shared" si="199"/>
        <v>50480130.482210115</v>
      </c>
      <c r="Q119" s="164">
        <f t="shared" si="199"/>
        <v>141518911.01857278</v>
      </c>
      <c r="R119" s="164">
        <f t="shared" si="199"/>
        <v>0</v>
      </c>
      <c r="S119" s="164">
        <f t="shared" si="199"/>
        <v>141518911.01857278</v>
      </c>
      <c r="T119" s="164">
        <f t="shared" si="199"/>
        <v>8105.1739948474433</v>
      </c>
      <c r="U119" s="164">
        <f t="shared" si="199"/>
        <v>0</v>
      </c>
      <c r="V119" s="164">
        <f t="shared" si="199"/>
        <v>8105.1739948474433</v>
      </c>
      <c r="W119" s="164">
        <f t="shared" si="199"/>
        <v>1612929.6249746413</v>
      </c>
      <c r="X119" s="164">
        <f t="shared" si="199"/>
        <v>0</v>
      </c>
      <c r="Y119" s="164">
        <f t="shared" si="199"/>
        <v>1621034.7989694891</v>
      </c>
      <c r="Z119" s="164">
        <f>Z114*91.25</f>
        <v>1734507.2348973532</v>
      </c>
      <c r="AB119" s="166">
        <f>AB114*91.25</f>
        <v>252400.65241105063</v>
      </c>
      <c r="AC119" s="166">
        <f t="shared" ref="AB119:AM122" si="200">AC114*91.25</f>
        <v>50227729.829799078</v>
      </c>
      <c r="AD119" s="166">
        <f t="shared" si="200"/>
        <v>0</v>
      </c>
      <c r="AE119" s="166">
        <f t="shared" si="200"/>
        <v>50480130.482210115</v>
      </c>
      <c r="AF119" s="166">
        <f t="shared" si="200"/>
        <v>707594.55509286397</v>
      </c>
      <c r="AG119" s="166">
        <f t="shared" si="200"/>
        <v>140811316.46347988</v>
      </c>
      <c r="AH119" s="166">
        <f t="shared" si="200"/>
        <v>0</v>
      </c>
      <c r="AI119" s="166">
        <f>AI114*91.25</f>
        <v>141518911.01857275</v>
      </c>
      <c r="AJ119" s="166">
        <f t="shared" si="200"/>
        <v>959995.20750391437</v>
      </c>
      <c r="AK119" s="166">
        <f t="shared" si="200"/>
        <v>191039046.29327893</v>
      </c>
      <c r="AL119" s="166">
        <f t="shared" si="200"/>
        <v>0</v>
      </c>
      <c r="AM119" s="166">
        <f t="shared" si="200"/>
        <v>191999041.50078291</v>
      </c>
    </row>
    <row r="120" spans="1:39" s="66" customFormat="1" x14ac:dyDescent="0.25">
      <c r="A120" s="66" t="s">
        <v>49</v>
      </c>
      <c r="B120" s="145"/>
      <c r="C120" s="145"/>
      <c r="D120" s="145"/>
      <c r="E120" s="164">
        <f t="shared" si="199"/>
        <v>1397819.2883018365</v>
      </c>
      <c r="F120" s="164">
        <f t="shared" si="199"/>
        <v>0</v>
      </c>
      <c r="G120" s="164">
        <f t="shared" si="199"/>
        <v>0</v>
      </c>
      <c r="H120" s="164">
        <f t="shared" si="199"/>
        <v>1397819.2883018365</v>
      </c>
      <c r="I120" s="164">
        <f t="shared" si="199"/>
        <v>63510</v>
      </c>
      <c r="J120" s="164">
        <f t="shared" si="199"/>
        <v>72270</v>
      </c>
      <c r="K120" s="164">
        <f t="shared" si="199"/>
        <v>87600</v>
      </c>
      <c r="L120" s="164">
        <f t="shared" si="199"/>
        <v>67955.699999999968</v>
      </c>
      <c r="M120" s="164">
        <f t="shared" si="199"/>
        <v>40536759.360753253</v>
      </c>
      <c r="N120" s="164">
        <f t="shared" si="199"/>
        <v>0</v>
      </c>
      <c r="O120" s="164">
        <f t="shared" si="199"/>
        <v>0</v>
      </c>
      <c r="P120" s="164">
        <f t="shared" si="199"/>
        <v>40536759.360753253</v>
      </c>
      <c r="Q120" s="164">
        <f t="shared" si="199"/>
        <v>114048451.05355757</v>
      </c>
      <c r="R120" s="164">
        <f t="shared" si="199"/>
        <v>0</v>
      </c>
      <c r="S120" s="164">
        <f t="shared" si="199"/>
        <v>114048451.05355757</v>
      </c>
      <c r="T120" s="164">
        <f t="shared" si="199"/>
        <v>6531.8658331861507</v>
      </c>
      <c r="U120" s="164">
        <f t="shared" si="199"/>
        <v>0</v>
      </c>
      <c r="V120" s="164">
        <f t="shared" si="199"/>
        <v>6531.8658331861507</v>
      </c>
      <c r="W120" s="164">
        <f t="shared" si="199"/>
        <v>1299841.3008040439</v>
      </c>
      <c r="X120" s="164">
        <f t="shared" si="199"/>
        <v>0</v>
      </c>
      <c r="Y120" s="164">
        <f t="shared" si="199"/>
        <v>1306373.1666372302</v>
      </c>
      <c r="Z120" s="164">
        <f t="shared" ref="Z120:Z122" si="201">Z115*91.25</f>
        <v>1397819.2883018365</v>
      </c>
      <c r="AB120" s="166">
        <f t="shared" si="200"/>
        <v>202683.79680376625</v>
      </c>
      <c r="AC120" s="166">
        <f t="shared" si="200"/>
        <v>40334075.563949481</v>
      </c>
      <c r="AD120" s="166">
        <f t="shared" si="200"/>
        <v>0</v>
      </c>
      <c r="AE120" s="166">
        <f t="shared" si="200"/>
        <v>40536759.360753253</v>
      </c>
      <c r="AF120" s="166">
        <f t="shared" si="200"/>
        <v>570242.25526778784</v>
      </c>
      <c r="AG120" s="166">
        <f t="shared" si="200"/>
        <v>113478208.79828981</v>
      </c>
      <c r="AH120" s="166">
        <f t="shared" si="200"/>
        <v>0</v>
      </c>
      <c r="AI120" s="166">
        <f t="shared" si="200"/>
        <v>114048451.05355757</v>
      </c>
      <c r="AJ120" s="166">
        <f t="shared" si="200"/>
        <v>772926.05207155412</v>
      </c>
      <c r="AK120" s="166">
        <f t="shared" si="200"/>
        <v>153812284.36223927</v>
      </c>
      <c r="AL120" s="166">
        <f t="shared" si="200"/>
        <v>0</v>
      </c>
      <c r="AM120" s="166">
        <f t="shared" si="200"/>
        <v>154585210.41431087</v>
      </c>
    </row>
    <row r="121" spans="1:39" s="66" customFormat="1" x14ac:dyDescent="0.25">
      <c r="A121" s="66" t="s">
        <v>50</v>
      </c>
      <c r="B121" s="145"/>
      <c r="C121" s="145"/>
      <c r="D121" s="145"/>
      <c r="E121" s="164">
        <f t="shared" si="199"/>
        <v>1766316.9719834216</v>
      </c>
      <c r="F121" s="164">
        <f t="shared" si="199"/>
        <v>331468.35160507058</v>
      </c>
      <c r="G121" s="164">
        <f t="shared" si="199"/>
        <v>12148.690352742571</v>
      </c>
      <c r="H121" s="164">
        <f t="shared" si="199"/>
        <v>2109934.0139412349</v>
      </c>
      <c r="I121" s="164">
        <f t="shared" si="199"/>
        <v>63510</v>
      </c>
      <c r="J121" s="164">
        <f t="shared" si="199"/>
        <v>72270</v>
      </c>
      <c r="K121" s="164">
        <f t="shared" si="199"/>
        <v>87600</v>
      </c>
      <c r="L121" s="164">
        <f t="shared" si="199"/>
        <v>69054.394053614524</v>
      </c>
      <c r="M121" s="164">
        <f t="shared" si="199"/>
        <v>51223192.187519222</v>
      </c>
      <c r="N121" s="164">
        <f t="shared" si="199"/>
        <v>10938455.602967329</v>
      </c>
      <c r="O121" s="164">
        <f t="shared" si="199"/>
        <v>485947.61410970287</v>
      </c>
      <c r="P121" s="164">
        <f t="shared" si="199"/>
        <v>62647595.404596239</v>
      </c>
      <c r="Q121" s="164">
        <f t="shared" si="199"/>
        <v>172150082.72460759</v>
      </c>
      <c r="R121" s="164">
        <f t="shared" si="199"/>
        <v>0</v>
      </c>
      <c r="S121" s="164">
        <f t="shared" si="199"/>
        <v>172150082.72460759</v>
      </c>
      <c r="T121" s="164">
        <f t="shared" si="199"/>
        <v>9859.5047380431533</v>
      </c>
      <c r="U121" s="164">
        <f t="shared" si="199"/>
        <v>0</v>
      </c>
      <c r="V121" s="164">
        <f t="shared" si="199"/>
        <v>9859.5047380431533</v>
      </c>
      <c r="W121" s="164">
        <f t="shared" si="199"/>
        <v>1962041.4428705873</v>
      </c>
      <c r="X121" s="164">
        <f t="shared" si="199"/>
        <v>0</v>
      </c>
      <c r="Y121" s="164">
        <f t="shared" si="199"/>
        <v>1971900.9476086304</v>
      </c>
      <c r="Z121" s="164">
        <f t="shared" si="201"/>
        <v>2109934.0139412349</v>
      </c>
      <c r="AB121" s="166">
        <f t="shared" si="200"/>
        <v>313237.97702298121</v>
      </c>
      <c r="AC121" s="166">
        <f t="shared" si="200"/>
        <v>62334357.427573264</v>
      </c>
      <c r="AD121" s="166">
        <f t="shared" si="200"/>
        <v>0</v>
      </c>
      <c r="AE121" s="166">
        <f t="shared" si="200"/>
        <v>62647595.404596254</v>
      </c>
      <c r="AF121" s="166">
        <f t="shared" si="200"/>
        <v>860750.41362303786</v>
      </c>
      <c r="AG121" s="166">
        <f t="shared" si="200"/>
        <v>171289332.31098452</v>
      </c>
      <c r="AH121" s="166">
        <f t="shared" si="200"/>
        <v>0</v>
      </c>
      <c r="AI121" s="166">
        <f t="shared" si="200"/>
        <v>172150082.72460759</v>
      </c>
      <c r="AJ121" s="166">
        <f t="shared" si="200"/>
        <v>1173988.3906460193</v>
      </c>
      <c r="AK121" s="166">
        <f t="shared" si="200"/>
        <v>233623689.73855788</v>
      </c>
      <c r="AL121" s="166">
        <f t="shared" si="200"/>
        <v>0</v>
      </c>
      <c r="AM121" s="166">
        <f t="shared" si="200"/>
        <v>234797678.12920383</v>
      </c>
    </row>
    <row r="122" spans="1:39" s="66" customFormat="1" x14ac:dyDescent="0.25">
      <c r="A122" s="66" t="s">
        <v>51</v>
      </c>
      <c r="B122" s="145"/>
      <c r="C122" s="145"/>
      <c r="D122" s="145"/>
      <c r="E122" s="164">
        <f t="shared" si="199"/>
        <v>1497394.5055204823</v>
      </c>
      <c r="F122" s="164">
        <f t="shared" si="199"/>
        <v>1344.9573390939561</v>
      </c>
      <c r="G122" s="164">
        <f t="shared" si="199"/>
        <v>0</v>
      </c>
      <c r="H122" s="164">
        <f t="shared" si="199"/>
        <v>1498739.4628595766</v>
      </c>
      <c r="I122" s="164">
        <f t="shared" si="199"/>
        <v>63510</v>
      </c>
      <c r="J122" s="164">
        <f t="shared" si="199"/>
        <v>72270</v>
      </c>
      <c r="K122" s="164">
        <f t="shared" si="199"/>
        <v>87600</v>
      </c>
      <c r="L122" s="164">
        <f t="shared" si="199"/>
        <v>67961.372804479586</v>
      </c>
      <c r="M122" s="164">
        <f t="shared" si="199"/>
        <v>43424440.660093985</v>
      </c>
      <c r="N122" s="164">
        <f t="shared" si="199"/>
        <v>44383.592190100549</v>
      </c>
      <c r="O122" s="164">
        <f t="shared" si="199"/>
        <v>0</v>
      </c>
      <c r="P122" s="164">
        <f t="shared" si="199"/>
        <v>43468824.252284087</v>
      </c>
      <c r="Q122" s="164">
        <f t="shared" si="199"/>
        <v>122282555.19326209</v>
      </c>
      <c r="R122" s="164">
        <f t="shared" si="199"/>
        <v>0</v>
      </c>
      <c r="S122" s="164">
        <f t="shared" si="199"/>
        <v>122282555.19326209</v>
      </c>
      <c r="T122" s="164">
        <f t="shared" si="199"/>
        <v>7003.4554339232545</v>
      </c>
      <c r="U122" s="164">
        <f t="shared" si="199"/>
        <v>0</v>
      </c>
      <c r="V122" s="164">
        <f t="shared" si="199"/>
        <v>7003.4554339232545</v>
      </c>
      <c r="W122" s="164">
        <f t="shared" si="199"/>
        <v>1393687.6313507275</v>
      </c>
      <c r="X122" s="164">
        <f t="shared" si="199"/>
        <v>0</v>
      </c>
      <c r="Y122" s="164">
        <f t="shared" si="199"/>
        <v>1400691.0867846508</v>
      </c>
      <c r="Z122" s="164">
        <f t="shared" si="201"/>
        <v>1498739.4628595766</v>
      </c>
      <c r="AB122" s="166">
        <f t="shared" si="200"/>
        <v>217344.12126142046</v>
      </c>
      <c r="AC122" s="166">
        <f t="shared" si="200"/>
        <v>43251480.131022684</v>
      </c>
      <c r="AD122" s="166">
        <f t="shared" si="200"/>
        <v>0</v>
      </c>
      <c r="AE122" s="166">
        <f t="shared" si="200"/>
        <v>43468824.252284087</v>
      </c>
      <c r="AF122" s="166">
        <f t="shared" si="200"/>
        <v>611412.77596631029</v>
      </c>
      <c r="AG122" s="166">
        <f t="shared" si="200"/>
        <v>121671142.41729575</v>
      </c>
      <c r="AH122" s="166">
        <f t="shared" si="200"/>
        <v>0</v>
      </c>
      <c r="AI122" s="166">
        <f t="shared" si="200"/>
        <v>122282555.1932621</v>
      </c>
      <c r="AJ122" s="166">
        <f t="shared" si="200"/>
        <v>828756.89722773095</v>
      </c>
      <c r="AK122" s="166">
        <f t="shared" si="200"/>
        <v>164922622.54831842</v>
      </c>
      <c r="AL122" s="166">
        <f t="shared" si="200"/>
        <v>0</v>
      </c>
      <c r="AM122" s="166">
        <f t="shared" si="200"/>
        <v>165751379.44554621</v>
      </c>
    </row>
    <row r="123" spans="1:39" x14ac:dyDescent="0.25"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</row>
    <row r="124" spans="1:39" x14ac:dyDescent="0.25">
      <c r="E124" s="169">
        <f t="shared" ref="E124:AA124" si="202">SUM(E119:E122)</f>
        <v>6351182.8331563724</v>
      </c>
      <c r="F124" s="169">
        <f t="shared" si="202"/>
        <v>377668.47649088607</v>
      </c>
      <c r="G124" s="169">
        <f t="shared" si="202"/>
        <v>12148.690352742571</v>
      </c>
      <c r="H124" s="169">
        <f t="shared" si="202"/>
        <v>6741000.0000000009</v>
      </c>
      <c r="I124" s="169">
        <f t="shared" si="202"/>
        <v>254040</v>
      </c>
      <c r="J124" s="169">
        <f t="shared" si="202"/>
        <v>289080</v>
      </c>
      <c r="K124" s="169">
        <f t="shared" si="202"/>
        <v>350400</v>
      </c>
      <c r="L124" s="169">
        <f t="shared" si="202"/>
        <v>273098.90494554455</v>
      </c>
      <c r="M124" s="169">
        <f t="shared" si="202"/>
        <v>184184302.16153479</v>
      </c>
      <c r="N124" s="169">
        <f t="shared" si="202"/>
        <v>12463059.724199239</v>
      </c>
      <c r="O124" s="169">
        <f t="shared" si="202"/>
        <v>485947.61410970287</v>
      </c>
      <c r="P124" s="169">
        <f t="shared" si="202"/>
        <v>197133309.49984369</v>
      </c>
      <c r="Q124" s="169">
        <f t="shared" si="202"/>
        <v>549999999.99000001</v>
      </c>
      <c r="R124" s="169">
        <f t="shared" si="202"/>
        <v>0</v>
      </c>
      <c r="S124" s="169">
        <f t="shared" si="202"/>
        <v>549999999.99000001</v>
      </c>
      <c r="T124" s="169">
        <f t="shared" si="202"/>
        <v>31500</v>
      </c>
      <c r="U124" s="169">
        <f t="shared" si="202"/>
        <v>0</v>
      </c>
      <c r="V124" s="169">
        <f t="shared" si="202"/>
        <v>31500</v>
      </c>
      <c r="W124" s="169">
        <f t="shared" si="202"/>
        <v>6268500</v>
      </c>
      <c r="X124" s="169">
        <f t="shared" si="202"/>
        <v>0</v>
      </c>
      <c r="Y124" s="169">
        <f t="shared" si="202"/>
        <v>6300000</v>
      </c>
      <c r="Z124" s="169">
        <f t="shared" si="202"/>
        <v>6741000.0000000009</v>
      </c>
      <c r="AA124" s="169">
        <f t="shared" si="202"/>
        <v>0</v>
      </c>
      <c r="AB124" s="169">
        <f>SUM(AB119:AB122)</f>
        <v>985666.54749921849</v>
      </c>
      <c r="AC124" s="169">
        <f t="shared" ref="AC124:AM124" si="203">SUM(AC119:AC122)</f>
        <v>196147642.95234451</v>
      </c>
      <c r="AD124" s="169">
        <f t="shared" si="203"/>
        <v>0</v>
      </c>
      <c r="AE124" s="169">
        <f t="shared" si="203"/>
        <v>197133309.49984369</v>
      </c>
      <c r="AF124" s="169">
        <f t="shared" si="203"/>
        <v>2749999.9999500001</v>
      </c>
      <c r="AG124" s="169">
        <f>SUM(AG119:AG122)</f>
        <v>547249999.99004996</v>
      </c>
      <c r="AH124" s="169">
        <f t="shared" si="203"/>
        <v>0</v>
      </c>
      <c r="AI124" s="169">
        <f t="shared" si="203"/>
        <v>549999999.99000001</v>
      </c>
      <c r="AJ124" s="169">
        <f t="shared" si="203"/>
        <v>3735666.5474492186</v>
      </c>
      <c r="AK124" s="169">
        <f t="shared" si="203"/>
        <v>743397642.9423945</v>
      </c>
      <c r="AL124" s="169">
        <f t="shared" si="203"/>
        <v>0</v>
      </c>
      <c r="AM124" s="169">
        <f t="shared" si="203"/>
        <v>747133309.48984385</v>
      </c>
    </row>
    <row r="130" spans="28:29" x14ac:dyDescent="0.25">
      <c r="AB130" s="172"/>
      <c r="AC130" s="172"/>
    </row>
    <row r="131" spans="28:29" x14ac:dyDescent="0.25">
      <c r="AC131" s="173"/>
    </row>
  </sheetData>
  <mergeCells count="12">
    <mergeCell ref="AB1:AE1"/>
    <mergeCell ref="AF1:AI1"/>
    <mergeCell ref="AJ1:AM1"/>
    <mergeCell ref="AB112:AE112"/>
    <mergeCell ref="AF112:AI112"/>
    <mergeCell ref="AJ112:AM112"/>
    <mergeCell ref="V1:Z1"/>
    <mergeCell ref="B1:D1"/>
    <mergeCell ref="E1:G1"/>
    <mergeCell ref="I1:K1"/>
    <mergeCell ref="M1:O1"/>
    <mergeCell ref="T1:U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</sheetPr>
  <dimension ref="A1:AC91"/>
  <sheetViews>
    <sheetView topLeftCell="A25" workbookViewId="0">
      <selection activeCell="F7" sqref="F7"/>
    </sheetView>
  </sheetViews>
  <sheetFormatPr defaultRowHeight="15" x14ac:dyDescent="0.25"/>
  <cols>
    <col min="1" max="1" width="13.85546875" style="3" customWidth="1"/>
    <col min="2" max="2" width="20.140625" style="3" customWidth="1"/>
    <col min="3" max="3" width="10.28515625" style="3" bestFit="1" customWidth="1"/>
    <col min="4" max="4" width="18.42578125" style="3" bestFit="1" customWidth="1"/>
    <col min="5" max="5" width="16.85546875" style="3" bestFit="1" customWidth="1"/>
    <col min="6" max="7" width="14.28515625" style="3" bestFit="1" customWidth="1"/>
    <col min="8" max="8" width="16.28515625" style="3" customWidth="1"/>
    <col min="9" max="19" width="14.28515625" style="3" bestFit="1" customWidth="1"/>
    <col min="20" max="27" width="15.28515625" style="3" bestFit="1" customWidth="1"/>
    <col min="28" max="29" width="14.28515625" style="3" bestFit="1" customWidth="1"/>
    <col min="30" max="16384" width="9.140625" style="3"/>
  </cols>
  <sheetData>
    <row r="1" spans="1:29" x14ac:dyDescent="0.25">
      <c r="B1" s="3" t="s">
        <v>276</v>
      </c>
    </row>
    <row r="2" spans="1:29" x14ac:dyDescent="0.25">
      <c r="A2" s="3">
        <f>MAX(F2:AC2)</f>
        <v>1.3042157356645441</v>
      </c>
      <c r="B2" s="3" t="s">
        <v>29</v>
      </c>
      <c r="C2" s="3">
        <v>2014</v>
      </c>
      <c r="D2" s="3">
        <v>2</v>
      </c>
      <c r="E2" s="3" t="s">
        <v>30</v>
      </c>
      <c r="F2" s="3">
        <v>0.72492266666666583</v>
      </c>
      <c r="G2" s="3">
        <v>0.66088368647206874</v>
      </c>
      <c r="H2" s="3">
        <v>0.62579671062379694</v>
      </c>
      <c r="I2" s="3">
        <v>0.61526448362720387</v>
      </c>
      <c r="J2" s="3">
        <v>0.63306091596265046</v>
      </c>
      <c r="K2" s="3">
        <v>0.68848762412924147</v>
      </c>
      <c r="L2" s="3">
        <v>0.80637942789387984</v>
      </c>
      <c r="M2" s="3">
        <v>0.89541480053388878</v>
      </c>
      <c r="N2" s="3">
        <v>0.86255935971543096</v>
      </c>
      <c r="O2" s="3">
        <v>0.86647517415147823</v>
      </c>
      <c r="P2" s="3">
        <v>0.88463930053349049</v>
      </c>
      <c r="Q2" s="3">
        <v>0.88678856126833727</v>
      </c>
      <c r="R2" s="3">
        <v>0.88211438731663616</v>
      </c>
      <c r="S2" s="3">
        <v>0.86357570370370595</v>
      </c>
      <c r="T2" s="3">
        <v>0.86200770370370516</v>
      </c>
      <c r="U2" s="3">
        <v>0.89630548148148115</v>
      </c>
      <c r="V2" s="3">
        <v>0.98096385185185397</v>
      </c>
      <c r="W2" s="3">
        <v>1.1702524444444433</v>
      </c>
      <c r="X2" s="3">
        <v>1.301211851851853</v>
      </c>
      <c r="Y2" s="3">
        <v>1.3042157356645441</v>
      </c>
      <c r="Z2" s="3">
        <v>1.2925651207586253</v>
      </c>
      <c r="AA2" s="3">
        <v>1.2399958518518532</v>
      </c>
      <c r="AB2" s="3">
        <v>1.051125925925926</v>
      </c>
      <c r="AC2" s="3">
        <v>0.84010962962963054</v>
      </c>
    </row>
    <row r="3" spans="1:29" x14ac:dyDescent="0.25">
      <c r="A3" s="3">
        <f t="shared" ref="A3:A5" si="0">MAX(F3:AC3)</f>
        <v>1.0310095707656617</v>
      </c>
      <c r="B3" s="3" t="s">
        <v>31</v>
      </c>
      <c r="C3" s="3">
        <v>2014</v>
      </c>
      <c r="D3" s="3">
        <v>2</v>
      </c>
      <c r="E3" s="3" t="s">
        <v>32</v>
      </c>
      <c r="F3" s="3">
        <v>0.57133855526544819</v>
      </c>
      <c r="G3" s="3">
        <v>0.51447367657723053</v>
      </c>
      <c r="H3" s="3">
        <v>0.48499105440680601</v>
      </c>
      <c r="I3" s="3">
        <v>0.48349767981438546</v>
      </c>
      <c r="J3" s="3">
        <v>0.51118671115624603</v>
      </c>
      <c r="K3" s="3">
        <v>0.56281172033652327</v>
      </c>
      <c r="L3" s="3">
        <v>0.65988743835219121</v>
      </c>
      <c r="M3" s="3">
        <v>0.70549405279953403</v>
      </c>
      <c r="N3" s="3">
        <v>0.69490674401740404</v>
      </c>
      <c r="O3" s="3">
        <v>0.71790076889598176</v>
      </c>
      <c r="P3" s="3">
        <v>0.73277761670049502</v>
      </c>
      <c r="Q3" s="3">
        <v>0.72774079443317008</v>
      </c>
      <c r="R3" s="3">
        <v>0.72157749746266975</v>
      </c>
      <c r="S3" s="3">
        <v>0.72189995650282712</v>
      </c>
      <c r="T3" s="3">
        <v>0.73109686774942162</v>
      </c>
      <c r="U3" s="3">
        <v>0.76261939973902027</v>
      </c>
      <c r="V3" s="3">
        <v>0.83224909380889889</v>
      </c>
      <c r="W3" s="3">
        <v>0.90818237170194238</v>
      </c>
      <c r="X3" s="3">
        <v>0.97321856417694474</v>
      </c>
      <c r="Y3" s="3">
        <v>1.0237589907192606</v>
      </c>
      <c r="Z3" s="3">
        <v>1.0310095707656617</v>
      </c>
      <c r="AA3" s="3">
        <v>1.0030794894110819</v>
      </c>
      <c r="AB3" s="3">
        <v>0.84157731360603594</v>
      </c>
      <c r="AC3" s="3">
        <v>0.67939144307469224</v>
      </c>
    </row>
    <row r="4" spans="1:29" x14ac:dyDescent="0.25">
      <c r="A4" s="3">
        <f t="shared" si="0"/>
        <v>1.8054849934754278</v>
      </c>
      <c r="B4" s="3" t="s">
        <v>33</v>
      </c>
      <c r="C4" s="3">
        <v>2014</v>
      </c>
      <c r="D4" s="3">
        <v>2</v>
      </c>
      <c r="E4" s="3" t="s">
        <v>34</v>
      </c>
      <c r="F4" s="3">
        <v>0.81243130434782307</v>
      </c>
      <c r="G4" s="3">
        <v>0.67275906059727564</v>
      </c>
      <c r="H4" s="3">
        <v>0.6019933304335211</v>
      </c>
      <c r="I4" s="3">
        <v>0.57088070734888841</v>
      </c>
      <c r="J4" s="3">
        <v>0.55819391304347898</v>
      </c>
      <c r="K4" s="3">
        <v>0.53711030584142561</v>
      </c>
      <c r="L4" s="3">
        <v>0.56832792113656183</v>
      </c>
      <c r="M4" s="3">
        <v>0.65331700246412439</v>
      </c>
      <c r="N4" s="3">
        <v>0.74755291388808331</v>
      </c>
      <c r="O4" s="3">
        <v>0.82998202638063501</v>
      </c>
      <c r="P4" s="3">
        <v>0.95282632647144261</v>
      </c>
      <c r="Q4" s="3">
        <v>1.0675217391304332</v>
      </c>
      <c r="R4" s="3">
        <v>1.1905191304347809</v>
      </c>
      <c r="S4" s="3">
        <v>1.3046600956660361</v>
      </c>
      <c r="T4" s="3">
        <v>1.4282473180632116</v>
      </c>
      <c r="U4" s="3">
        <v>1.5420979852152465</v>
      </c>
      <c r="V4" s="3">
        <v>1.6866197999710095</v>
      </c>
      <c r="W4" s="3">
        <v>1.7844736078886321</v>
      </c>
      <c r="X4" s="3">
        <v>1.8054849934754278</v>
      </c>
      <c r="Y4" s="3">
        <v>1.7321943155452424</v>
      </c>
      <c r="Z4" s="3">
        <v>1.6031365613221229</v>
      </c>
      <c r="AA4" s="3">
        <v>1.5418584891982008</v>
      </c>
      <c r="AB4" s="3">
        <v>1.3422490576978865</v>
      </c>
      <c r="AC4" s="3">
        <v>1.0267973913043487</v>
      </c>
    </row>
    <row r="5" spans="1:29" x14ac:dyDescent="0.25">
      <c r="A5" s="3">
        <f t="shared" si="0"/>
        <v>1.1656461448255644</v>
      </c>
      <c r="B5" s="3" t="s">
        <v>35</v>
      </c>
      <c r="C5" s="3">
        <v>2014</v>
      </c>
      <c r="D5" s="3">
        <v>2</v>
      </c>
      <c r="E5" s="3" t="s">
        <v>36</v>
      </c>
      <c r="F5" s="3">
        <v>0.57947295910889596</v>
      </c>
      <c r="G5" s="3">
        <v>0.51347574380771066</v>
      </c>
      <c r="H5" s="3">
        <v>0.48372471416006985</v>
      </c>
      <c r="I5" s="3">
        <v>0.47173530704968453</v>
      </c>
      <c r="J5" s="3">
        <v>0.48889155920281341</v>
      </c>
      <c r="K5" s="3">
        <v>0.52434202813598862</v>
      </c>
      <c r="L5" s="3">
        <v>0.62463619047619046</v>
      </c>
      <c r="M5" s="3">
        <v>0.68408673992674118</v>
      </c>
      <c r="N5" s="3">
        <v>0.68611663003663248</v>
      </c>
      <c r="O5" s="3">
        <v>0.72397245421245504</v>
      </c>
      <c r="P5" s="3">
        <v>0.73437450549450722</v>
      </c>
      <c r="Q5" s="3">
        <v>0.77121875457875488</v>
      </c>
      <c r="R5" s="3">
        <v>0.78623150183150237</v>
      </c>
      <c r="S5" s="3">
        <v>0.80845245421245826</v>
      </c>
      <c r="T5" s="3">
        <v>0.85874659240803164</v>
      </c>
      <c r="U5" s="3">
        <v>0.90878053071397125</v>
      </c>
      <c r="V5" s="3">
        <v>0.99836059806508459</v>
      </c>
      <c r="W5" s="3">
        <v>1.1097255131964874</v>
      </c>
      <c r="X5" s="3">
        <v>1.1656461448255644</v>
      </c>
      <c r="Y5" s="3">
        <v>1.1443385607504022</v>
      </c>
      <c r="Z5" s="3">
        <v>1.1399654111094855</v>
      </c>
      <c r="AA5" s="3">
        <v>1.0776221603400271</v>
      </c>
      <c r="AB5" s="3">
        <v>0.88930529092774313</v>
      </c>
      <c r="AC5" s="3">
        <v>0.69389447457130615</v>
      </c>
    </row>
    <row r="7" spans="1:29" x14ac:dyDescent="0.25">
      <c r="B7" s="3" t="s">
        <v>67</v>
      </c>
      <c r="C7" s="174">
        <f>D7/D11</f>
        <v>0.25730711094753783</v>
      </c>
      <c r="D7" s="3">
        <f>SUM(F2:AC2)</f>
        <v>21.835116399762388</v>
      </c>
      <c r="E7" s="66">
        <f>$E$11/$D$11*D7</f>
        <v>1621034798.9694886</v>
      </c>
      <c r="F7" s="169">
        <f>$E7*F2/SUM($F2:$AC2)</f>
        <v>53818117.921332084</v>
      </c>
      <c r="G7" s="169">
        <f t="shared" ref="G7:AC10" si="1">$E7*G2/SUM($F2:$AC2)</f>
        <v>49063876.474417269</v>
      </c>
      <c r="H7" s="169">
        <f t="shared" si="1"/>
        <v>46459026.204818085</v>
      </c>
      <c r="I7" s="169">
        <f t="shared" si="1"/>
        <v>45677115.718995847</v>
      </c>
      <c r="J7" s="169">
        <f t="shared" si="1"/>
        <v>46998319.397744216</v>
      </c>
      <c r="K7" s="169">
        <f t="shared" si="1"/>
        <v>51113187.442658693</v>
      </c>
      <c r="L7" s="169">
        <f t="shared" si="1"/>
        <v>59865452.047844894</v>
      </c>
      <c r="M7" s="169">
        <f t="shared" si="1"/>
        <v>66475420.813124344</v>
      </c>
      <c r="N7" s="169">
        <f t="shared" si="1"/>
        <v>64036239.27055274</v>
      </c>
      <c r="O7" s="169">
        <f t="shared" si="1"/>
        <v>64326948.573444702</v>
      </c>
      <c r="P7" s="169">
        <f t="shared" si="1"/>
        <v>65675449.786767378</v>
      </c>
      <c r="Q7" s="169">
        <f t="shared" si="1"/>
        <v>65835010.486122452</v>
      </c>
      <c r="R7" s="169">
        <f t="shared" si="1"/>
        <v>65488000.720137112</v>
      </c>
      <c r="S7" s="169">
        <f t="shared" si="1"/>
        <v>64111692.450767308</v>
      </c>
      <c r="T7" s="169">
        <f t="shared" si="1"/>
        <v>63995284.435428627</v>
      </c>
      <c r="U7" s="169">
        <f t="shared" si="1"/>
        <v>66541544.793614872</v>
      </c>
      <c r="V7" s="169">
        <f t="shared" si="1"/>
        <v>72826565.760845214</v>
      </c>
      <c r="W7" s="169">
        <f t="shared" si="1"/>
        <v>86879314.096268997</v>
      </c>
      <c r="X7" s="169">
        <f t="shared" si="1"/>
        <v>96601715.056867674</v>
      </c>
      <c r="Y7" s="169">
        <f t="shared" si="1"/>
        <v>96824722.807469204</v>
      </c>
      <c r="Z7" s="169">
        <f t="shared" si="1"/>
        <v>95959783.420560658</v>
      </c>
      <c r="AA7" s="169">
        <f t="shared" si="1"/>
        <v>92057051.111096546</v>
      </c>
      <c r="AB7" s="169">
        <f t="shared" si="1"/>
        <v>78035384.507659093</v>
      </c>
      <c r="AC7" s="169">
        <f t="shared" si="1"/>
        <v>62369575.67095083</v>
      </c>
    </row>
    <row r="8" spans="1:29" x14ac:dyDescent="0.25">
      <c r="C8" s="174">
        <f>D8/D11</f>
        <v>0.20736082010114762</v>
      </c>
      <c r="D8" s="3">
        <f>SUM(F3:AC3)</f>
        <v>17.59666737147387</v>
      </c>
      <c r="E8" s="66">
        <f>$E$11/$D$11*D8</f>
        <v>1306373166.6372299</v>
      </c>
      <c r="F8" s="169">
        <f t="shared" ref="F8:U10" si="2">$E8*F3/SUM($F3:$AC3)</f>
        <v>42416063.332198329</v>
      </c>
      <c r="G8" s="169">
        <f t="shared" si="2"/>
        <v>38194425.787193872</v>
      </c>
      <c r="H8" s="169">
        <f t="shared" si="2"/>
        <v>36005641.64571581</v>
      </c>
      <c r="I8" s="169">
        <f t="shared" si="2"/>
        <v>35894773.806136221</v>
      </c>
      <c r="J8" s="169">
        <f t="shared" si="2"/>
        <v>37950402.112995222</v>
      </c>
      <c r="K8" s="169">
        <f t="shared" si="2"/>
        <v>41783032.763833404</v>
      </c>
      <c r="L8" s="169">
        <f t="shared" si="2"/>
        <v>48989915.207567915</v>
      </c>
      <c r="M8" s="169">
        <f t="shared" si="2"/>
        <v>52375741.402803212</v>
      </c>
      <c r="N8" s="169">
        <f t="shared" si="2"/>
        <v>51589741.655925073</v>
      </c>
      <c r="O8" s="169">
        <f t="shared" si="2"/>
        <v>53296813.595186651</v>
      </c>
      <c r="P8" s="169">
        <f t="shared" si="2"/>
        <v>54401267.885631889</v>
      </c>
      <c r="Q8" s="169">
        <f t="shared" si="2"/>
        <v>54027335.179156967</v>
      </c>
      <c r="R8" s="169">
        <f t="shared" si="2"/>
        <v>53569773.209591605</v>
      </c>
      <c r="S8" s="169">
        <f t="shared" si="2"/>
        <v>53593712.506079301</v>
      </c>
      <c r="T8" s="169">
        <f t="shared" si="2"/>
        <v>54276489.410072625</v>
      </c>
      <c r="U8" s="169">
        <f t="shared" si="2"/>
        <v>56616716.060173027</v>
      </c>
      <c r="V8" s="169">
        <f t="shared" si="1"/>
        <v>61786011.018916681</v>
      </c>
      <c r="W8" s="169">
        <f t="shared" si="1"/>
        <v>67423282.815909877</v>
      </c>
      <c r="X8" s="169">
        <f t="shared" si="1"/>
        <v>72251557.108764291</v>
      </c>
      <c r="Y8" s="169">
        <f t="shared" si="1"/>
        <v>76003668.555293903</v>
      </c>
      <c r="Z8" s="169">
        <f t="shared" si="1"/>
        <v>76541950.209155753</v>
      </c>
      <c r="AA8" s="169">
        <f t="shared" si="1"/>
        <v>74468426.396188349</v>
      </c>
      <c r="AB8" s="169">
        <f t="shared" si="1"/>
        <v>62478536.244189121</v>
      </c>
      <c r="AC8" s="169">
        <f t="shared" si="1"/>
        <v>50437888.728550993</v>
      </c>
    </row>
    <row r="9" spans="1:29" x14ac:dyDescent="0.25">
      <c r="C9" s="174">
        <f>D9/D11</f>
        <v>0.31300015041406837</v>
      </c>
      <c r="D9" s="3">
        <f t="shared" ref="D9:D10" si="3">SUM(F4:AC4)</f>
        <v>26.561235296865842</v>
      </c>
      <c r="E9" s="66">
        <f>$E$11/$D$11*D9</f>
        <v>1971900947.6086307</v>
      </c>
      <c r="F9" s="169">
        <f t="shared" si="2"/>
        <v>60314742.179909989</v>
      </c>
      <c r="G9" s="169">
        <f t="shared" si="1"/>
        <v>49945501.942095175</v>
      </c>
      <c r="H9" s="169">
        <f t="shared" si="1"/>
        <v>44691867.884473242</v>
      </c>
      <c r="I9" s="169">
        <f t="shared" si="1"/>
        <v>42382072.791832484</v>
      </c>
      <c r="J9" s="169">
        <f t="shared" si="1"/>
        <v>41440207.647634745</v>
      </c>
      <c r="K9" s="169">
        <f t="shared" si="1"/>
        <v>39874964.745485425</v>
      </c>
      <c r="L9" s="169">
        <f t="shared" si="1"/>
        <v>42192554.439434052</v>
      </c>
      <c r="M9" s="169">
        <f t="shared" si="1"/>
        <v>48502127.323869251</v>
      </c>
      <c r="N9" s="169">
        <f t="shared" si="1"/>
        <v>55498183.07800784</v>
      </c>
      <c r="O9" s="169">
        <f t="shared" si="1"/>
        <v>61617704.373532102</v>
      </c>
      <c r="P9" s="169">
        <f t="shared" si="1"/>
        <v>70737641.343706295</v>
      </c>
      <c r="Q9" s="169">
        <f t="shared" si="1"/>
        <v>79252606.494265899</v>
      </c>
      <c r="R9" s="169">
        <f t="shared" si="1"/>
        <v>88383908.926387787</v>
      </c>
      <c r="S9" s="169">
        <f t="shared" si="1"/>
        <v>96857712.007641107</v>
      </c>
      <c r="T9" s="169">
        <f t="shared" si="1"/>
        <v>106032803.38549073</v>
      </c>
      <c r="U9" s="169">
        <f t="shared" si="1"/>
        <v>114485054.79374745</v>
      </c>
      <c r="V9" s="169">
        <f t="shared" si="1"/>
        <v>125214326.24072097</v>
      </c>
      <c r="W9" s="169">
        <f t="shared" si="1"/>
        <v>132478973.92759424</v>
      </c>
      <c r="X9" s="169">
        <f t="shared" si="1"/>
        <v>134038855.11105944</v>
      </c>
      <c r="Y9" s="169">
        <f t="shared" si="1"/>
        <v>128597769.42185338</v>
      </c>
      <c r="Z9" s="169">
        <f t="shared" si="1"/>
        <v>119016546.82416643</v>
      </c>
      <c r="AA9" s="169">
        <f t="shared" si="1"/>
        <v>114467274.65597589</v>
      </c>
      <c r="AB9" s="169">
        <f t="shared" si="1"/>
        <v>99648309.245374873</v>
      </c>
      <c r="AC9" s="169">
        <f t="shared" si="1"/>
        <v>76229238.824371606</v>
      </c>
    </row>
    <row r="10" spans="1:29" ht="15.75" thickBot="1" x14ac:dyDescent="0.3">
      <c r="C10" s="174">
        <f>D10/D11</f>
        <v>0.22233191853724618</v>
      </c>
      <c r="D10" s="3">
        <f t="shared" si="3"/>
        <v>18.86711681914251</v>
      </c>
      <c r="E10" s="66">
        <f>$E$11/$D$11*D10</f>
        <v>1400691086.784651</v>
      </c>
      <c r="F10" s="169">
        <f t="shared" si="2"/>
        <v>43019959.893026538</v>
      </c>
      <c r="G10" s="169">
        <f t="shared" si="1"/>
        <v>38120339.452282414</v>
      </c>
      <c r="H10" s="169">
        <f t="shared" si="1"/>
        <v>35911628.791847207</v>
      </c>
      <c r="I10" s="169">
        <f t="shared" si="1"/>
        <v>35021537.537506178</v>
      </c>
      <c r="J10" s="169">
        <f t="shared" si="1"/>
        <v>36295214.363905869</v>
      </c>
      <c r="K10" s="169">
        <f t="shared" si="1"/>
        <v>38927050.289501816</v>
      </c>
      <c r="L10" s="169">
        <f t="shared" si="1"/>
        <v>46372869.414548084</v>
      </c>
      <c r="M10" s="169">
        <f t="shared" si="1"/>
        <v>50786466.654554002</v>
      </c>
      <c r="N10" s="169">
        <f t="shared" si="1"/>
        <v>50937165.301906005</v>
      </c>
      <c r="O10" s="169">
        <f t="shared" si="1"/>
        <v>53747574.33335714</v>
      </c>
      <c r="P10" s="169">
        <f t="shared" si="1"/>
        <v>54519820.599424914</v>
      </c>
      <c r="Q10" s="169">
        <f t="shared" si="1"/>
        <v>57255130.492625892</v>
      </c>
      <c r="R10" s="169">
        <f t="shared" si="1"/>
        <v>58369673.931702875</v>
      </c>
      <c r="S10" s="169">
        <f t="shared" si="1"/>
        <v>60019353.118948489</v>
      </c>
      <c r="T10" s="169">
        <f t="shared" si="1"/>
        <v>63753180.166469619</v>
      </c>
      <c r="U10" s="169">
        <f t="shared" si="1"/>
        <v>67467690.024740994</v>
      </c>
      <c r="V10" s="169">
        <f t="shared" si="1"/>
        <v>74118096.819539011</v>
      </c>
      <c r="W10" s="169">
        <f t="shared" si="1"/>
        <v>82385806.480764017</v>
      </c>
      <c r="X10" s="169">
        <f t="shared" si="1"/>
        <v>86537343.307564437</v>
      </c>
      <c r="Y10" s="169">
        <f t="shared" si="1"/>
        <v>84955472.405874088</v>
      </c>
      <c r="Z10" s="169">
        <f t="shared" si="1"/>
        <v>84630810.626232535</v>
      </c>
      <c r="AA10" s="169">
        <f t="shared" si="1"/>
        <v>80002459.802360907</v>
      </c>
      <c r="AB10" s="169">
        <f t="shared" si="1"/>
        <v>66021852.007037811</v>
      </c>
      <c r="AC10" s="169">
        <f t="shared" si="1"/>
        <v>51514590.968930058</v>
      </c>
    </row>
    <row r="11" spans="1:29" ht="15.75" thickBot="1" x14ac:dyDescent="0.3">
      <c r="D11" s="3">
        <f>SUM(D7:D10)</f>
        <v>84.86013588724461</v>
      </c>
      <c r="E11" s="175">
        <v>6300000000</v>
      </c>
      <c r="F11" s="3" t="s">
        <v>63</v>
      </c>
      <c r="H11" s="172">
        <f>E11*C22</f>
        <v>31500000</v>
      </c>
      <c r="I11" s="172">
        <f>H11/9545</f>
        <v>3300.1571503404925</v>
      </c>
      <c r="J11" s="176">
        <f>A54*1000/I11</f>
        <v>4.242</v>
      </c>
      <c r="L11" s="177"/>
      <c r="M11" s="177"/>
      <c r="N11" s="176"/>
    </row>
    <row r="12" spans="1:29" ht="15.75" thickBot="1" x14ac:dyDescent="0.3">
      <c r="E12" s="178">
        <v>8.7301587299999997E-2</v>
      </c>
      <c r="F12" s="3" t="s">
        <v>62</v>
      </c>
      <c r="H12" s="176" t="s">
        <v>76</v>
      </c>
      <c r="I12" s="172" t="s">
        <v>74</v>
      </c>
      <c r="J12" s="3" t="s">
        <v>75</v>
      </c>
      <c r="L12" s="176"/>
      <c r="M12" s="169"/>
    </row>
    <row r="13" spans="1:29" x14ac:dyDescent="0.25">
      <c r="D13" s="179">
        <f>550000000/E11</f>
        <v>8.7301587301587297E-2</v>
      </c>
      <c r="E13" s="7">
        <f>E11*E12</f>
        <v>549999999.99000001</v>
      </c>
      <c r="F13" s="3" t="s">
        <v>64</v>
      </c>
      <c r="H13" s="172">
        <f>E11-H11</f>
        <v>6268500000</v>
      </c>
      <c r="I13" s="176">
        <f>E11/(6203851850/740636)-I11</f>
        <v>748814.32153438183</v>
      </c>
    </row>
    <row r="14" spans="1:29" x14ac:dyDescent="0.25">
      <c r="E14" s="8">
        <f>E13/8760</f>
        <v>62785.388126712329</v>
      </c>
      <c r="F14" s="3" t="s">
        <v>65</v>
      </c>
      <c r="H14" s="3" t="s">
        <v>270</v>
      </c>
      <c r="I14" s="3" t="s">
        <v>254</v>
      </c>
    </row>
    <row r="16" spans="1:29" x14ac:dyDescent="0.25">
      <c r="B16" s="3" t="s">
        <v>66</v>
      </c>
      <c r="E16" s="3" t="s">
        <v>30</v>
      </c>
      <c r="F16" s="6">
        <f>F7/(365/4)/1000</f>
        <v>589.78759365843371</v>
      </c>
      <c r="G16" s="6">
        <f t="shared" ref="G16:Y16" si="4">G7/(365/4)/1000</f>
        <v>537.68631752786052</v>
      </c>
      <c r="H16" s="6">
        <f t="shared" si="4"/>
        <v>509.14001320348586</v>
      </c>
      <c r="I16" s="6">
        <f t="shared" si="4"/>
        <v>500.57113116707774</v>
      </c>
      <c r="J16" s="6">
        <f t="shared" si="4"/>
        <v>515.05007559171747</v>
      </c>
      <c r="K16" s="6">
        <f t="shared" si="4"/>
        <v>560.14451991954741</v>
      </c>
      <c r="L16" s="6">
        <f t="shared" si="4"/>
        <v>656.05974846953302</v>
      </c>
      <c r="M16" s="6">
        <f t="shared" si="4"/>
        <v>728.49776233560931</v>
      </c>
      <c r="N16" s="6">
        <f t="shared" si="4"/>
        <v>701.76700570468756</v>
      </c>
      <c r="O16" s="6">
        <f t="shared" si="4"/>
        <v>704.95286107884601</v>
      </c>
      <c r="P16" s="6">
        <f t="shared" si="4"/>
        <v>719.7309565673138</v>
      </c>
      <c r="Q16" s="6">
        <f t="shared" si="4"/>
        <v>721.47956697120492</v>
      </c>
      <c r="R16" s="6">
        <f t="shared" si="4"/>
        <v>717.67672022068075</v>
      </c>
      <c r="S16" s="6">
        <f t="shared" si="4"/>
        <v>702.59388987142256</v>
      </c>
      <c r="T16" s="6">
        <f t="shared" si="4"/>
        <v>701.31818559373835</v>
      </c>
      <c r="U16" s="6">
        <f t="shared" si="4"/>
        <v>729.22240869714926</v>
      </c>
      <c r="V16" s="6">
        <f t="shared" si="4"/>
        <v>798.09935080378318</v>
      </c>
      <c r="W16" s="6">
        <f t="shared" si="4"/>
        <v>952.10207228787942</v>
      </c>
      <c r="X16" s="6">
        <f t="shared" si="4"/>
        <v>1058.6489321300567</v>
      </c>
      <c r="Y16" s="6">
        <f t="shared" si="4"/>
        <v>1061.0928526845939</v>
      </c>
      <c r="Z16" s="6">
        <f t="shared" ref="Z16:AC16" si="5">Z7/(365/4)/1000</f>
        <v>1051.6140648828566</v>
      </c>
      <c r="AA16" s="6">
        <f t="shared" si="5"/>
        <v>1008.8443957380443</v>
      </c>
      <c r="AB16" s="6">
        <f t="shared" si="5"/>
        <v>855.18229597434618</v>
      </c>
      <c r="AC16" s="6">
        <f t="shared" si="5"/>
        <v>683.50219913370768</v>
      </c>
    </row>
    <row r="17" spans="1:29" ht="15.75" thickBot="1" x14ac:dyDescent="0.3">
      <c r="E17" s="3" t="s">
        <v>32</v>
      </c>
      <c r="F17" s="6">
        <f t="shared" ref="F17:Y17" si="6">F8/(365/4)/1000</f>
        <v>464.83357076381731</v>
      </c>
      <c r="G17" s="6">
        <f t="shared" si="6"/>
        <v>418.56904972267256</v>
      </c>
      <c r="H17" s="6">
        <f t="shared" si="6"/>
        <v>394.58237419962535</v>
      </c>
      <c r="I17" s="6">
        <f t="shared" si="6"/>
        <v>393.36738417683529</v>
      </c>
      <c r="J17" s="6">
        <f t="shared" si="6"/>
        <v>415.89481767665995</v>
      </c>
      <c r="K17" s="6">
        <f t="shared" si="6"/>
        <v>457.89624946666743</v>
      </c>
      <c r="L17" s="6">
        <f t="shared" si="6"/>
        <v>536.87578309663468</v>
      </c>
      <c r="M17" s="6">
        <f t="shared" si="6"/>
        <v>573.98072770195301</v>
      </c>
      <c r="N17" s="6">
        <f t="shared" si="6"/>
        <v>565.36703184575424</v>
      </c>
      <c r="O17" s="6">
        <f t="shared" si="6"/>
        <v>584.07466953629205</v>
      </c>
      <c r="P17" s="6">
        <f t="shared" si="6"/>
        <v>596.17827819870558</v>
      </c>
      <c r="Q17" s="6">
        <f t="shared" si="6"/>
        <v>592.08038552500784</v>
      </c>
      <c r="R17" s="6">
        <f t="shared" si="6"/>
        <v>587.0660077763464</v>
      </c>
      <c r="S17" s="6">
        <f t="shared" si="6"/>
        <v>587.32835623100607</v>
      </c>
      <c r="T17" s="6">
        <f t="shared" si="6"/>
        <v>594.81084285011093</v>
      </c>
      <c r="U17" s="6">
        <f t="shared" si="6"/>
        <v>620.45716230326605</v>
      </c>
      <c r="V17" s="6">
        <f t="shared" si="6"/>
        <v>677.10697007031979</v>
      </c>
      <c r="W17" s="6">
        <f t="shared" si="6"/>
        <v>738.88529113325899</v>
      </c>
      <c r="X17" s="6">
        <f t="shared" si="6"/>
        <v>791.7978861234443</v>
      </c>
      <c r="Y17" s="6">
        <f t="shared" si="6"/>
        <v>832.91691567445366</v>
      </c>
      <c r="Z17" s="6">
        <f t="shared" ref="Z17:AC17" si="7">Z8/(365/4)/1000</f>
        <v>838.81589270307666</v>
      </c>
      <c r="AA17" s="6">
        <f t="shared" si="7"/>
        <v>816.09234406781752</v>
      </c>
      <c r="AB17" s="6">
        <f t="shared" si="7"/>
        <v>684.69628760755199</v>
      </c>
      <c r="AC17" s="6">
        <f t="shared" si="7"/>
        <v>552.74398606631235</v>
      </c>
    </row>
    <row r="18" spans="1:29" ht="15.75" thickBot="1" x14ac:dyDescent="0.3">
      <c r="E18" s="3" t="s">
        <v>34</v>
      </c>
      <c r="F18" s="6">
        <f t="shared" ref="F18:Y18" si="8">F9/(365/4)/1000</f>
        <v>660.98347594421909</v>
      </c>
      <c r="G18" s="6">
        <f t="shared" si="8"/>
        <v>547.34796648871418</v>
      </c>
      <c r="H18" s="6">
        <f t="shared" si="8"/>
        <v>489.77389462436429</v>
      </c>
      <c r="I18" s="6">
        <f t="shared" si="8"/>
        <v>464.46107169131494</v>
      </c>
      <c r="J18" s="6">
        <f t="shared" si="8"/>
        <v>454.13926189188766</v>
      </c>
      <c r="K18" s="6">
        <f t="shared" si="8"/>
        <v>436.98591501901836</v>
      </c>
      <c r="L18" s="6">
        <f t="shared" si="8"/>
        <v>462.38415824037321</v>
      </c>
      <c r="M18" s="6">
        <f t="shared" si="8"/>
        <v>531.53016245336164</v>
      </c>
      <c r="N18" s="6">
        <f t="shared" si="8"/>
        <v>608.19926660830504</v>
      </c>
      <c r="O18" s="6">
        <f t="shared" si="8"/>
        <v>675.2625136825435</v>
      </c>
      <c r="P18" s="6">
        <f t="shared" si="8"/>
        <v>775.20702842417859</v>
      </c>
      <c r="Q18" s="6">
        <f t="shared" si="8"/>
        <v>868.52171500565373</v>
      </c>
      <c r="R18" s="6">
        <f t="shared" si="8"/>
        <v>968.59078275493459</v>
      </c>
      <c r="S18" s="6">
        <f t="shared" si="8"/>
        <v>1061.4543781659299</v>
      </c>
      <c r="T18" s="6">
        <f t="shared" si="8"/>
        <v>1162.0033247725012</v>
      </c>
      <c r="U18" s="6">
        <f t="shared" si="8"/>
        <v>1254.6307374657256</v>
      </c>
      <c r="V18" s="6">
        <f t="shared" si="8"/>
        <v>1372.2117944188599</v>
      </c>
      <c r="W18" s="6">
        <f t="shared" si="8"/>
        <v>1451.8243718092522</v>
      </c>
      <c r="X18" s="10">
        <f t="shared" si="8"/>
        <v>1468.9189601211992</v>
      </c>
      <c r="Y18" s="6">
        <f t="shared" si="8"/>
        <v>1409.2906238011328</v>
      </c>
      <c r="Z18" s="6">
        <f t="shared" ref="Z18:AC18" si="9">Z9/(365/4)/1000</f>
        <v>1304.290924100454</v>
      </c>
      <c r="AA18" s="6">
        <f t="shared" si="9"/>
        <v>1254.4358866408315</v>
      </c>
      <c r="AB18" s="6">
        <f t="shared" si="9"/>
        <v>1092.0362657027383</v>
      </c>
      <c r="AC18" s="6">
        <f t="shared" si="9"/>
        <v>835.38891862325045</v>
      </c>
    </row>
    <row r="19" spans="1:29" x14ac:dyDescent="0.25">
      <c r="E19" s="3" t="s">
        <v>36</v>
      </c>
      <c r="F19" s="6">
        <f t="shared" ref="F19:Y19" si="10">F10/(365/4)/1000</f>
        <v>471.45161526604426</v>
      </c>
      <c r="G19" s="6">
        <f t="shared" si="10"/>
        <v>417.75714468254699</v>
      </c>
      <c r="H19" s="6">
        <f t="shared" si="10"/>
        <v>393.55209634901047</v>
      </c>
      <c r="I19" s="6">
        <f t="shared" si="10"/>
        <v>383.7976716439033</v>
      </c>
      <c r="J19" s="6">
        <f t="shared" si="10"/>
        <v>397.75577385102321</v>
      </c>
      <c r="K19" s="6">
        <f t="shared" si="10"/>
        <v>426.59781139180069</v>
      </c>
      <c r="L19" s="6">
        <f t="shared" si="10"/>
        <v>508.19582920052693</v>
      </c>
      <c r="M19" s="6">
        <f t="shared" si="10"/>
        <v>556.56401813209857</v>
      </c>
      <c r="N19" s="6">
        <f t="shared" si="10"/>
        <v>558.21551015787395</v>
      </c>
      <c r="O19" s="6">
        <f t="shared" si="10"/>
        <v>589.01451324227003</v>
      </c>
      <c r="P19" s="6">
        <f t="shared" si="10"/>
        <v>597.47748602109493</v>
      </c>
      <c r="Q19" s="6">
        <f t="shared" si="10"/>
        <v>627.45348485069462</v>
      </c>
      <c r="R19" s="6">
        <f t="shared" si="10"/>
        <v>639.667659525511</v>
      </c>
      <c r="S19" s="6">
        <f t="shared" si="10"/>
        <v>657.74633555012042</v>
      </c>
      <c r="T19" s="6">
        <f t="shared" si="10"/>
        <v>698.66498812569444</v>
      </c>
      <c r="U19" s="6">
        <f t="shared" si="10"/>
        <v>739.37194547661363</v>
      </c>
      <c r="V19" s="6">
        <f t="shared" si="10"/>
        <v>812.25311583056452</v>
      </c>
      <c r="W19" s="6">
        <f t="shared" si="10"/>
        <v>902.85815321385223</v>
      </c>
      <c r="X19" s="6">
        <f t="shared" si="10"/>
        <v>948.35444720618568</v>
      </c>
      <c r="Y19" s="6">
        <f t="shared" si="10"/>
        <v>931.0188756808119</v>
      </c>
      <c r="Z19" s="6">
        <f t="shared" ref="Z19:AC19" si="11">Z10/(365/4)/1000</f>
        <v>927.46093836967157</v>
      </c>
      <c r="AA19" s="6">
        <f t="shared" si="11"/>
        <v>876.73928550532503</v>
      </c>
      <c r="AB19" s="6">
        <f t="shared" si="11"/>
        <v>723.52714528260617</v>
      </c>
      <c r="AC19" s="6">
        <f t="shared" si="11"/>
        <v>564.54346267320614</v>
      </c>
    </row>
    <row r="21" spans="1:29" ht="15.75" thickBot="1" x14ac:dyDescent="0.3">
      <c r="C21" s="3" t="s">
        <v>69</v>
      </c>
    </row>
    <row r="22" spans="1:29" ht="15.75" thickBot="1" x14ac:dyDescent="0.3">
      <c r="A22" s="6"/>
      <c r="B22" s="3" t="s">
        <v>68</v>
      </c>
      <c r="C22" s="180">
        <v>5.0000000000000001E-3</v>
      </c>
      <c r="E22" s="3" t="s">
        <v>30</v>
      </c>
      <c r="F22" s="171">
        <f>F16*$C$22</f>
        <v>2.9489379682921686</v>
      </c>
      <c r="G22" s="171">
        <f t="shared" ref="G22:Y25" si="12">G16*$C$22</f>
        <v>2.6884315876393026</v>
      </c>
      <c r="H22" s="171">
        <f t="shared" si="12"/>
        <v>2.5457000660174294</v>
      </c>
      <c r="I22" s="171">
        <f t="shared" si="12"/>
        <v>2.5028556558353889</v>
      </c>
      <c r="J22" s="171">
        <f t="shared" si="12"/>
        <v>2.5752503779585876</v>
      </c>
      <c r="K22" s="171">
        <f t="shared" si="12"/>
        <v>2.8007225995977372</v>
      </c>
      <c r="L22" s="171">
        <f t="shared" si="12"/>
        <v>3.2802987423476653</v>
      </c>
      <c r="M22" s="171">
        <f t="shared" si="12"/>
        <v>3.6424888116780467</v>
      </c>
      <c r="N22" s="171">
        <f t="shared" si="12"/>
        <v>3.5088350285234378</v>
      </c>
      <c r="O22" s="171">
        <f t="shared" si="12"/>
        <v>3.5247643053942301</v>
      </c>
      <c r="P22" s="171">
        <f t="shared" si="12"/>
        <v>3.5986547828365691</v>
      </c>
      <c r="Q22" s="171">
        <f t="shared" si="12"/>
        <v>3.6073978348560245</v>
      </c>
      <c r="R22" s="171">
        <f t="shared" si="12"/>
        <v>3.5883836011034038</v>
      </c>
      <c r="S22" s="171">
        <f t="shared" si="12"/>
        <v>3.5129694493571129</v>
      </c>
      <c r="T22" s="171">
        <f t="shared" si="12"/>
        <v>3.5065909279686918</v>
      </c>
      <c r="U22" s="171">
        <f t="shared" si="12"/>
        <v>3.6461120434857466</v>
      </c>
      <c r="V22" s="171">
        <f t="shared" si="12"/>
        <v>3.990496754018916</v>
      </c>
      <c r="W22" s="171">
        <f t="shared" si="12"/>
        <v>4.7605103614393975</v>
      </c>
      <c r="X22" s="171">
        <f t="shared" si="12"/>
        <v>5.2932446606502834</v>
      </c>
      <c r="Y22" s="171">
        <f t="shared" si="12"/>
        <v>5.3054642634229694</v>
      </c>
      <c r="Z22" s="171">
        <f t="shared" ref="Z22:AC22" si="13">Z16*$C$22</f>
        <v>5.258070324414283</v>
      </c>
      <c r="AA22" s="171">
        <f t="shared" si="13"/>
        <v>5.0442219786902216</v>
      </c>
      <c r="AB22" s="171">
        <f t="shared" si="13"/>
        <v>4.2759114798717306</v>
      </c>
      <c r="AC22" s="171">
        <f t="shared" si="13"/>
        <v>3.4175109956685383</v>
      </c>
    </row>
    <row r="23" spans="1:29" ht="15.75" thickBot="1" x14ac:dyDescent="0.3">
      <c r="A23" s="6"/>
      <c r="E23" s="3" t="s">
        <v>32</v>
      </c>
      <c r="F23" s="171">
        <f t="shared" ref="F23:U25" si="14">F17*$C$22</f>
        <v>2.3241678538190866</v>
      </c>
      <c r="G23" s="171">
        <f t="shared" si="14"/>
        <v>2.0928452486133629</v>
      </c>
      <c r="H23" s="171">
        <f t="shared" si="14"/>
        <v>1.9729118709981268</v>
      </c>
      <c r="I23" s="171">
        <f t="shared" si="14"/>
        <v>1.9668369208841765</v>
      </c>
      <c r="J23" s="171">
        <f t="shared" si="14"/>
        <v>2.0794740883832996</v>
      </c>
      <c r="K23" s="171">
        <f t="shared" si="14"/>
        <v>2.2894812473333372</v>
      </c>
      <c r="L23" s="171">
        <f t="shared" si="14"/>
        <v>2.6843789154831734</v>
      </c>
      <c r="M23" s="171">
        <f t="shared" si="14"/>
        <v>2.8699036385097649</v>
      </c>
      <c r="N23" s="171">
        <f t="shared" si="14"/>
        <v>2.826835159228771</v>
      </c>
      <c r="O23" s="171">
        <f t="shared" si="14"/>
        <v>2.9203733476814602</v>
      </c>
      <c r="P23" s="171">
        <f t="shared" si="14"/>
        <v>2.980891390993528</v>
      </c>
      <c r="Q23" s="171">
        <f t="shared" si="14"/>
        <v>2.9604019276250391</v>
      </c>
      <c r="R23" s="171">
        <f t="shared" si="14"/>
        <v>2.9353300388817321</v>
      </c>
      <c r="S23" s="171">
        <f t="shared" si="14"/>
        <v>2.9366417811550303</v>
      </c>
      <c r="T23" s="171">
        <f t="shared" si="14"/>
        <v>2.9740542142505548</v>
      </c>
      <c r="U23" s="171">
        <f t="shared" si="14"/>
        <v>3.1022858115163303</v>
      </c>
      <c r="V23" s="171">
        <f t="shared" si="12"/>
        <v>3.3855348503515992</v>
      </c>
      <c r="W23" s="171">
        <f t="shared" si="12"/>
        <v>3.6944264556662949</v>
      </c>
      <c r="X23" s="171">
        <f t="shared" si="12"/>
        <v>3.9589894306172217</v>
      </c>
      <c r="Y23" s="171">
        <f t="shared" si="12"/>
        <v>4.1645845783722688</v>
      </c>
      <c r="Z23" s="171">
        <f t="shared" ref="Z23:AC23" si="15">Z17*$C$22</f>
        <v>4.1940794635153837</v>
      </c>
      <c r="AA23" s="171">
        <f t="shared" si="15"/>
        <v>4.0804617203390876</v>
      </c>
      <c r="AB23" s="171">
        <f t="shared" si="15"/>
        <v>3.4234814380377601</v>
      </c>
      <c r="AC23" s="171">
        <f t="shared" si="15"/>
        <v>2.7637199303315616</v>
      </c>
    </row>
    <row r="24" spans="1:29" ht="15.75" thickBot="1" x14ac:dyDescent="0.3">
      <c r="A24" s="6"/>
      <c r="E24" s="3" t="s">
        <v>34</v>
      </c>
      <c r="F24" s="171">
        <f t="shared" si="14"/>
        <v>3.3049173797210956</v>
      </c>
      <c r="G24" s="171">
        <f t="shared" si="12"/>
        <v>2.736739832443571</v>
      </c>
      <c r="H24" s="171">
        <f t="shared" si="12"/>
        <v>2.4488694731218215</v>
      </c>
      <c r="I24" s="171">
        <f t="shared" si="12"/>
        <v>2.3223053584565747</v>
      </c>
      <c r="J24" s="171">
        <f t="shared" si="12"/>
        <v>2.2706963094594381</v>
      </c>
      <c r="K24" s="171">
        <f t="shared" si="12"/>
        <v>2.1849295750950919</v>
      </c>
      <c r="L24" s="171">
        <f t="shared" si="12"/>
        <v>2.311920791201866</v>
      </c>
      <c r="M24" s="171">
        <f t="shared" si="12"/>
        <v>2.6576508122668083</v>
      </c>
      <c r="N24" s="171">
        <f t="shared" si="12"/>
        <v>3.0409963330415253</v>
      </c>
      <c r="O24" s="171">
        <f t="shared" si="12"/>
        <v>3.3763125684127178</v>
      </c>
      <c r="P24" s="171">
        <f t="shared" si="12"/>
        <v>3.8760351421208932</v>
      </c>
      <c r="Q24" s="171">
        <f t="shared" si="12"/>
        <v>4.3426085750282688</v>
      </c>
      <c r="R24" s="171">
        <f t="shared" si="12"/>
        <v>4.8429539137746733</v>
      </c>
      <c r="S24" s="171">
        <f t="shared" si="12"/>
        <v>5.3072718908296501</v>
      </c>
      <c r="T24" s="171">
        <f t="shared" si="12"/>
        <v>5.8100166238625057</v>
      </c>
      <c r="U24" s="171">
        <f t="shared" si="12"/>
        <v>6.2731536873286284</v>
      </c>
      <c r="V24" s="171">
        <f t="shared" si="12"/>
        <v>6.8610589720942992</v>
      </c>
      <c r="W24" s="181">
        <f t="shared" si="12"/>
        <v>7.2591218590462612</v>
      </c>
      <c r="X24" s="182">
        <f t="shared" si="12"/>
        <v>7.3445948006059965</v>
      </c>
      <c r="Y24" s="171">
        <f t="shared" si="12"/>
        <v>7.0464531190056645</v>
      </c>
      <c r="Z24" s="171">
        <f t="shared" ref="Z24:AC24" si="16">Z18*$C$22</f>
        <v>6.5214546205022703</v>
      </c>
      <c r="AA24" s="171">
        <f t="shared" si="16"/>
        <v>6.2721794332041583</v>
      </c>
      <c r="AB24" s="171">
        <f t="shared" si="16"/>
        <v>5.4601813285136913</v>
      </c>
      <c r="AC24" s="171">
        <f t="shared" si="16"/>
        <v>4.1769445931162519</v>
      </c>
    </row>
    <row r="25" spans="1:29" x14ac:dyDescent="0.25">
      <c r="A25" s="6"/>
      <c r="E25" s="3" t="s">
        <v>36</v>
      </c>
      <c r="F25" s="171">
        <f t="shared" si="14"/>
        <v>2.3572580763302216</v>
      </c>
      <c r="G25" s="171">
        <f t="shared" si="12"/>
        <v>2.0887857234127352</v>
      </c>
      <c r="H25" s="171">
        <f t="shared" si="12"/>
        <v>1.9677604817450525</v>
      </c>
      <c r="I25" s="171">
        <f t="shared" si="12"/>
        <v>1.9189883582195166</v>
      </c>
      <c r="J25" s="171">
        <f t="shared" si="12"/>
        <v>1.988778869255116</v>
      </c>
      <c r="K25" s="171">
        <f t="shared" si="12"/>
        <v>2.1329890569590035</v>
      </c>
      <c r="L25" s="171">
        <f t="shared" si="12"/>
        <v>2.5409791460026345</v>
      </c>
      <c r="M25" s="171">
        <f t="shared" si="12"/>
        <v>2.782820090660493</v>
      </c>
      <c r="N25" s="171">
        <f t="shared" si="12"/>
        <v>2.7910775507893697</v>
      </c>
      <c r="O25" s="171">
        <f t="shared" si="12"/>
        <v>2.9450725662113504</v>
      </c>
      <c r="P25" s="171">
        <f t="shared" si="12"/>
        <v>2.9873874301054748</v>
      </c>
      <c r="Q25" s="171">
        <f t="shared" si="12"/>
        <v>3.1372674242534733</v>
      </c>
      <c r="R25" s="171">
        <f t="shared" si="12"/>
        <v>3.1983382976275552</v>
      </c>
      <c r="S25" s="171">
        <f t="shared" si="12"/>
        <v>3.2887316777506022</v>
      </c>
      <c r="T25" s="171">
        <f t="shared" si="12"/>
        <v>3.4933249406284723</v>
      </c>
      <c r="U25" s="171">
        <f t="shared" si="12"/>
        <v>3.6968597273830683</v>
      </c>
      <c r="V25" s="171">
        <f t="shared" si="12"/>
        <v>4.0612655791528223</v>
      </c>
      <c r="W25" s="171">
        <f t="shared" si="12"/>
        <v>4.5142907660692613</v>
      </c>
      <c r="X25" s="171">
        <f t="shared" si="12"/>
        <v>4.7417722360309282</v>
      </c>
      <c r="Y25" s="171">
        <f t="shared" si="12"/>
        <v>4.6550943784040593</v>
      </c>
      <c r="Z25" s="171">
        <f t="shared" ref="Z25:AC25" si="17">Z19*$C$22</f>
        <v>4.6373046918483576</v>
      </c>
      <c r="AA25" s="171">
        <f t="shared" si="17"/>
        <v>4.3836964275266252</v>
      </c>
      <c r="AB25" s="171">
        <f t="shared" si="17"/>
        <v>3.617635726413031</v>
      </c>
      <c r="AC25" s="171">
        <f t="shared" si="17"/>
        <v>2.8227173133660308</v>
      </c>
    </row>
    <row r="26" spans="1:29" x14ac:dyDescent="0.25">
      <c r="A26" s="6"/>
      <c r="F26" s="171"/>
      <c r="G26" s="171"/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</row>
    <row r="27" spans="1:29" x14ac:dyDescent="0.25">
      <c r="A27" s="6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</row>
    <row r="28" spans="1:29" x14ac:dyDescent="0.25">
      <c r="A28" s="6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</row>
    <row r="29" spans="1:29" x14ac:dyDescent="0.25">
      <c r="A29" s="6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</row>
    <row r="31" spans="1:29" x14ac:dyDescent="0.25">
      <c r="B31" s="3" t="s">
        <v>59</v>
      </c>
      <c r="E31" s="3" t="s">
        <v>30</v>
      </c>
      <c r="F31" s="176">
        <f t="shared" ref="F31:Y31" si="18">F16-F22</f>
        <v>586.83865569014154</v>
      </c>
      <c r="G31" s="176">
        <f t="shared" si="18"/>
        <v>534.99788594022118</v>
      </c>
      <c r="H31" s="176">
        <f t="shared" si="18"/>
        <v>506.59431313746842</v>
      </c>
      <c r="I31" s="176">
        <f t="shared" si="18"/>
        <v>498.06827551124235</v>
      </c>
      <c r="J31" s="176">
        <f t="shared" si="18"/>
        <v>512.47482521375889</v>
      </c>
      <c r="K31" s="176">
        <f t="shared" si="18"/>
        <v>557.34379731994966</v>
      </c>
      <c r="L31" s="176">
        <f t="shared" si="18"/>
        <v>652.77944972718535</v>
      </c>
      <c r="M31" s="176">
        <f t="shared" si="18"/>
        <v>724.85527352393126</v>
      </c>
      <c r="N31" s="176">
        <f t="shared" si="18"/>
        <v>698.25817067616413</v>
      </c>
      <c r="O31" s="176">
        <f t="shared" si="18"/>
        <v>701.42809677345178</v>
      </c>
      <c r="P31" s="176">
        <f t="shared" si="18"/>
        <v>716.13230178447725</v>
      </c>
      <c r="Q31" s="176">
        <f t="shared" si="18"/>
        <v>717.87216913634893</v>
      </c>
      <c r="R31" s="176">
        <f t="shared" si="18"/>
        <v>714.08833661957738</v>
      </c>
      <c r="S31" s="176">
        <f t="shared" si="18"/>
        <v>699.08092042206545</v>
      </c>
      <c r="T31" s="176">
        <f t="shared" si="18"/>
        <v>697.81159466576969</v>
      </c>
      <c r="U31" s="176">
        <f t="shared" si="18"/>
        <v>725.57629665366346</v>
      </c>
      <c r="V31" s="176">
        <f t="shared" si="18"/>
        <v>794.10885404976432</v>
      </c>
      <c r="W31" s="176">
        <f t="shared" si="18"/>
        <v>947.34156192644002</v>
      </c>
      <c r="X31" s="176">
        <f t="shared" si="18"/>
        <v>1053.3556874694063</v>
      </c>
      <c r="Y31" s="176">
        <f t="shared" si="18"/>
        <v>1055.787388421171</v>
      </c>
      <c r="Z31" s="176">
        <f t="shared" ref="Z31:AC31" si="19">Z16-Z22</f>
        <v>1046.3559945584423</v>
      </c>
      <c r="AA31" s="176">
        <f t="shared" si="19"/>
        <v>1003.8001737593542</v>
      </c>
      <c r="AB31" s="176">
        <f t="shared" si="19"/>
        <v>850.90638449447442</v>
      </c>
      <c r="AC31" s="176">
        <f t="shared" si="19"/>
        <v>680.08468813803916</v>
      </c>
    </row>
    <row r="32" spans="1:29" ht="15.75" thickBot="1" x14ac:dyDescent="0.3">
      <c r="E32" s="3" t="s">
        <v>32</v>
      </c>
      <c r="F32" s="176">
        <f t="shared" ref="F32:Y32" si="20">F17-F23</f>
        <v>462.50940290999824</v>
      </c>
      <c r="G32" s="176">
        <f t="shared" si="20"/>
        <v>416.47620447405922</v>
      </c>
      <c r="H32" s="176">
        <f t="shared" si="20"/>
        <v>392.60946232862722</v>
      </c>
      <c r="I32" s="176">
        <f t="shared" si="20"/>
        <v>391.4005472559511</v>
      </c>
      <c r="J32" s="176">
        <f t="shared" si="20"/>
        <v>413.81534358827668</v>
      </c>
      <c r="K32" s="176">
        <f t="shared" si="20"/>
        <v>455.60676821933407</v>
      </c>
      <c r="L32" s="176">
        <f t="shared" si="20"/>
        <v>534.19140418115148</v>
      </c>
      <c r="M32" s="176">
        <f t="shared" si="20"/>
        <v>571.11082406344326</v>
      </c>
      <c r="N32" s="176">
        <f t="shared" si="20"/>
        <v>562.54019668652552</v>
      </c>
      <c r="O32" s="176">
        <f t="shared" si="20"/>
        <v>581.1542961886106</v>
      </c>
      <c r="P32" s="176">
        <f t="shared" si="20"/>
        <v>593.19738680771206</v>
      </c>
      <c r="Q32" s="176">
        <f t="shared" si="20"/>
        <v>589.11998359738277</v>
      </c>
      <c r="R32" s="176">
        <f t="shared" si="20"/>
        <v>584.13067773746468</v>
      </c>
      <c r="S32" s="176">
        <f t="shared" si="20"/>
        <v>584.39171444985107</v>
      </c>
      <c r="T32" s="176">
        <f t="shared" si="20"/>
        <v>591.83678863586033</v>
      </c>
      <c r="U32" s="176">
        <f t="shared" si="20"/>
        <v>617.35487649174968</v>
      </c>
      <c r="V32" s="176">
        <f t="shared" si="20"/>
        <v>673.72143521996816</v>
      </c>
      <c r="W32" s="176">
        <f t="shared" si="20"/>
        <v>735.19086467759269</v>
      </c>
      <c r="X32" s="176">
        <f t="shared" si="20"/>
        <v>787.83889669282712</v>
      </c>
      <c r="Y32" s="176">
        <f t="shared" si="20"/>
        <v>828.75233109608143</v>
      </c>
      <c r="Z32" s="176">
        <f t="shared" ref="Z32:AC32" si="21">Z17-Z23</f>
        <v>834.62181323956122</v>
      </c>
      <c r="AA32" s="176">
        <f t="shared" si="21"/>
        <v>812.01188234747838</v>
      </c>
      <c r="AB32" s="176">
        <f t="shared" si="21"/>
        <v>681.27280616951418</v>
      </c>
      <c r="AC32" s="176">
        <f t="shared" si="21"/>
        <v>549.98026613598074</v>
      </c>
    </row>
    <row r="33" spans="2:29" ht="15.75" thickBot="1" x14ac:dyDescent="0.3">
      <c r="E33" s="3" t="s">
        <v>34</v>
      </c>
      <c r="F33" s="176">
        <f t="shared" ref="F33:Y33" si="22">F18-F24</f>
        <v>657.67855856449796</v>
      </c>
      <c r="G33" s="176">
        <f t="shared" si="22"/>
        <v>544.61122665627056</v>
      </c>
      <c r="H33" s="176">
        <f t="shared" si="22"/>
        <v>487.32502515124247</v>
      </c>
      <c r="I33" s="176">
        <f t="shared" si="22"/>
        <v>462.13876633285838</v>
      </c>
      <c r="J33" s="176">
        <f t="shared" si="22"/>
        <v>451.86856558242823</v>
      </c>
      <c r="K33" s="176">
        <f t="shared" si="22"/>
        <v>434.80098544392325</v>
      </c>
      <c r="L33" s="176">
        <f t="shared" si="22"/>
        <v>460.07223744917133</v>
      </c>
      <c r="M33" s="176">
        <f t="shared" si="22"/>
        <v>528.87251164109489</v>
      </c>
      <c r="N33" s="176">
        <f t="shared" si="22"/>
        <v>605.15827027526348</v>
      </c>
      <c r="O33" s="176">
        <f t="shared" si="22"/>
        <v>671.88620111413081</v>
      </c>
      <c r="P33" s="176">
        <f t="shared" si="22"/>
        <v>771.33099328205765</v>
      </c>
      <c r="Q33" s="176">
        <f t="shared" si="22"/>
        <v>864.17910643062544</v>
      </c>
      <c r="R33" s="176">
        <f t="shared" si="22"/>
        <v>963.74782884115996</v>
      </c>
      <c r="S33" s="176">
        <f t="shared" si="22"/>
        <v>1056.1471062751002</v>
      </c>
      <c r="T33" s="176">
        <f t="shared" si="22"/>
        <v>1156.1933081486386</v>
      </c>
      <c r="U33" s="176">
        <f t="shared" si="22"/>
        <v>1248.3575837783969</v>
      </c>
      <c r="V33" s="176">
        <f t="shared" si="22"/>
        <v>1365.3507354467656</v>
      </c>
      <c r="W33" s="176">
        <f t="shared" si="22"/>
        <v>1444.565249950206</v>
      </c>
      <c r="X33" s="183">
        <f t="shared" si="22"/>
        <v>1461.5743653205932</v>
      </c>
      <c r="Y33" s="176">
        <f t="shared" si="22"/>
        <v>1402.2441706821271</v>
      </c>
      <c r="Z33" s="176">
        <f t="shared" ref="Z33:AC33" si="23">Z18-Z24</f>
        <v>1297.7694694799518</v>
      </c>
      <c r="AA33" s="176">
        <f t="shared" si="23"/>
        <v>1248.1637072076273</v>
      </c>
      <c r="AB33" s="176">
        <f t="shared" si="23"/>
        <v>1086.5760843742246</v>
      </c>
      <c r="AC33" s="176">
        <f t="shared" si="23"/>
        <v>831.21197403013423</v>
      </c>
    </row>
    <row r="34" spans="2:29" x14ac:dyDescent="0.25">
      <c r="E34" s="3" t="s">
        <v>36</v>
      </c>
      <c r="F34" s="176">
        <f t="shared" ref="F34:Y34" si="24">F19-F25</f>
        <v>469.09435718971406</v>
      </c>
      <c r="G34" s="176">
        <f t="shared" si="24"/>
        <v>415.66835895913425</v>
      </c>
      <c r="H34" s="176">
        <f t="shared" si="24"/>
        <v>391.58433586726539</v>
      </c>
      <c r="I34" s="176">
        <f t="shared" si="24"/>
        <v>381.87868328568379</v>
      </c>
      <c r="J34" s="176">
        <f t="shared" si="24"/>
        <v>395.76699498176811</v>
      </c>
      <c r="K34" s="176">
        <f t="shared" si="24"/>
        <v>424.4648223348417</v>
      </c>
      <c r="L34" s="176">
        <f t="shared" si="24"/>
        <v>505.65485005452427</v>
      </c>
      <c r="M34" s="176">
        <f t="shared" si="24"/>
        <v>553.78119804143807</v>
      </c>
      <c r="N34" s="176">
        <f t="shared" si="24"/>
        <v>555.42443260708455</v>
      </c>
      <c r="O34" s="176">
        <f t="shared" si="24"/>
        <v>586.06944067605866</v>
      </c>
      <c r="P34" s="176">
        <f t="shared" si="24"/>
        <v>594.49009859098942</v>
      </c>
      <c r="Q34" s="176">
        <f t="shared" si="24"/>
        <v>624.3162174264412</v>
      </c>
      <c r="R34" s="176">
        <f t="shared" si="24"/>
        <v>636.46932122788348</v>
      </c>
      <c r="S34" s="176">
        <f t="shared" si="24"/>
        <v>654.45760387236987</v>
      </c>
      <c r="T34" s="176">
        <f t="shared" si="24"/>
        <v>695.171663185066</v>
      </c>
      <c r="U34" s="176">
        <f t="shared" si="24"/>
        <v>735.67508574923056</v>
      </c>
      <c r="V34" s="176">
        <f t="shared" si="24"/>
        <v>808.19185025141167</v>
      </c>
      <c r="W34" s="176">
        <f t="shared" si="24"/>
        <v>898.34386244778295</v>
      </c>
      <c r="X34" s="176">
        <f t="shared" si="24"/>
        <v>943.61267497015479</v>
      </c>
      <c r="Y34" s="176">
        <f t="shared" si="24"/>
        <v>926.3637813024078</v>
      </c>
      <c r="Z34" s="176">
        <f t="shared" ref="Z34:AC34" si="25">Z19-Z25</f>
        <v>922.82363367782318</v>
      </c>
      <c r="AA34" s="176">
        <f t="shared" si="25"/>
        <v>872.35558907779841</v>
      </c>
      <c r="AB34" s="176">
        <f t="shared" si="25"/>
        <v>719.90950955619314</v>
      </c>
      <c r="AC34" s="176">
        <f t="shared" si="25"/>
        <v>561.72074535984007</v>
      </c>
    </row>
    <row r="39" spans="2:29" x14ac:dyDescent="0.25">
      <c r="B39" s="3" t="s">
        <v>277</v>
      </c>
    </row>
    <row r="40" spans="2:29" x14ac:dyDescent="0.25">
      <c r="B40" s="158" t="s">
        <v>271</v>
      </c>
    </row>
    <row r="41" spans="2:29" x14ac:dyDescent="0.25">
      <c r="D41" s="3" t="s">
        <v>37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4.7213635953602603E-3</v>
      </c>
      <c r="N41" s="3">
        <v>0.21043459113424101</v>
      </c>
      <c r="O41" s="3">
        <v>0.44256062296713744</v>
      </c>
      <c r="P41" s="3">
        <v>0.56742868980115346</v>
      </c>
      <c r="Q41" s="3">
        <v>0.66846283338497992</v>
      </c>
      <c r="R41" s="3">
        <v>0.65502736788556681</v>
      </c>
      <c r="S41" s="3">
        <v>0.6618761357686076</v>
      </c>
      <c r="T41" s="3">
        <v>0.61498638520840854</v>
      </c>
      <c r="U41" s="3">
        <v>0.48423354494371318</v>
      </c>
      <c r="V41" s="3">
        <v>0.28104621101561084</v>
      </c>
      <c r="W41" s="3">
        <v>5.0944169832224731E-2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</row>
    <row r="42" spans="2:29" x14ac:dyDescent="0.25">
      <c r="D42" s="3" t="s">
        <v>38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7.9398283083083275E-5</v>
      </c>
      <c r="L42" s="3">
        <v>2.0616039120976482E-2</v>
      </c>
      <c r="M42" s="3">
        <v>0.22923152566127183</v>
      </c>
      <c r="N42" s="3">
        <v>0.5063490695307834</v>
      </c>
      <c r="O42" s="3">
        <v>0.76067251059118657</v>
      </c>
      <c r="P42" s="3">
        <v>0.87907048822247158</v>
      </c>
      <c r="Q42" s="3">
        <v>0.87392792209018366</v>
      </c>
      <c r="R42" s="3">
        <v>0.85988950637589823</v>
      </c>
      <c r="S42" s="3">
        <v>0.84927863613866206</v>
      </c>
      <c r="T42" s="3">
        <v>0.8337607654131689</v>
      </c>
      <c r="U42" s="3">
        <v>0.73856536544586471</v>
      </c>
      <c r="V42" s="3">
        <v>0.48806924491913461</v>
      </c>
      <c r="W42" s="3">
        <v>0.23807259613631707</v>
      </c>
      <c r="X42" s="3">
        <v>2.4324182996888731E-2</v>
      </c>
      <c r="Y42" s="3">
        <v>2.2324321821927345E-5</v>
      </c>
      <c r="Z42" s="3">
        <v>0</v>
      </c>
      <c r="AA42" s="3">
        <v>0</v>
      </c>
      <c r="AB42" s="3">
        <v>0</v>
      </c>
      <c r="AC42" s="3">
        <v>0</v>
      </c>
    </row>
    <row r="43" spans="2:29" x14ac:dyDescent="0.25">
      <c r="D43" s="3" t="s">
        <v>39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7.2179484964749396E-4</v>
      </c>
      <c r="L43" s="3">
        <v>3.1653164063580812E-2</v>
      </c>
      <c r="M43" s="3">
        <v>0.2646653129978162</v>
      </c>
      <c r="N43" s="3">
        <v>0.53961388767539187</v>
      </c>
      <c r="O43" s="3">
        <v>0.77449031752258157</v>
      </c>
      <c r="P43" s="3">
        <v>0.91498710905485037</v>
      </c>
      <c r="Q43" s="3">
        <v>0.94368864209396441</v>
      </c>
      <c r="R43" s="3">
        <v>0.91020870076701932</v>
      </c>
      <c r="S43" s="3">
        <v>0.85943715534623022</v>
      </c>
      <c r="T43" s="3">
        <v>0.82365651472370005</v>
      </c>
      <c r="U43" s="3">
        <v>0.67321090730611532</v>
      </c>
      <c r="V43" s="3">
        <v>0.49538908219013977</v>
      </c>
      <c r="W43" s="3">
        <v>0.27097905644866149</v>
      </c>
      <c r="X43" s="3">
        <v>6.6175796041712781E-2</v>
      </c>
      <c r="Y43" s="3">
        <v>5.1485033470344299E-4</v>
      </c>
      <c r="Z43" s="3">
        <v>0</v>
      </c>
      <c r="AA43" s="3">
        <v>0</v>
      </c>
      <c r="AB43" s="3">
        <v>0</v>
      </c>
      <c r="AC43" s="3">
        <v>0</v>
      </c>
    </row>
    <row r="44" spans="2:29" x14ac:dyDescent="0.25">
      <c r="D44" s="3" t="s">
        <v>40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4.5606357078024754E-4</v>
      </c>
      <c r="M44" s="3">
        <v>0.1562455968757723</v>
      </c>
      <c r="N44" s="3">
        <v>0.4646505245285637</v>
      </c>
      <c r="O44" s="3">
        <v>0.69988448716967111</v>
      </c>
      <c r="P44" s="3">
        <v>0.8445873100506206</v>
      </c>
      <c r="Q44" s="3">
        <v>0.8530884668261014</v>
      </c>
      <c r="R44" s="3">
        <v>0.83973603954300302</v>
      </c>
      <c r="S44" s="3">
        <v>0.85344566756714313</v>
      </c>
      <c r="T44" s="3">
        <v>0.79911671886670044</v>
      </c>
      <c r="U44" s="3">
        <v>0.56555182683515515</v>
      </c>
      <c r="V44" s="3">
        <v>0.3187152551788423</v>
      </c>
      <c r="W44" s="3">
        <v>7.2837658259741478E-2</v>
      </c>
      <c r="X44" s="3">
        <v>1.0994431690130364E-4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</row>
    <row r="51" spans="1:29" x14ac:dyDescent="0.25">
      <c r="A51" s="3" t="s">
        <v>272</v>
      </c>
    </row>
    <row r="53" spans="1:29" x14ac:dyDescent="0.25">
      <c r="A53" s="140"/>
    </row>
    <row r="54" spans="1:29" x14ac:dyDescent="0.25">
      <c r="A54" s="184">
        <f>I11*0.004242</f>
        <v>13.999266631744369</v>
      </c>
      <c r="B54" s="3" t="s">
        <v>70</v>
      </c>
      <c r="D54" s="3" t="s">
        <v>37</v>
      </c>
      <c r="F54" s="3">
        <f>F41*$A$54*0.75</f>
        <v>0</v>
      </c>
      <c r="G54" s="3">
        <f t="shared" ref="G54:AC56" si="26">G41*$A$54*0.75</f>
        <v>0</v>
      </c>
      <c r="H54" s="3">
        <f t="shared" si="26"/>
        <v>0</v>
      </c>
      <c r="I54" s="3">
        <f t="shared" si="26"/>
        <v>0</v>
      </c>
      <c r="J54" s="3">
        <f t="shared" si="26"/>
        <v>0</v>
      </c>
      <c r="K54" s="3">
        <f t="shared" si="26"/>
        <v>0</v>
      </c>
      <c r="L54" s="3">
        <f t="shared" si="26"/>
        <v>0</v>
      </c>
      <c r="M54" s="3">
        <f t="shared" si="26"/>
        <v>4.9571720877644637E-2</v>
      </c>
      <c r="N54" s="3">
        <f t="shared" si="26"/>
        <v>2.2094474623727622</v>
      </c>
      <c r="O54" s="3">
        <f t="shared" si="26"/>
        <v>4.6466431212208859</v>
      </c>
      <c r="P54" s="3">
        <f t="shared" si="26"/>
        <v>5.9576891422707856</v>
      </c>
      <c r="Q54" s="3">
        <f t="shared" si="26"/>
        <v>7.0184920784757345</v>
      </c>
      <c r="R54" s="3">
        <f t="shared" si="26"/>
        <v>6.8774270805898192</v>
      </c>
      <c r="S54" s="3">
        <f t="shared" si="26"/>
        <v>6.9493353763600307</v>
      </c>
      <c r="T54" s="3">
        <f t="shared" si="26"/>
        <v>6.4570187860688719</v>
      </c>
      <c r="U54" s="3">
        <f t="shared" si="26"/>
        <v>5.0841858807763582</v>
      </c>
      <c r="V54" s="3">
        <f t="shared" si="26"/>
        <v>2.9508306328867704</v>
      </c>
      <c r="W54" s="3">
        <f t="shared" si="26"/>
        <v>0.53488576261063636</v>
      </c>
      <c r="X54" s="3">
        <f t="shared" si="26"/>
        <v>0</v>
      </c>
      <c r="Y54" s="3">
        <f t="shared" si="26"/>
        <v>0</v>
      </c>
      <c r="Z54" s="3">
        <f t="shared" si="26"/>
        <v>0</v>
      </c>
      <c r="AA54" s="3">
        <f t="shared" si="26"/>
        <v>0</v>
      </c>
      <c r="AB54" s="3">
        <f t="shared" si="26"/>
        <v>0</v>
      </c>
      <c r="AC54" s="3">
        <f t="shared" si="26"/>
        <v>0</v>
      </c>
    </row>
    <row r="55" spans="1:29" x14ac:dyDescent="0.25">
      <c r="A55" s="141">
        <f>A54</f>
        <v>13.999266631744369</v>
      </c>
      <c r="B55" s="66" t="s">
        <v>264</v>
      </c>
      <c r="D55" s="3" t="s">
        <v>38</v>
      </c>
      <c r="F55" s="3">
        <f t="shared" ref="F55:U56" si="27">F42*$A$54*0.75</f>
        <v>0</v>
      </c>
      <c r="G55" s="3">
        <f t="shared" si="27"/>
        <v>0</v>
      </c>
      <c r="H55" s="3">
        <f t="shared" si="27"/>
        <v>0</v>
      </c>
      <c r="I55" s="3">
        <f t="shared" si="27"/>
        <v>0</v>
      </c>
      <c r="J55" s="3">
        <f t="shared" si="27"/>
        <v>0</v>
      </c>
      <c r="K55" s="3">
        <f t="shared" si="27"/>
        <v>8.3363830123710085E-4</v>
      </c>
      <c r="L55" s="3">
        <f t="shared" si="27"/>
        <v>0.21645707140876694</v>
      </c>
      <c r="M55" s="3">
        <f t="shared" si="27"/>
        <v>2.4068049361002721</v>
      </c>
      <c r="N55" s="3">
        <f t="shared" si="27"/>
        <v>5.3163867248228289</v>
      </c>
      <c r="O55" s="3">
        <f t="shared" si="27"/>
        <v>7.9866429714033096</v>
      </c>
      <c r="P55" s="3">
        <f t="shared" si="27"/>
        <v>9.2297566145430583</v>
      </c>
      <c r="Q55" s="3">
        <f t="shared" si="27"/>
        <v>9.1757624987001005</v>
      </c>
      <c r="R55" s="3">
        <f t="shared" si="27"/>
        <v>9.0283668551964364</v>
      </c>
      <c r="S55" s="3">
        <f t="shared" si="27"/>
        <v>8.9169585539620044</v>
      </c>
      <c r="T55" s="3">
        <f t="shared" si="27"/>
        <v>8.7540294465796649</v>
      </c>
      <c r="U55" s="3">
        <f t="shared" si="27"/>
        <v>7.7545301068862846</v>
      </c>
      <c r="V55" s="3">
        <f t="shared" si="26"/>
        <v>5.1244586207828338</v>
      </c>
      <c r="W55" s="3">
        <f t="shared" si="26"/>
        <v>2.4996313132679226</v>
      </c>
      <c r="X55" s="3">
        <f t="shared" si="26"/>
        <v>0.25539054252959115</v>
      </c>
      <c r="Y55" s="3">
        <f t="shared" si="26"/>
        <v>2.3439310016852262E-4</v>
      </c>
      <c r="Z55" s="3">
        <f t="shared" si="26"/>
        <v>0</v>
      </c>
      <c r="AA55" s="3">
        <f t="shared" si="26"/>
        <v>0</v>
      </c>
      <c r="AB55" s="3">
        <f t="shared" si="26"/>
        <v>0</v>
      </c>
      <c r="AC55" s="3">
        <f t="shared" si="26"/>
        <v>0</v>
      </c>
    </row>
    <row r="56" spans="1:29" x14ac:dyDescent="0.25">
      <c r="A56" s="141"/>
      <c r="D56" s="3" t="s">
        <v>39</v>
      </c>
      <c r="F56" s="3">
        <f t="shared" si="27"/>
        <v>0</v>
      </c>
      <c r="G56" s="3">
        <f t="shared" si="26"/>
        <v>0</v>
      </c>
      <c r="H56" s="3">
        <f t="shared" si="26"/>
        <v>0</v>
      </c>
      <c r="I56" s="3">
        <f t="shared" si="26"/>
        <v>0</v>
      </c>
      <c r="J56" s="3">
        <f t="shared" si="26"/>
        <v>0</v>
      </c>
      <c r="K56" s="3">
        <f t="shared" si="26"/>
        <v>7.5784489152263294E-3</v>
      </c>
      <c r="L56" s="3">
        <f t="shared" si="26"/>
        <v>0.33234081259831266</v>
      </c>
      <c r="M56" s="3">
        <f t="shared" si="26"/>
        <v>2.7788402136228809</v>
      </c>
      <c r="N56" s="3">
        <f t="shared" si="26"/>
        <v>5.665649018819976</v>
      </c>
      <c r="O56" s="3">
        <f t="shared" si="26"/>
        <v>8.1317223440272333</v>
      </c>
      <c r="P56" s="3">
        <f t="shared" si="26"/>
        <v>9.6068613782008612</v>
      </c>
      <c r="Q56" s="3">
        <f t="shared" si="26"/>
        <v>9.9082116885166425</v>
      </c>
      <c r="R56" s="3">
        <f t="shared" si="26"/>
        <v>9.5566907194283459</v>
      </c>
      <c r="S56" s="3">
        <f t="shared" si="26"/>
        <v>9.0236174181898363</v>
      </c>
      <c r="T56" s="3">
        <f t="shared" si="26"/>
        <v>8.6479403719427701</v>
      </c>
      <c r="U56" s="3">
        <f t="shared" si="26"/>
        <v>7.0683442430826391</v>
      </c>
      <c r="V56" s="3">
        <f t="shared" si="26"/>
        <v>5.2013128860261695</v>
      </c>
      <c r="W56" s="3">
        <f t="shared" si="26"/>
        <v>2.8451310471324907</v>
      </c>
      <c r="X56" s="3">
        <f t="shared" si="26"/>
        <v>0.69480946001690314</v>
      </c>
      <c r="Y56" s="3">
        <f t="shared" si="26"/>
        <v>5.4056453332172469E-3</v>
      </c>
      <c r="Z56" s="3">
        <f t="shared" si="26"/>
        <v>0</v>
      </c>
      <c r="AA56" s="3">
        <f t="shared" si="26"/>
        <v>0</v>
      </c>
      <c r="AB56" s="3">
        <f t="shared" si="26"/>
        <v>0</v>
      </c>
      <c r="AC56" s="3">
        <f t="shared" si="26"/>
        <v>0</v>
      </c>
    </row>
    <row r="57" spans="1:29" x14ac:dyDescent="0.25">
      <c r="A57" s="7"/>
      <c r="D57" s="3" t="s">
        <v>40</v>
      </c>
      <c r="F57" s="3">
        <f>F44*$A$54*0.75</f>
        <v>0</v>
      </c>
      <c r="G57" s="3">
        <f t="shared" ref="G57:AC57" si="28">G44*$A$54*0.75</f>
        <v>0</v>
      </c>
      <c r="H57" s="3">
        <f t="shared" si="28"/>
        <v>0</v>
      </c>
      <c r="I57" s="3">
        <f t="shared" si="28"/>
        <v>0</v>
      </c>
      <c r="J57" s="3">
        <f t="shared" si="28"/>
        <v>0</v>
      </c>
      <c r="K57" s="3">
        <f t="shared" si="28"/>
        <v>0</v>
      </c>
      <c r="L57" s="3">
        <f t="shared" si="28"/>
        <v>4.7884166462835798E-3</v>
      </c>
      <c r="M57" s="3">
        <f t="shared" si="28"/>
        <v>1.640492828024986</v>
      </c>
      <c r="N57" s="3">
        <f t="shared" si="28"/>
        <v>4.8785749375914307</v>
      </c>
      <c r="O57" s="3">
        <f t="shared" si="28"/>
        <v>7.348402160482423</v>
      </c>
      <c r="P57" s="3">
        <f t="shared" si="28"/>
        <v>8.8677022103897922</v>
      </c>
      <c r="Q57" s="3">
        <f t="shared" si="28"/>
        <v>8.9569596806734531</v>
      </c>
      <c r="R57" s="3">
        <f t="shared" si="28"/>
        <v>8.8167665383856484</v>
      </c>
      <c r="S57" s="3">
        <f t="shared" si="28"/>
        <v>8.9607100919846285</v>
      </c>
      <c r="T57" s="3">
        <f t="shared" si="28"/>
        <v>8.3902860129747339</v>
      </c>
      <c r="U57" s="3">
        <f t="shared" si="28"/>
        <v>5.9379831134515921</v>
      </c>
      <c r="V57" s="3">
        <f t="shared" si="28"/>
        <v>3.3463348776397943</v>
      </c>
      <c r="W57" s="3">
        <f t="shared" si="28"/>
        <v>0.76475534910749876</v>
      </c>
      <c r="X57" s="3">
        <f t="shared" si="28"/>
        <v>1.1543548552097613E-3</v>
      </c>
      <c r="Y57" s="3">
        <f t="shared" si="28"/>
        <v>0</v>
      </c>
      <c r="Z57" s="3">
        <f t="shared" si="28"/>
        <v>0</v>
      </c>
      <c r="AA57" s="3">
        <f t="shared" si="28"/>
        <v>0</v>
      </c>
      <c r="AB57" s="3">
        <f t="shared" si="28"/>
        <v>0</v>
      </c>
      <c r="AC57" s="3">
        <f t="shared" si="28"/>
        <v>0</v>
      </c>
    </row>
    <row r="58" spans="1:29" x14ac:dyDescent="0.25">
      <c r="A58" s="169">
        <f>A60*A59</f>
        <v>248921.91306014202</v>
      </c>
      <c r="B58" s="3" t="s">
        <v>73</v>
      </c>
    </row>
    <row r="59" spans="1:29" ht="15.75" thickBot="1" x14ac:dyDescent="0.3">
      <c r="A59" s="185">
        <f>SUM(F54:AC57)*91.25</f>
        <v>24892.191306014203</v>
      </c>
      <c r="B59" s="3" t="s">
        <v>72</v>
      </c>
      <c r="C59" s="174">
        <f>A59/(A54*8760)</f>
        <v>0.20298022923273296</v>
      </c>
      <c r="D59" s="3" t="s">
        <v>268</v>
      </c>
    </row>
    <row r="60" spans="1:29" ht="15.75" thickBot="1" x14ac:dyDescent="0.3">
      <c r="A60" s="182">
        <v>10</v>
      </c>
      <c r="B60" s="3" t="s">
        <v>269</v>
      </c>
    </row>
    <row r="61" spans="1:29" x14ac:dyDescent="0.25">
      <c r="A61" s="176"/>
    </row>
    <row r="62" spans="1:29" x14ac:dyDescent="0.25">
      <c r="A62" s="3" t="s">
        <v>60</v>
      </c>
      <c r="F62" s="176">
        <f>F22-F54</f>
        <v>2.9489379682921686</v>
      </c>
      <c r="G62" s="176">
        <f t="shared" ref="G62:Y62" si="29">G22-G54</f>
        <v>2.6884315876393026</v>
      </c>
      <c r="H62" s="176">
        <f t="shared" si="29"/>
        <v>2.5457000660174294</v>
      </c>
      <c r="I62" s="176">
        <f t="shared" si="29"/>
        <v>2.5028556558353889</v>
      </c>
      <c r="J62" s="176">
        <f>J22-J54</f>
        <v>2.5752503779585876</v>
      </c>
      <c r="K62" s="176">
        <f t="shared" si="29"/>
        <v>2.8007225995977372</v>
      </c>
      <c r="L62" s="176">
        <f t="shared" si="29"/>
        <v>3.2802987423476653</v>
      </c>
      <c r="M62" s="176">
        <f>M22-M54</f>
        <v>3.5929170908004022</v>
      </c>
      <c r="N62" s="176">
        <f t="shared" si="29"/>
        <v>1.2993875661506755</v>
      </c>
      <c r="O62" s="176">
        <f>O22-O54</f>
        <v>-1.1218788158266557</v>
      </c>
      <c r="P62" s="176">
        <f>P22-P54</f>
        <v>-2.3590343594342165</v>
      </c>
      <c r="Q62" s="176">
        <f t="shared" si="29"/>
        <v>-3.41109424361971</v>
      </c>
      <c r="R62" s="176">
        <f t="shared" si="29"/>
        <v>-3.2890434794864154</v>
      </c>
      <c r="S62" s="176">
        <f t="shared" si="29"/>
        <v>-3.4363659270029179</v>
      </c>
      <c r="T62" s="176">
        <f t="shared" si="29"/>
        <v>-2.9504278581001802</v>
      </c>
      <c r="U62" s="176">
        <f t="shared" si="29"/>
        <v>-1.4380738372906117</v>
      </c>
      <c r="V62" s="176">
        <f t="shared" si="29"/>
        <v>1.0396661211321456</v>
      </c>
      <c r="W62" s="176">
        <f t="shared" si="29"/>
        <v>4.2256245988287615</v>
      </c>
      <c r="X62" s="176">
        <f t="shared" si="29"/>
        <v>5.2932446606502834</v>
      </c>
      <c r="Y62" s="176">
        <f t="shared" si="29"/>
        <v>5.3054642634229694</v>
      </c>
      <c r="Z62" s="176">
        <f t="shared" ref="Z62:AC62" si="30">Z22-Z54</f>
        <v>5.258070324414283</v>
      </c>
      <c r="AA62" s="176">
        <f t="shared" si="30"/>
        <v>5.0442219786902216</v>
      </c>
      <c r="AB62" s="176">
        <f t="shared" si="30"/>
        <v>4.2759114798717306</v>
      </c>
      <c r="AC62" s="176">
        <f t="shared" si="30"/>
        <v>3.4175109956685383</v>
      </c>
    </row>
    <row r="63" spans="1:29" x14ac:dyDescent="0.25">
      <c r="A63" s="172">
        <f>H11/1000</f>
        <v>31500</v>
      </c>
      <c r="B63" s="3" t="s">
        <v>77</v>
      </c>
      <c r="D63" s="172">
        <f>SUMIF(F62:AC65,"&gt;0",F62:AC65)*91.25</f>
        <v>18447.556909208441</v>
      </c>
      <c r="E63" s="3" t="s">
        <v>261</v>
      </c>
      <c r="F63" s="176">
        <f t="shared" ref="F63:Y63" si="31">F23-F55</f>
        <v>2.3241678538190866</v>
      </c>
      <c r="G63" s="176">
        <f t="shared" si="31"/>
        <v>2.0928452486133629</v>
      </c>
      <c r="H63" s="176">
        <f t="shared" si="31"/>
        <v>1.9729118709981268</v>
      </c>
      <c r="I63" s="176">
        <f t="shared" si="31"/>
        <v>1.9668369208841765</v>
      </c>
      <c r="J63" s="176">
        <f t="shared" si="31"/>
        <v>2.0794740883832996</v>
      </c>
      <c r="K63" s="176">
        <f t="shared" si="31"/>
        <v>2.2886476090321</v>
      </c>
      <c r="L63" s="176">
        <f t="shared" si="31"/>
        <v>2.4679218440744064</v>
      </c>
      <c r="M63" s="176">
        <f t="shared" si="31"/>
        <v>0.4630987024094928</v>
      </c>
      <c r="N63" s="176">
        <f t="shared" si="31"/>
        <v>-2.4895515655940579</v>
      </c>
      <c r="O63" s="176">
        <f t="shared" si="31"/>
        <v>-5.0662696237218494</v>
      </c>
      <c r="P63" s="176">
        <f t="shared" si="31"/>
        <v>-6.2488652235495303</v>
      </c>
      <c r="Q63" s="176">
        <f t="shared" si="31"/>
        <v>-6.2153605710750615</v>
      </c>
      <c r="R63" s="176">
        <f t="shared" si="31"/>
        <v>-6.0930368163147044</v>
      </c>
      <c r="S63" s="176">
        <f t="shared" si="31"/>
        <v>-5.9803167728069742</v>
      </c>
      <c r="T63" s="176">
        <f t="shared" si="31"/>
        <v>-5.77997523232911</v>
      </c>
      <c r="U63" s="176">
        <f t="shared" si="31"/>
        <v>-4.6522442953699539</v>
      </c>
      <c r="V63" s="176">
        <f t="shared" si="31"/>
        <v>-1.7389237704312346</v>
      </c>
      <c r="W63" s="176">
        <f t="shared" si="31"/>
        <v>1.1947951423983723</v>
      </c>
      <c r="X63" s="176">
        <f t="shared" si="31"/>
        <v>3.7035988880876305</v>
      </c>
      <c r="Y63" s="176">
        <f t="shared" si="31"/>
        <v>4.1643501852721005</v>
      </c>
      <c r="Z63" s="176">
        <f t="shared" ref="Z63:AC63" si="32">Z23-Z55</f>
        <v>4.1940794635153837</v>
      </c>
      <c r="AA63" s="176">
        <f t="shared" si="32"/>
        <v>4.0804617203390876</v>
      </c>
      <c r="AB63" s="176">
        <f t="shared" si="32"/>
        <v>3.4234814380377601</v>
      </c>
      <c r="AC63" s="176">
        <f t="shared" si="32"/>
        <v>2.7637199303315616</v>
      </c>
    </row>
    <row r="64" spans="1:29" x14ac:dyDescent="0.25">
      <c r="A64" s="172">
        <f>A59</f>
        <v>24892.191306014203</v>
      </c>
      <c r="B64" s="3" t="s">
        <v>78</v>
      </c>
      <c r="C64" s="174">
        <f>A64/A63</f>
        <v>0.79022829542902229</v>
      </c>
      <c r="D64" s="169">
        <f>SUMIF(F62:AC65,"&lt;=0",F62:AC65)*91.25</f>
        <v>-11839.748215222653</v>
      </c>
      <c r="E64" s="3" t="s">
        <v>262</v>
      </c>
      <c r="F64" s="176">
        <f t="shared" ref="F64:Y64" si="33">F24-F56</f>
        <v>3.3049173797210956</v>
      </c>
      <c r="G64" s="176">
        <f t="shared" si="33"/>
        <v>2.736739832443571</v>
      </c>
      <c r="H64" s="176">
        <f t="shared" si="33"/>
        <v>2.4488694731218215</v>
      </c>
      <c r="I64" s="176">
        <f t="shared" si="33"/>
        <v>2.3223053584565747</v>
      </c>
      <c r="J64" s="176">
        <f t="shared" si="33"/>
        <v>2.2706963094594381</v>
      </c>
      <c r="K64" s="176">
        <f t="shared" si="33"/>
        <v>2.1773511261798655</v>
      </c>
      <c r="L64" s="176">
        <f t="shared" si="33"/>
        <v>1.9795799786035533</v>
      </c>
      <c r="M64" s="176">
        <f t="shared" si="33"/>
        <v>-0.12118940135607259</v>
      </c>
      <c r="N64" s="176">
        <f t="shared" si="33"/>
        <v>-2.6246526857784507</v>
      </c>
      <c r="O64" s="176">
        <f t="shared" si="33"/>
        <v>-4.7554097756145151</v>
      </c>
      <c r="P64" s="176">
        <f t="shared" si="33"/>
        <v>-5.7308262360799684</v>
      </c>
      <c r="Q64" s="176">
        <f t="shared" si="33"/>
        <v>-5.5656031134883737</v>
      </c>
      <c r="R64" s="176">
        <f t="shared" si="33"/>
        <v>-4.7137368056536726</v>
      </c>
      <c r="S64" s="176">
        <f t="shared" si="33"/>
        <v>-3.7163455273601862</v>
      </c>
      <c r="T64" s="176">
        <f t="shared" si="33"/>
        <v>-2.8379237480802644</v>
      </c>
      <c r="U64" s="176">
        <f t="shared" si="33"/>
        <v>-0.79519055575401065</v>
      </c>
      <c r="V64" s="176">
        <f t="shared" si="33"/>
        <v>1.6597460860681297</v>
      </c>
      <c r="W64" s="176">
        <f t="shared" si="33"/>
        <v>4.4139908119137701</v>
      </c>
      <c r="X64" s="176">
        <f t="shared" si="33"/>
        <v>6.6497853405890934</v>
      </c>
      <c r="Y64" s="176">
        <f t="shared" si="33"/>
        <v>7.0410474736724469</v>
      </c>
      <c r="Z64" s="176">
        <f t="shared" ref="Z64:AC64" si="34">Z24-Z56</f>
        <v>6.5214546205022703</v>
      </c>
      <c r="AA64" s="176">
        <f t="shared" si="34"/>
        <v>6.2721794332041583</v>
      </c>
      <c r="AB64" s="176">
        <f t="shared" si="34"/>
        <v>5.4601813285136913</v>
      </c>
      <c r="AC64" s="176">
        <f t="shared" si="34"/>
        <v>4.1769445931162519</v>
      </c>
    </row>
    <row r="65" spans="1:29" x14ac:dyDescent="0.25">
      <c r="A65" s="172">
        <f>SUM(F62:AC65)*91.25</f>
        <v>6607.8086939857858</v>
      </c>
      <c r="B65" s="3" t="s">
        <v>79</v>
      </c>
      <c r="C65" s="174">
        <f>A65/A63</f>
        <v>0.20977170457097732</v>
      </c>
      <c r="D65" s="172">
        <f>D63+D64</f>
        <v>6607.8086939857876</v>
      </c>
      <c r="E65" s="3" t="s">
        <v>263</v>
      </c>
      <c r="F65" s="176">
        <f t="shared" ref="F65:Y65" si="35">F25-F57</f>
        <v>2.3572580763302216</v>
      </c>
      <c r="G65" s="176">
        <f t="shared" si="35"/>
        <v>2.0887857234127352</v>
      </c>
      <c r="H65" s="176">
        <f t="shared" si="35"/>
        <v>1.9677604817450525</v>
      </c>
      <c r="I65" s="176">
        <f t="shared" si="35"/>
        <v>1.9189883582195166</v>
      </c>
      <c r="J65" s="176">
        <f t="shared" si="35"/>
        <v>1.988778869255116</v>
      </c>
      <c r="K65" s="176">
        <f t="shared" si="35"/>
        <v>2.1329890569590035</v>
      </c>
      <c r="L65" s="176">
        <f t="shared" si="35"/>
        <v>2.5361907293563508</v>
      </c>
      <c r="M65" s="176">
        <f t="shared" si="35"/>
        <v>1.142327262635507</v>
      </c>
      <c r="N65" s="176">
        <f t="shared" si="35"/>
        <v>-2.087497386802061</v>
      </c>
      <c r="O65" s="176">
        <f t="shared" si="35"/>
        <v>-4.4033295942710726</v>
      </c>
      <c r="P65" s="176">
        <f t="shared" si="35"/>
        <v>-5.8803147802843174</v>
      </c>
      <c r="Q65" s="176">
        <f t="shared" si="35"/>
        <v>-5.8196922564199802</v>
      </c>
      <c r="R65" s="176">
        <f t="shared" si="35"/>
        <v>-5.6184282407580932</v>
      </c>
      <c r="S65" s="176">
        <f t="shared" si="35"/>
        <v>-5.6719784142340259</v>
      </c>
      <c r="T65" s="176">
        <f t="shared" si="35"/>
        <v>-4.8969610723462615</v>
      </c>
      <c r="U65" s="176">
        <f t="shared" si="35"/>
        <v>-2.2411233860685238</v>
      </c>
      <c r="V65" s="176">
        <f t="shared" si="35"/>
        <v>0.71493070151302796</v>
      </c>
      <c r="W65" s="176">
        <f t="shared" si="35"/>
        <v>3.7495354169617627</v>
      </c>
      <c r="X65" s="176">
        <f t="shared" si="35"/>
        <v>4.7406178811757185</v>
      </c>
      <c r="Y65" s="176">
        <f t="shared" si="35"/>
        <v>4.6550943784040593</v>
      </c>
      <c r="Z65" s="176">
        <f t="shared" ref="Z65:AC65" si="36">Z25-Z57</f>
        <v>4.6373046918483576</v>
      </c>
      <c r="AA65" s="176">
        <f t="shared" si="36"/>
        <v>4.3836964275266252</v>
      </c>
      <c r="AB65" s="176">
        <f t="shared" si="36"/>
        <v>3.617635726413031</v>
      </c>
      <c r="AC65" s="176">
        <f t="shared" si="36"/>
        <v>2.8227173133660308</v>
      </c>
    </row>
    <row r="68" spans="1:29" x14ac:dyDescent="0.25">
      <c r="A68" s="3" t="s">
        <v>80</v>
      </c>
    </row>
    <row r="69" spans="1:29" x14ac:dyDescent="0.25">
      <c r="A69" s="3" t="s">
        <v>61</v>
      </c>
      <c r="B69" s="3" t="str">
        <f t="shared" ref="B69:E72" si="37">B2</f>
        <v>Dec, Jan, Feb</v>
      </c>
      <c r="C69" s="3">
        <f t="shared" si="37"/>
        <v>2014</v>
      </c>
      <c r="D69" s="3">
        <f t="shared" si="37"/>
        <v>2</v>
      </c>
      <c r="E69" s="3" t="str">
        <f t="shared" si="37"/>
        <v>WINTER</v>
      </c>
      <c r="F69" s="6">
        <f>F16</f>
        <v>589.78759365843371</v>
      </c>
      <c r="G69" s="6">
        <f t="shared" ref="G69:AC69" si="38">G16</f>
        <v>537.68631752786052</v>
      </c>
      <c r="H69" s="6">
        <f t="shared" si="38"/>
        <v>509.14001320348586</v>
      </c>
      <c r="I69" s="6">
        <f t="shared" si="38"/>
        <v>500.57113116707774</v>
      </c>
      <c r="J69" s="6">
        <f t="shared" si="38"/>
        <v>515.05007559171747</v>
      </c>
      <c r="K69" s="6">
        <f t="shared" si="38"/>
        <v>560.14451991954741</v>
      </c>
      <c r="L69" s="6">
        <f t="shared" si="38"/>
        <v>656.05974846953302</v>
      </c>
      <c r="M69" s="6">
        <f t="shared" si="38"/>
        <v>728.49776233560931</v>
      </c>
      <c r="N69" s="6">
        <f t="shared" si="38"/>
        <v>701.76700570468756</v>
      </c>
      <c r="O69" s="6">
        <f t="shared" si="38"/>
        <v>704.95286107884601</v>
      </c>
      <c r="P69" s="6">
        <f t="shared" si="38"/>
        <v>719.7309565673138</v>
      </c>
      <c r="Q69" s="6">
        <f t="shared" si="38"/>
        <v>721.47956697120492</v>
      </c>
      <c r="R69" s="6">
        <f t="shared" si="38"/>
        <v>717.67672022068075</v>
      </c>
      <c r="S69" s="6">
        <f t="shared" si="38"/>
        <v>702.59388987142256</v>
      </c>
      <c r="T69" s="6">
        <f t="shared" si="38"/>
        <v>701.31818559373835</v>
      </c>
      <c r="U69" s="6">
        <f t="shared" si="38"/>
        <v>729.22240869714926</v>
      </c>
      <c r="V69" s="6">
        <f t="shared" si="38"/>
        <v>798.09935080378318</v>
      </c>
      <c r="W69" s="6">
        <f t="shared" si="38"/>
        <v>952.10207228787942</v>
      </c>
      <c r="X69" s="6">
        <f t="shared" si="38"/>
        <v>1058.6489321300567</v>
      </c>
      <c r="Y69" s="6">
        <f t="shared" si="38"/>
        <v>1061.0928526845939</v>
      </c>
      <c r="Z69" s="6">
        <f t="shared" si="38"/>
        <v>1051.6140648828566</v>
      </c>
      <c r="AA69" s="6">
        <f t="shared" si="38"/>
        <v>1008.8443957380443</v>
      </c>
      <c r="AB69" s="6">
        <f t="shared" si="38"/>
        <v>855.18229597434618</v>
      </c>
      <c r="AC69" s="6">
        <f t="shared" si="38"/>
        <v>683.50219913370768</v>
      </c>
    </row>
    <row r="70" spans="1:29" x14ac:dyDescent="0.25">
      <c r="A70" s="3" t="s">
        <v>61</v>
      </c>
      <c r="B70" s="3" t="str">
        <f t="shared" si="37"/>
        <v>Mar, Apr, May</v>
      </c>
      <c r="C70" s="3">
        <f t="shared" si="37"/>
        <v>2014</v>
      </c>
      <c r="D70" s="3">
        <f t="shared" si="37"/>
        <v>2</v>
      </c>
      <c r="E70" s="3" t="str">
        <f t="shared" si="37"/>
        <v>SPRING</v>
      </c>
      <c r="F70" s="6">
        <f>F17</f>
        <v>464.83357076381731</v>
      </c>
      <c r="G70" s="6">
        <f t="shared" ref="G70:AC70" si="39">G17</f>
        <v>418.56904972267256</v>
      </c>
      <c r="H70" s="6">
        <f t="shared" si="39"/>
        <v>394.58237419962535</v>
      </c>
      <c r="I70" s="6">
        <f t="shared" si="39"/>
        <v>393.36738417683529</v>
      </c>
      <c r="J70" s="6">
        <f t="shared" si="39"/>
        <v>415.89481767665995</v>
      </c>
      <c r="K70" s="6">
        <f t="shared" si="39"/>
        <v>457.89624946666743</v>
      </c>
      <c r="L70" s="6">
        <f t="shared" si="39"/>
        <v>536.87578309663468</v>
      </c>
      <c r="M70" s="6">
        <f t="shared" si="39"/>
        <v>573.98072770195301</v>
      </c>
      <c r="N70" s="6">
        <f t="shared" si="39"/>
        <v>565.36703184575424</v>
      </c>
      <c r="O70" s="6">
        <f t="shared" si="39"/>
        <v>584.07466953629205</v>
      </c>
      <c r="P70" s="6">
        <f t="shared" si="39"/>
        <v>596.17827819870558</v>
      </c>
      <c r="Q70" s="6">
        <f t="shared" si="39"/>
        <v>592.08038552500784</v>
      </c>
      <c r="R70" s="6">
        <f t="shared" si="39"/>
        <v>587.0660077763464</v>
      </c>
      <c r="S70" s="6">
        <f t="shared" si="39"/>
        <v>587.32835623100607</v>
      </c>
      <c r="T70" s="6">
        <f t="shared" si="39"/>
        <v>594.81084285011093</v>
      </c>
      <c r="U70" s="6">
        <f t="shared" si="39"/>
        <v>620.45716230326605</v>
      </c>
      <c r="V70" s="6">
        <f t="shared" si="39"/>
        <v>677.10697007031979</v>
      </c>
      <c r="W70" s="6">
        <f t="shared" si="39"/>
        <v>738.88529113325899</v>
      </c>
      <c r="X70" s="6">
        <f t="shared" si="39"/>
        <v>791.7978861234443</v>
      </c>
      <c r="Y70" s="6">
        <f t="shared" si="39"/>
        <v>832.91691567445366</v>
      </c>
      <c r="Z70" s="6">
        <f t="shared" si="39"/>
        <v>838.81589270307666</v>
      </c>
      <c r="AA70" s="6">
        <f t="shared" si="39"/>
        <v>816.09234406781752</v>
      </c>
      <c r="AB70" s="6">
        <f t="shared" si="39"/>
        <v>684.69628760755199</v>
      </c>
      <c r="AC70" s="6">
        <f t="shared" si="39"/>
        <v>552.74398606631235</v>
      </c>
    </row>
    <row r="71" spans="1:29" x14ac:dyDescent="0.25">
      <c r="A71" s="3" t="s">
        <v>61</v>
      </c>
      <c r="B71" s="3" t="str">
        <f t="shared" si="37"/>
        <v>June, July, Aug</v>
      </c>
      <c r="C71" s="3">
        <f t="shared" si="37"/>
        <v>2014</v>
      </c>
      <c r="D71" s="3">
        <f t="shared" si="37"/>
        <v>2</v>
      </c>
      <c r="E71" s="3" t="str">
        <f t="shared" si="37"/>
        <v>SUMMER</v>
      </c>
      <c r="F71" s="6">
        <f>F18</f>
        <v>660.98347594421909</v>
      </c>
      <c r="G71" s="6">
        <f t="shared" ref="G71:AC71" si="40">G18</f>
        <v>547.34796648871418</v>
      </c>
      <c r="H71" s="6">
        <f t="shared" si="40"/>
        <v>489.77389462436429</v>
      </c>
      <c r="I71" s="6">
        <f t="shared" si="40"/>
        <v>464.46107169131494</v>
      </c>
      <c r="J71" s="6">
        <f t="shared" si="40"/>
        <v>454.13926189188766</v>
      </c>
      <c r="K71" s="6">
        <f t="shared" si="40"/>
        <v>436.98591501901836</v>
      </c>
      <c r="L71" s="6">
        <f t="shared" si="40"/>
        <v>462.38415824037321</v>
      </c>
      <c r="M71" s="6">
        <f t="shared" si="40"/>
        <v>531.53016245336164</v>
      </c>
      <c r="N71" s="6">
        <f t="shared" si="40"/>
        <v>608.19926660830504</v>
      </c>
      <c r="O71" s="6">
        <f t="shared" si="40"/>
        <v>675.2625136825435</v>
      </c>
      <c r="P71" s="6">
        <f t="shared" si="40"/>
        <v>775.20702842417859</v>
      </c>
      <c r="Q71" s="6">
        <f t="shared" si="40"/>
        <v>868.52171500565373</v>
      </c>
      <c r="R71" s="6">
        <f t="shared" si="40"/>
        <v>968.59078275493459</v>
      </c>
      <c r="S71" s="6">
        <f t="shared" si="40"/>
        <v>1061.4543781659299</v>
      </c>
      <c r="T71" s="6">
        <f t="shared" si="40"/>
        <v>1162.0033247725012</v>
      </c>
      <c r="U71" s="6">
        <f t="shared" si="40"/>
        <v>1254.6307374657256</v>
      </c>
      <c r="V71" s="6">
        <f t="shared" si="40"/>
        <v>1372.2117944188599</v>
      </c>
      <c r="W71" s="6">
        <f t="shared" si="40"/>
        <v>1451.8243718092522</v>
      </c>
      <c r="X71" s="6">
        <f t="shared" si="40"/>
        <v>1468.9189601211992</v>
      </c>
      <c r="Y71" s="6">
        <f t="shared" si="40"/>
        <v>1409.2906238011328</v>
      </c>
      <c r="Z71" s="6">
        <f t="shared" si="40"/>
        <v>1304.290924100454</v>
      </c>
      <c r="AA71" s="6">
        <f t="shared" si="40"/>
        <v>1254.4358866408315</v>
      </c>
      <c r="AB71" s="6">
        <f t="shared" si="40"/>
        <v>1092.0362657027383</v>
      </c>
      <c r="AC71" s="6">
        <f t="shared" si="40"/>
        <v>835.38891862325045</v>
      </c>
    </row>
    <row r="72" spans="1:29" x14ac:dyDescent="0.25">
      <c r="A72" s="3" t="s">
        <v>61</v>
      </c>
      <c r="B72" s="3" t="str">
        <f t="shared" si="37"/>
        <v>Sep, Oct, Nov</v>
      </c>
      <c r="C72" s="3">
        <f t="shared" si="37"/>
        <v>2014</v>
      </c>
      <c r="D72" s="3">
        <f t="shared" si="37"/>
        <v>2</v>
      </c>
      <c r="E72" s="3" t="str">
        <f t="shared" si="37"/>
        <v>FALL</v>
      </c>
      <c r="F72" s="6">
        <f>F19</f>
        <v>471.45161526604426</v>
      </c>
      <c r="G72" s="6">
        <f t="shared" ref="G72:AC72" si="41">G19</f>
        <v>417.75714468254699</v>
      </c>
      <c r="H72" s="6">
        <f t="shared" si="41"/>
        <v>393.55209634901047</v>
      </c>
      <c r="I72" s="6">
        <f t="shared" si="41"/>
        <v>383.7976716439033</v>
      </c>
      <c r="J72" s="6">
        <f t="shared" si="41"/>
        <v>397.75577385102321</v>
      </c>
      <c r="K72" s="6">
        <f t="shared" si="41"/>
        <v>426.59781139180069</v>
      </c>
      <c r="L72" s="6">
        <f t="shared" si="41"/>
        <v>508.19582920052693</v>
      </c>
      <c r="M72" s="6">
        <f t="shared" si="41"/>
        <v>556.56401813209857</v>
      </c>
      <c r="N72" s="6">
        <f t="shared" si="41"/>
        <v>558.21551015787395</v>
      </c>
      <c r="O72" s="6">
        <f t="shared" si="41"/>
        <v>589.01451324227003</v>
      </c>
      <c r="P72" s="6">
        <f t="shared" si="41"/>
        <v>597.47748602109493</v>
      </c>
      <c r="Q72" s="6">
        <f t="shared" si="41"/>
        <v>627.45348485069462</v>
      </c>
      <c r="R72" s="6">
        <f t="shared" si="41"/>
        <v>639.667659525511</v>
      </c>
      <c r="S72" s="6">
        <f t="shared" si="41"/>
        <v>657.74633555012042</v>
      </c>
      <c r="T72" s="6">
        <f t="shared" si="41"/>
        <v>698.66498812569444</v>
      </c>
      <c r="U72" s="6">
        <f t="shared" si="41"/>
        <v>739.37194547661363</v>
      </c>
      <c r="V72" s="6">
        <f t="shared" si="41"/>
        <v>812.25311583056452</v>
      </c>
      <c r="W72" s="6">
        <f t="shared" si="41"/>
        <v>902.85815321385223</v>
      </c>
      <c r="X72" s="6">
        <f t="shared" si="41"/>
        <v>948.35444720618568</v>
      </c>
      <c r="Y72" s="6">
        <f t="shared" si="41"/>
        <v>931.0188756808119</v>
      </c>
      <c r="Z72" s="6">
        <f t="shared" si="41"/>
        <v>927.46093836967157</v>
      </c>
      <c r="AA72" s="6">
        <f t="shared" si="41"/>
        <v>876.73928550532503</v>
      </c>
      <c r="AB72" s="6">
        <f t="shared" si="41"/>
        <v>723.52714528260617</v>
      </c>
      <c r="AC72" s="6">
        <f t="shared" si="41"/>
        <v>564.54346267320614</v>
      </c>
    </row>
    <row r="73" spans="1:29" x14ac:dyDescent="0.25">
      <c r="A73" s="3" t="s">
        <v>41</v>
      </c>
      <c r="B73" s="3" t="s">
        <v>29</v>
      </c>
      <c r="E73" s="3" t="s">
        <v>37</v>
      </c>
      <c r="F73" s="151">
        <f>F54</f>
        <v>0</v>
      </c>
      <c r="G73" s="151">
        <f t="shared" ref="G73:AC73" si="42">G54</f>
        <v>0</v>
      </c>
      <c r="H73" s="151">
        <f t="shared" si="42"/>
        <v>0</v>
      </c>
      <c r="I73" s="151">
        <f t="shared" si="42"/>
        <v>0</v>
      </c>
      <c r="J73" s="151">
        <f t="shared" si="42"/>
        <v>0</v>
      </c>
      <c r="K73" s="151">
        <f t="shared" si="42"/>
        <v>0</v>
      </c>
      <c r="L73" s="151">
        <f t="shared" si="42"/>
        <v>0</v>
      </c>
      <c r="M73" s="151">
        <f t="shared" si="42"/>
        <v>4.9571720877644637E-2</v>
      </c>
      <c r="N73" s="151">
        <f t="shared" si="42"/>
        <v>2.2094474623727622</v>
      </c>
      <c r="O73" s="151">
        <f t="shared" si="42"/>
        <v>4.6466431212208859</v>
      </c>
      <c r="P73" s="151">
        <f t="shared" si="42"/>
        <v>5.9576891422707856</v>
      </c>
      <c r="Q73" s="151">
        <f t="shared" si="42"/>
        <v>7.0184920784757345</v>
      </c>
      <c r="R73" s="151">
        <f t="shared" si="42"/>
        <v>6.8774270805898192</v>
      </c>
      <c r="S73" s="151">
        <f t="shared" si="42"/>
        <v>6.9493353763600307</v>
      </c>
      <c r="T73" s="151">
        <f t="shared" si="42"/>
        <v>6.4570187860688719</v>
      </c>
      <c r="U73" s="151">
        <f t="shared" si="42"/>
        <v>5.0841858807763582</v>
      </c>
      <c r="V73" s="151">
        <f t="shared" si="42"/>
        <v>2.9508306328867704</v>
      </c>
      <c r="W73" s="151">
        <f t="shared" si="42"/>
        <v>0.53488576261063636</v>
      </c>
      <c r="X73" s="151">
        <f t="shared" si="42"/>
        <v>0</v>
      </c>
      <c r="Y73" s="151">
        <f t="shared" si="42"/>
        <v>0</v>
      </c>
      <c r="Z73" s="151">
        <f t="shared" si="42"/>
        <v>0</v>
      </c>
      <c r="AA73" s="151">
        <f t="shared" si="42"/>
        <v>0</v>
      </c>
      <c r="AB73" s="151">
        <f t="shared" si="42"/>
        <v>0</v>
      </c>
      <c r="AC73" s="151">
        <f t="shared" si="42"/>
        <v>0</v>
      </c>
    </row>
    <row r="74" spans="1:29" x14ac:dyDescent="0.25">
      <c r="A74" s="3" t="s">
        <v>41</v>
      </c>
      <c r="B74" s="3" t="s">
        <v>31</v>
      </c>
      <c r="E74" s="3" t="s">
        <v>38</v>
      </c>
      <c r="F74" s="151">
        <f>F55</f>
        <v>0</v>
      </c>
      <c r="G74" s="151">
        <f t="shared" ref="G74:AC74" si="43">G55</f>
        <v>0</v>
      </c>
      <c r="H74" s="151">
        <f t="shared" si="43"/>
        <v>0</v>
      </c>
      <c r="I74" s="151">
        <f t="shared" si="43"/>
        <v>0</v>
      </c>
      <c r="J74" s="151">
        <f t="shared" si="43"/>
        <v>0</v>
      </c>
      <c r="K74" s="151">
        <f t="shared" si="43"/>
        <v>8.3363830123710085E-4</v>
      </c>
      <c r="L74" s="151">
        <f t="shared" si="43"/>
        <v>0.21645707140876694</v>
      </c>
      <c r="M74" s="151">
        <f t="shared" si="43"/>
        <v>2.4068049361002721</v>
      </c>
      <c r="N74" s="151">
        <f t="shared" si="43"/>
        <v>5.3163867248228289</v>
      </c>
      <c r="O74" s="151">
        <f t="shared" si="43"/>
        <v>7.9866429714033096</v>
      </c>
      <c r="P74" s="151">
        <f t="shared" si="43"/>
        <v>9.2297566145430583</v>
      </c>
      <c r="Q74" s="151">
        <f t="shared" si="43"/>
        <v>9.1757624987001005</v>
      </c>
      <c r="R74" s="151">
        <f t="shared" si="43"/>
        <v>9.0283668551964364</v>
      </c>
      <c r="S74" s="151">
        <f t="shared" si="43"/>
        <v>8.9169585539620044</v>
      </c>
      <c r="T74" s="151">
        <f t="shared" si="43"/>
        <v>8.7540294465796649</v>
      </c>
      <c r="U74" s="151">
        <f t="shared" si="43"/>
        <v>7.7545301068862846</v>
      </c>
      <c r="V74" s="151">
        <f t="shared" si="43"/>
        <v>5.1244586207828338</v>
      </c>
      <c r="W74" s="151">
        <f t="shared" si="43"/>
        <v>2.4996313132679226</v>
      </c>
      <c r="X74" s="151">
        <f t="shared" si="43"/>
        <v>0.25539054252959115</v>
      </c>
      <c r="Y74" s="151">
        <f t="shared" si="43"/>
        <v>2.3439310016852262E-4</v>
      </c>
      <c r="Z74" s="151">
        <f t="shared" si="43"/>
        <v>0</v>
      </c>
      <c r="AA74" s="151">
        <f t="shared" si="43"/>
        <v>0</v>
      </c>
      <c r="AB74" s="151">
        <f t="shared" si="43"/>
        <v>0</v>
      </c>
      <c r="AC74" s="151">
        <f t="shared" si="43"/>
        <v>0</v>
      </c>
    </row>
    <row r="75" spans="1:29" x14ac:dyDescent="0.25">
      <c r="A75" s="3" t="s">
        <v>41</v>
      </c>
      <c r="B75" s="3" t="s">
        <v>33</v>
      </c>
      <c r="E75" s="3" t="s">
        <v>39</v>
      </c>
      <c r="F75" s="151">
        <f>F56</f>
        <v>0</v>
      </c>
      <c r="G75" s="151">
        <f t="shared" ref="G75:AC75" si="44">G56</f>
        <v>0</v>
      </c>
      <c r="H75" s="151">
        <f t="shared" si="44"/>
        <v>0</v>
      </c>
      <c r="I75" s="151">
        <f t="shared" si="44"/>
        <v>0</v>
      </c>
      <c r="J75" s="151">
        <f t="shared" si="44"/>
        <v>0</v>
      </c>
      <c r="K75" s="151">
        <f t="shared" si="44"/>
        <v>7.5784489152263294E-3</v>
      </c>
      <c r="L75" s="151">
        <f t="shared" si="44"/>
        <v>0.33234081259831266</v>
      </c>
      <c r="M75" s="151">
        <f t="shared" si="44"/>
        <v>2.7788402136228809</v>
      </c>
      <c r="N75" s="151">
        <f t="shared" si="44"/>
        <v>5.665649018819976</v>
      </c>
      <c r="O75" s="151">
        <f t="shared" si="44"/>
        <v>8.1317223440272333</v>
      </c>
      <c r="P75" s="151">
        <f t="shared" si="44"/>
        <v>9.6068613782008612</v>
      </c>
      <c r="Q75" s="151">
        <f t="shared" si="44"/>
        <v>9.9082116885166425</v>
      </c>
      <c r="R75" s="151">
        <f t="shared" si="44"/>
        <v>9.5566907194283459</v>
      </c>
      <c r="S75" s="151">
        <f t="shared" si="44"/>
        <v>9.0236174181898363</v>
      </c>
      <c r="T75" s="151">
        <f t="shared" si="44"/>
        <v>8.6479403719427701</v>
      </c>
      <c r="U75" s="151">
        <f t="shared" si="44"/>
        <v>7.0683442430826391</v>
      </c>
      <c r="V75" s="151">
        <f t="shared" si="44"/>
        <v>5.2013128860261695</v>
      </c>
      <c r="W75" s="151">
        <f t="shared" si="44"/>
        <v>2.8451310471324907</v>
      </c>
      <c r="X75" s="151">
        <f t="shared" si="44"/>
        <v>0.69480946001690314</v>
      </c>
      <c r="Y75" s="151">
        <f t="shared" si="44"/>
        <v>5.4056453332172469E-3</v>
      </c>
      <c r="Z75" s="151">
        <f t="shared" si="44"/>
        <v>0</v>
      </c>
      <c r="AA75" s="151">
        <f t="shared" si="44"/>
        <v>0</v>
      </c>
      <c r="AB75" s="151">
        <f t="shared" si="44"/>
        <v>0</v>
      </c>
      <c r="AC75" s="151">
        <f t="shared" si="44"/>
        <v>0</v>
      </c>
    </row>
    <row r="76" spans="1:29" x14ac:dyDescent="0.25">
      <c r="A76" s="3" t="s">
        <v>41</v>
      </c>
      <c r="B76" s="3" t="s">
        <v>35</v>
      </c>
      <c r="E76" s="3" t="s">
        <v>40</v>
      </c>
      <c r="F76" s="151">
        <f>F57</f>
        <v>0</v>
      </c>
      <c r="G76" s="151">
        <f t="shared" ref="G76:AC76" si="45">G57</f>
        <v>0</v>
      </c>
      <c r="H76" s="151">
        <f t="shared" si="45"/>
        <v>0</v>
      </c>
      <c r="I76" s="151">
        <f t="shared" si="45"/>
        <v>0</v>
      </c>
      <c r="J76" s="151">
        <f t="shared" si="45"/>
        <v>0</v>
      </c>
      <c r="K76" s="151">
        <f t="shared" si="45"/>
        <v>0</v>
      </c>
      <c r="L76" s="151">
        <f t="shared" si="45"/>
        <v>4.7884166462835798E-3</v>
      </c>
      <c r="M76" s="151">
        <f t="shared" si="45"/>
        <v>1.640492828024986</v>
      </c>
      <c r="N76" s="151">
        <f t="shared" si="45"/>
        <v>4.8785749375914307</v>
      </c>
      <c r="O76" s="151">
        <f t="shared" si="45"/>
        <v>7.348402160482423</v>
      </c>
      <c r="P76" s="151">
        <f t="shared" si="45"/>
        <v>8.8677022103897922</v>
      </c>
      <c r="Q76" s="151">
        <f t="shared" si="45"/>
        <v>8.9569596806734531</v>
      </c>
      <c r="R76" s="151">
        <f t="shared" si="45"/>
        <v>8.8167665383856484</v>
      </c>
      <c r="S76" s="151">
        <f t="shared" si="45"/>
        <v>8.9607100919846285</v>
      </c>
      <c r="T76" s="151">
        <f t="shared" si="45"/>
        <v>8.3902860129747339</v>
      </c>
      <c r="U76" s="151">
        <f t="shared" si="45"/>
        <v>5.9379831134515921</v>
      </c>
      <c r="V76" s="151">
        <f t="shared" si="45"/>
        <v>3.3463348776397943</v>
      </c>
      <c r="W76" s="151">
        <f t="shared" si="45"/>
        <v>0.76475534910749876</v>
      </c>
      <c r="X76" s="151">
        <f t="shared" si="45"/>
        <v>1.1543548552097613E-3</v>
      </c>
      <c r="Y76" s="151">
        <f t="shared" si="45"/>
        <v>0</v>
      </c>
      <c r="Z76" s="151">
        <f t="shared" si="45"/>
        <v>0</v>
      </c>
      <c r="AA76" s="151">
        <f t="shared" si="45"/>
        <v>0</v>
      </c>
      <c r="AB76" s="151">
        <f t="shared" si="45"/>
        <v>0</v>
      </c>
      <c r="AC76" s="151">
        <f t="shared" si="45"/>
        <v>0</v>
      </c>
    </row>
    <row r="77" spans="1:29" x14ac:dyDescent="0.25">
      <c r="A77" s="3" t="s">
        <v>42</v>
      </c>
      <c r="B77" s="3" t="s">
        <v>29</v>
      </c>
      <c r="E77" s="3" t="s">
        <v>37</v>
      </c>
      <c r="F77" s="171">
        <f>F69-F73</f>
        <v>589.78759365843371</v>
      </c>
      <c r="G77" s="171">
        <f t="shared" ref="G77:AC77" si="46">G69-G73</f>
        <v>537.68631752786052</v>
      </c>
      <c r="H77" s="171">
        <f t="shared" si="46"/>
        <v>509.14001320348586</v>
      </c>
      <c r="I77" s="171">
        <f t="shared" si="46"/>
        <v>500.57113116707774</v>
      </c>
      <c r="J77" s="171">
        <f t="shared" si="46"/>
        <v>515.05007559171747</v>
      </c>
      <c r="K77" s="171">
        <f t="shared" si="46"/>
        <v>560.14451991954741</v>
      </c>
      <c r="L77" s="171">
        <f t="shared" si="46"/>
        <v>656.05974846953302</v>
      </c>
      <c r="M77" s="171">
        <f t="shared" si="46"/>
        <v>728.44819061473163</v>
      </c>
      <c r="N77" s="171">
        <f t="shared" si="46"/>
        <v>699.55755824231483</v>
      </c>
      <c r="O77" s="171">
        <f t="shared" si="46"/>
        <v>700.30621795762511</v>
      </c>
      <c r="P77" s="171">
        <f t="shared" si="46"/>
        <v>713.77326742504306</v>
      </c>
      <c r="Q77" s="171">
        <f t="shared" si="46"/>
        <v>714.46107489272913</v>
      </c>
      <c r="R77" s="171">
        <f t="shared" si="46"/>
        <v>710.79929314009098</v>
      </c>
      <c r="S77" s="171">
        <f t="shared" si="46"/>
        <v>695.64455449506249</v>
      </c>
      <c r="T77" s="171">
        <f t="shared" si="46"/>
        <v>694.86116680766952</v>
      </c>
      <c r="U77" s="171">
        <f t="shared" si="46"/>
        <v>724.13822281637295</v>
      </c>
      <c r="V77" s="171">
        <f t="shared" si="46"/>
        <v>795.1485201708964</v>
      </c>
      <c r="W77" s="171">
        <f t="shared" si="46"/>
        <v>951.56718652526877</v>
      </c>
      <c r="X77" s="171">
        <f t="shared" si="46"/>
        <v>1058.6489321300567</v>
      </c>
      <c r="Y77" s="171">
        <f t="shared" si="46"/>
        <v>1061.0928526845939</v>
      </c>
      <c r="Z77" s="171">
        <f t="shared" si="46"/>
        <v>1051.6140648828566</v>
      </c>
      <c r="AA77" s="171">
        <f t="shared" si="46"/>
        <v>1008.8443957380443</v>
      </c>
      <c r="AB77" s="171">
        <f t="shared" si="46"/>
        <v>855.18229597434618</v>
      </c>
      <c r="AC77" s="171">
        <f t="shared" si="46"/>
        <v>683.50219913370768</v>
      </c>
    </row>
    <row r="78" spans="1:29" x14ac:dyDescent="0.25">
      <c r="A78" s="3" t="s">
        <v>42</v>
      </c>
      <c r="B78" s="3" t="s">
        <v>31</v>
      </c>
      <c r="E78" s="3" t="s">
        <v>38</v>
      </c>
      <c r="F78" s="171">
        <f t="shared" ref="F78:F80" si="47">F70-F74</f>
        <v>464.83357076381731</v>
      </c>
      <c r="G78" s="171">
        <f t="shared" ref="G78:AC78" si="48">G70-G74</f>
        <v>418.56904972267256</v>
      </c>
      <c r="H78" s="171">
        <f t="shared" si="48"/>
        <v>394.58237419962535</v>
      </c>
      <c r="I78" s="171">
        <f t="shared" si="48"/>
        <v>393.36738417683529</v>
      </c>
      <c r="J78" s="171">
        <f t="shared" si="48"/>
        <v>415.89481767665995</v>
      </c>
      <c r="K78" s="171">
        <f t="shared" si="48"/>
        <v>457.8954158283662</v>
      </c>
      <c r="L78" s="171">
        <f t="shared" si="48"/>
        <v>536.65932602522594</v>
      </c>
      <c r="M78" s="171">
        <f t="shared" si="48"/>
        <v>571.57392276585279</v>
      </c>
      <c r="N78" s="171">
        <f t="shared" si="48"/>
        <v>560.05064512093145</v>
      </c>
      <c r="O78" s="171">
        <f t="shared" si="48"/>
        <v>576.08802656488876</v>
      </c>
      <c r="P78" s="171">
        <f t="shared" si="48"/>
        <v>586.94852158416256</v>
      </c>
      <c r="Q78" s="171">
        <f t="shared" si="48"/>
        <v>582.90462302630772</v>
      </c>
      <c r="R78" s="171">
        <f t="shared" si="48"/>
        <v>578.03764092115</v>
      </c>
      <c r="S78" s="171">
        <f t="shared" si="48"/>
        <v>578.41139767704408</v>
      </c>
      <c r="T78" s="171">
        <f t="shared" si="48"/>
        <v>586.05681340353124</v>
      </c>
      <c r="U78" s="171">
        <f t="shared" si="48"/>
        <v>612.7026321963798</v>
      </c>
      <c r="V78" s="171">
        <f t="shared" si="48"/>
        <v>671.9825114495369</v>
      </c>
      <c r="W78" s="171">
        <f t="shared" si="48"/>
        <v>736.38565981999102</v>
      </c>
      <c r="X78" s="171">
        <f t="shared" si="48"/>
        <v>791.54249558091476</v>
      </c>
      <c r="Y78" s="171">
        <f t="shared" si="48"/>
        <v>832.91668128135348</v>
      </c>
      <c r="Z78" s="171">
        <f t="shared" si="48"/>
        <v>838.81589270307666</v>
      </c>
      <c r="AA78" s="171">
        <f t="shared" si="48"/>
        <v>816.09234406781752</v>
      </c>
      <c r="AB78" s="171">
        <f t="shared" si="48"/>
        <v>684.69628760755199</v>
      </c>
      <c r="AC78" s="171">
        <f t="shared" si="48"/>
        <v>552.74398606631235</v>
      </c>
    </row>
    <row r="79" spans="1:29" x14ac:dyDescent="0.25">
      <c r="A79" s="3" t="s">
        <v>42</v>
      </c>
      <c r="B79" s="3" t="s">
        <v>33</v>
      </c>
      <c r="E79" s="3" t="s">
        <v>39</v>
      </c>
      <c r="F79" s="171">
        <f t="shared" si="47"/>
        <v>660.98347594421909</v>
      </c>
      <c r="G79" s="171">
        <f t="shared" ref="G79:AC79" si="49">G71-G75</f>
        <v>547.34796648871418</v>
      </c>
      <c r="H79" s="171">
        <f t="shared" si="49"/>
        <v>489.77389462436429</v>
      </c>
      <c r="I79" s="171">
        <f t="shared" si="49"/>
        <v>464.46107169131494</v>
      </c>
      <c r="J79" s="171">
        <f t="shared" si="49"/>
        <v>454.13926189188766</v>
      </c>
      <c r="K79" s="171">
        <f t="shared" si="49"/>
        <v>436.97833657010312</v>
      </c>
      <c r="L79" s="171">
        <f t="shared" si="49"/>
        <v>462.05181742777489</v>
      </c>
      <c r="M79" s="171">
        <f t="shared" si="49"/>
        <v>528.75132223973878</v>
      </c>
      <c r="N79" s="171">
        <f t="shared" si="49"/>
        <v>602.53361758948506</v>
      </c>
      <c r="O79" s="171">
        <f t="shared" si="49"/>
        <v>667.13079133851625</v>
      </c>
      <c r="P79" s="171">
        <f t="shared" si="49"/>
        <v>765.60016704597774</v>
      </c>
      <c r="Q79" s="171">
        <f t="shared" si="49"/>
        <v>858.61350331713709</v>
      </c>
      <c r="R79" s="171">
        <f t="shared" si="49"/>
        <v>959.03409203550621</v>
      </c>
      <c r="S79" s="171">
        <f t="shared" si="49"/>
        <v>1052.4307607477401</v>
      </c>
      <c r="T79" s="171">
        <f t="shared" si="49"/>
        <v>1153.3553844005585</v>
      </c>
      <c r="U79" s="171">
        <f t="shared" si="49"/>
        <v>1247.5623932226429</v>
      </c>
      <c r="V79" s="171">
        <f t="shared" si="49"/>
        <v>1367.0104815328336</v>
      </c>
      <c r="W79" s="171">
        <f t="shared" si="49"/>
        <v>1448.9792407621196</v>
      </c>
      <c r="X79" s="171">
        <f t="shared" si="49"/>
        <v>1468.2241506611824</v>
      </c>
      <c r="Y79" s="171">
        <f t="shared" si="49"/>
        <v>1409.2852181557996</v>
      </c>
      <c r="Z79" s="171">
        <f t="shared" si="49"/>
        <v>1304.290924100454</v>
      </c>
      <c r="AA79" s="171">
        <f t="shared" si="49"/>
        <v>1254.4358866408315</v>
      </c>
      <c r="AB79" s="171">
        <f t="shared" si="49"/>
        <v>1092.0362657027383</v>
      </c>
      <c r="AC79" s="171">
        <f t="shared" si="49"/>
        <v>835.38891862325045</v>
      </c>
    </row>
    <row r="80" spans="1:29" x14ac:dyDescent="0.25">
      <c r="A80" s="3" t="s">
        <v>42</v>
      </c>
      <c r="B80" s="3" t="s">
        <v>35</v>
      </c>
      <c r="E80" s="3" t="s">
        <v>40</v>
      </c>
      <c r="F80" s="171">
        <f t="shared" si="47"/>
        <v>471.45161526604426</v>
      </c>
      <c r="G80" s="171">
        <f t="shared" ref="G80:AC80" si="50">G72-G76</f>
        <v>417.75714468254699</v>
      </c>
      <c r="H80" s="171">
        <f t="shared" si="50"/>
        <v>393.55209634901047</v>
      </c>
      <c r="I80" s="171">
        <f t="shared" si="50"/>
        <v>383.7976716439033</v>
      </c>
      <c r="J80" s="171">
        <f t="shared" si="50"/>
        <v>397.75577385102321</v>
      </c>
      <c r="K80" s="171">
        <f t="shared" si="50"/>
        <v>426.59781139180069</v>
      </c>
      <c r="L80" s="171">
        <f t="shared" si="50"/>
        <v>508.19104078388062</v>
      </c>
      <c r="M80" s="171">
        <f t="shared" si="50"/>
        <v>554.92352530407356</v>
      </c>
      <c r="N80" s="171">
        <f t="shared" si="50"/>
        <v>553.3369352202825</v>
      </c>
      <c r="O80" s="171">
        <f t="shared" si="50"/>
        <v>581.66611108178756</v>
      </c>
      <c r="P80" s="171">
        <f t="shared" si="50"/>
        <v>588.60978381070515</v>
      </c>
      <c r="Q80" s="171">
        <f t="shared" si="50"/>
        <v>618.49652517002119</v>
      </c>
      <c r="R80" s="171">
        <f t="shared" si="50"/>
        <v>630.85089298712535</v>
      </c>
      <c r="S80" s="171">
        <f t="shared" si="50"/>
        <v>648.78562545813577</v>
      </c>
      <c r="T80" s="171">
        <f t="shared" si="50"/>
        <v>690.27470211271975</v>
      </c>
      <c r="U80" s="171">
        <f t="shared" si="50"/>
        <v>733.4339623631621</v>
      </c>
      <c r="V80" s="171">
        <f t="shared" si="50"/>
        <v>808.90678095292469</v>
      </c>
      <c r="W80" s="171">
        <f t="shared" si="50"/>
        <v>902.0933978647447</v>
      </c>
      <c r="X80" s="171">
        <f t="shared" si="50"/>
        <v>948.35329285133048</v>
      </c>
      <c r="Y80" s="171">
        <f t="shared" si="50"/>
        <v>931.0188756808119</v>
      </c>
      <c r="Z80" s="171">
        <f t="shared" si="50"/>
        <v>927.46093836967157</v>
      </c>
      <c r="AA80" s="171">
        <f t="shared" si="50"/>
        <v>876.73928550532503</v>
      </c>
      <c r="AB80" s="171">
        <f t="shared" si="50"/>
        <v>723.52714528260617</v>
      </c>
      <c r="AC80" s="171">
        <f t="shared" si="50"/>
        <v>564.54346267320614</v>
      </c>
    </row>
    <row r="83" spans="6:29" x14ac:dyDescent="0.25">
      <c r="F83" s="6">
        <f>F69</f>
        <v>589.78759365843371</v>
      </c>
      <c r="G83" s="6">
        <f t="shared" ref="G83:AC86" si="51">G69</f>
        <v>537.68631752786052</v>
      </c>
      <c r="H83" s="6">
        <f t="shared" si="51"/>
        <v>509.14001320348586</v>
      </c>
      <c r="I83" s="6">
        <f t="shared" si="51"/>
        <v>500.57113116707774</v>
      </c>
      <c r="J83" s="6">
        <f t="shared" si="51"/>
        <v>515.05007559171747</v>
      </c>
      <c r="K83" s="6">
        <f t="shared" si="51"/>
        <v>560.14451991954741</v>
      </c>
      <c r="L83" s="6">
        <f t="shared" si="51"/>
        <v>656.05974846953302</v>
      </c>
      <c r="M83" s="6">
        <f t="shared" si="51"/>
        <v>728.49776233560931</v>
      </c>
      <c r="N83" s="6">
        <f t="shared" si="51"/>
        <v>701.76700570468756</v>
      </c>
      <c r="O83" s="6">
        <f t="shared" si="51"/>
        <v>704.95286107884601</v>
      </c>
      <c r="P83" s="6">
        <f t="shared" si="51"/>
        <v>719.7309565673138</v>
      </c>
      <c r="Q83" s="6">
        <f t="shared" si="51"/>
        <v>721.47956697120492</v>
      </c>
      <c r="R83" s="6">
        <f t="shared" si="51"/>
        <v>717.67672022068075</v>
      </c>
      <c r="S83" s="6">
        <f t="shared" si="51"/>
        <v>702.59388987142256</v>
      </c>
      <c r="T83" s="6">
        <f t="shared" si="51"/>
        <v>701.31818559373835</v>
      </c>
      <c r="U83" s="6">
        <f t="shared" si="51"/>
        <v>729.22240869714926</v>
      </c>
      <c r="V83" s="6">
        <f t="shared" si="51"/>
        <v>798.09935080378318</v>
      </c>
      <c r="W83" s="6">
        <f t="shared" si="51"/>
        <v>952.10207228787942</v>
      </c>
      <c r="X83" s="6">
        <f t="shared" si="51"/>
        <v>1058.6489321300567</v>
      </c>
      <c r="Y83" s="6">
        <f t="shared" si="51"/>
        <v>1061.0928526845939</v>
      </c>
      <c r="Z83" s="6">
        <f t="shared" si="51"/>
        <v>1051.6140648828566</v>
      </c>
      <c r="AA83" s="6">
        <f t="shared" si="51"/>
        <v>1008.8443957380443</v>
      </c>
      <c r="AB83" s="6">
        <f t="shared" si="51"/>
        <v>855.18229597434618</v>
      </c>
      <c r="AC83" s="6">
        <f t="shared" si="51"/>
        <v>683.50219913370768</v>
      </c>
    </row>
    <row r="84" spans="6:29" x14ac:dyDescent="0.25">
      <c r="F84" s="6">
        <f t="shared" ref="F84:U86" si="52">F70</f>
        <v>464.83357076381731</v>
      </c>
      <c r="G84" s="6">
        <f t="shared" si="52"/>
        <v>418.56904972267256</v>
      </c>
      <c r="H84" s="6">
        <f t="shared" si="52"/>
        <v>394.58237419962535</v>
      </c>
      <c r="I84" s="6">
        <f t="shared" si="52"/>
        <v>393.36738417683529</v>
      </c>
      <c r="J84" s="6">
        <f t="shared" si="52"/>
        <v>415.89481767665995</v>
      </c>
      <c r="K84" s="6">
        <f t="shared" si="52"/>
        <v>457.89624946666743</v>
      </c>
      <c r="L84" s="6">
        <f t="shared" si="52"/>
        <v>536.87578309663468</v>
      </c>
      <c r="M84" s="6">
        <f t="shared" si="52"/>
        <v>573.98072770195301</v>
      </c>
      <c r="N84" s="6">
        <f t="shared" si="52"/>
        <v>565.36703184575424</v>
      </c>
      <c r="O84" s="6">
        <f t="shared" si="52"/>
        <v>584.07466953629205</v>
      </c>
      <c r="P84" s="6">
        <f t="shared" si="52"/>
        <v>596.17827819870558</v>
      </c>
      <c r="Q84" s="6">
        <f t="shared" si="52"/>
        <v>592.08038552500784</v>
      </c>
      <c r="R84" s="6">
        <f t="shared" si="52"/>
        <v>587.0660077763464</v>
      </c>
      <c r="S84" s="6">
        <f t="shared" si="52"/>
        <v>587.32835623100607</v>
      </c>
      <c r="T84" s="6">
        <f t="shared" si="52"/>
        <v>594.81084285011093</v>
      </c>
      <c r="U84" s="6">
        <f t="shared" si="52"/>
        <v>620.45716230326605</v>
      </c>
      <c r="V84" s="6">
        <f t="shared" si="51"/>
        <v>677.10697007031979</v>
      </c>
      <c r="W84" s="6">
        <f t="shared" si="51"/>
        <v>738.88529113325899</v>
      </c>
      <c r="X84" s="6">
        <f t="shared" si="51"/>
        <v>791.7978861234443</v>
      </c>
      <c r="Y84" s="6">
        <f t="shared" si="51"/>
        <v>832.91691567445366</v>
      </c>
      <c r="Z84" s="6">
        <f t="shared" si="51"/>
        <v>838.81589270307666</v>
      </c>
      <c r="AA84" s="6">
        <f t="shared" si="51"/>
        <v>816.09234406781752</v>
      </c>
      <c r="AB84" s="6">
        <f t="shared" si="51"/>
        <v>684.69628760755199</v>
      </c>
      <c r="AC84" s="6">
        <f t="shared" si="51"/>
        <v>552.74398606631235</v>
      </c>
    </row>
    <row r="85" spans="6:29" x14ac:dyDescent="0.25">
      <c r="F85" s="6">
        <f t="shared" si="52"/>
        <v>660.98347594421909</v>
      </c>
      <c r="G85" s="6">
        <f t="shared" si="51"/>
        <v>547.34796648871418</v>
      </c>
      <c r="H85" s="6">
        <f t="shared" si="51"/>
        <v>489.77389462436429</v>
      </c>
      <c r="I85" s="6">
        <f t="shared" si="51"/>
        <v>464.46107169131494</v>
      </c>
      <c r="J85" s="6">
        <f t="shared" si="51"/>
        <v>454.13926189188766</v>
      </c>
      <c r="K85" s="6">
        <f t="shared" si="51"/>
        <v>436.98591501901836</v>
      </c>
      <c r="L85" s="6">
        <f t="shared" si="51"/>
        <v>462.38415824037321</v>
      </c>
      <c r="M85" s="6">
        <f t="shared" si="51"/>
        <v>531.53016245336164</v>
      </c>
      <c r="N85" s="6">
        <f t="shared" si="51"/>
        <v>608.19926660830504</v>
      </c>
      <c r="O85" s="6">
        <f t="shared" si="51"/>
        <v>675.2625136825435</v>
      </c>
      <c r="P85" s="6">
        <f t="shared" si="51"/>
        <v>775.20702842417859</v>
      </c>
      <c r="Q85" s="6">
        <f t="shared" si="51"/>
        <v>868.52171500565373</v>
      </c>
      <c r="R85" s="6">
        <f t="shared" si="51"/>
        <v>968.59078275493459</v>
      </c>
      <c r="S85" s="6">
        <f t="shared" si="51"/>
        <v>1061.4543781659299</v>
      </c>
      <c r="T85" s="6">
        <f t="shared" si="51"/>
        <v>1162.0033247725012</v>
      </c>
      <c r="U85" s="6">
        <f t="shared" si="51"/>
        <v>1254.6307374657256</v>
      </c>
      <c r="V85" s="6">
        <f t="shared" si="51"/>
        <v>1372.2117944188599</v>
      </c>
      <c r="W85" s="6">
        <f t="shared" si="51"/>
        <v>1451.8243718092522</v>
      </c>
      <c r="X85" s="6">
        <f t="shared" si="51"/>
        <v>1468.9189601211992</v>
      </c>
      <c r="Y85" s="6">
        <f t="shared" si="51"/>
        <v>1409.2906238011328</v>
      </c>
      <c r="Z85" s="6">
        <f t="shared" si="51"/>
        <v>1304.290924100454</v>
      </c>
      <c r="AA85" s="6">
        <f t="shared" si="51"/>
        <v>1254.4358866408315</v>
      </c>
      <c r="AB85" s="6">
        <f t="shared" si="51"/>
        <v>1092.0362657027383</v>
      </c>
      <c r="AC85" s="6">
        <f t="shared" si="51"/>
        <v>835.38891862325045</v>
      </c>
    </row>
    <row r="86" spans="6:29" x14ac:dyDescent="0.25">
      <c r="F86" s="6">
        <f t="shared" si="52"/>
        <v>471.45161526604426</v>
      </c>
      <c r="G86" s="6">
        <f t="shared" si="51"/>
        <v>417.75714468254699</v>
      </c>
      <c r="H86" s="6">
        <f t="shared" si="51"/>
        <v>393.55209634901047</v>
      </c>
      <c r="I86" s="6">
        <f t="shared" si="51"/>
        <v>383.7976716439033</v>
      </c>
      <c r="J86" s="6">
        <f t="shared" si="51"/>
        <v>397.75577385102321</v>
      </c>
      <c r="K86" s="6">
        <f t="shared" si="51"/>
        <v>426.59781139180069</v>
      </c>
      <c r="L86" s="6">
        <f t="shared" si="51"/>
        <v>508.19582920052693</v>
      </c>
      <c r="M86" s="6">
        <f t="shared" si="51"/>
        <v>556.56401813209857</v>
      </c>
      <c r="N86" s="6">
        <f t="shared" si="51"/>
        <v>558.21551015787395</v>
      </c>
      <c r="O86" s="6">
        <f t="shared" si="51"/>
        <v>589.01451324227003</v>
      </c>
      <c r="P86" s="6">
        <f t="shared" si="51"/>
        <v>597.47748602109493</v>
      </c>
      <c r="Q86" s="6">
        <f t="shared" si="51"/>
        <v>627.45348485069462</v>
      </c>
      <c r="R86" s="6">
        <f t="shared" si="51"/>
        <v>639.667659525511</v>
      </c>
      <c r="S86" s="6">
        <f t="shared" si="51"/>
        <v>657.74633555012042</v>
      </c>
      <c r="T86" s="6">
        <f t="shared" si="51"/>
        <v>698.66498812569444</v>
      </c>
      <c r="U86" s="6">
        <f t="shared" si="51"/>
        <v>739.37194547661363</v>
      </c>
      <c r="V86" s="6">
        <f t="shared" si="51"/>
        <v>812.25311583056452</v>
      </c>
      <c r="W86" s="6">
        <f t="shared" si="51"/>
        <v>902.85815321385223</v>
      </c>
      <c r="X86" s="6">
        <f t="shared" si="51"/>
        <v>948.35444720618568</v>
      </c>
      <c r="Y86" s="6">
        <f t="shared" si="51"/>
        <v>931.0188756808119</v>
      </c>
      <c r="Z86" s="6">
        <f t="shared" si="51"/>
        <v>927.46093836967157</v>
      </c>
      <c r="AA86" s="6">
        <f t="shared" si="51"/>
        <v>876.73928550532503</v>
      </c>
      <c r="AB86" s="6">
        <f t="shared" si="51"/>
        <v>723.52714528260617</v>
      </c>
      <c r="AC86" s="6">
        <f t="shared" si="51"/>
        <v>564.54346267320614</v>
      </c>
    </row>
    <row r="88" spans="6:29" x14ac:dyDescent="0.25">
      <c r="F88" s="176">
        <f>F77</f>
        <v>589.78759365843371</v>
      </c>
      <c r="G88" s="176">
        <f t="shared" ref="G88:AC91" si="53">G77</f>
        <v>537.68631752786052</v>
      </c>
      <c r="H88" s="176">
        <f t="shared" si="53"/>
        <v>509.14001320348586</v>
      </c>
      <c r="I88" s="176">
        <f t="shared" si="53"/>
        <v>500.57113116707774</v>
      </c>
      <c r="J88" s="176">
        <f t="shared" si="53"/>
        <v>515.05007559171747</v>
      </c>
      <c r="K88" s="176">
        <f t="shared" si="53"/>
        <v>560.14451991954741</v>
      </c>
      <c r="L88" s="176">
        <f t="shared" si="53"/>
        <v>656.05974846953302</v>
      </c>
      <c r="M88" s="176">
        <f t="shared" si="53"/>
        <v>728.44819061473163</v>
      </c>
      <c r="N88" s="176">
        <f t="shared" si="53"/>
        <v>699.55755824231483</v>
      </c>
      <c r="O88" s="176">
        <f t="shared" si="53"/>
        <v>700.30621795762511</v>
      </c>
      <c r="P88" s="176">
        <f t="shared" si="53"/>
        <v>713.77326742504306</v>
      </c>
      <c r="Q88" s="176">
        <f t="shared" si="53"/>
        <v>714.46107489272913</v>
      </c>
      <c r="R88" s="176">
        <f t="shared" si="53"/>
        <v>710.79929314009098</v>
      </c>
      <c r="S88" s="176">
        <f t="shared" si="53"/>
        <v>695.64455449506249</v>
      </c>
      <c r="T88" s="176">
        <f t="shared" si="53"/>
        <v>694.86116680766952</v>
      </c>
      <c r="U88" s="176">
        <f t="shared" si="53"/>
        <v>724.13822281637295</v>
      </c>
      <c r="V88" s="176">
        <f t="shared" si="53"/>
        <v>795.1485201708964</v>
      </c>
      <c r="W88" s="176">
        <f t="shared" si="53"/>
        <v>951.56718652526877</v>
      </c>
      <c r="X88" s="176">
        <f t="shared" si="53"/>
        <v>1058.6489321300567</v>
      </c>
      <c r="Y88" s="176">
        <f t="shared" si="53"/>
        <v>1061.0928526845939</v>
      </c>
      <c r="Z88" s="176">
        <f t="shared" si="53"/>
        <v>1051.6140648828566</v>
      </c>
      <c r="AA88" s="176">
        <f t="shared" si="53"/>
        <v>1008.8443957380443</v>
      </c>
      <c r="AB88" s="176">
        <f t="shared" si="53"/>
        <v>855.18229597434618</v>
      </c>
      <c r="AC88" s="176">
        <f t="shared" si="53"/>
        <v>683.50219913370768</v>
      </c>
    </row>
    <row r="89" spans="6:29" x14ac:dyDescent="0.25">
      <c r="F89" s="176">
        <f t="shared" ref="F89:U91" si="54">F78</f>
        <v>464.83357076381731</v>
      </c>
      <c r="G89" s="176">
        <f t="shared" si="54"/>
        <v>418.56904972267256</v>
      </c>
      <c r="H89" s="176">
        <f t="shared" si="54"/>
        <v>394.58237419962535</v>
      </c>
      <c r="I89" s="176">
        <f t="shared" si="54"/>
        <v>393.36738417683529</v>
      </c>
      <c r="J89" s="176">
        <f t="shared" si="54"/>
        <v>415.89481767665995</v>
      </c>
      <c r="K89" s="176">
        <f t="shared" si="54"/>
        <v>457.8954158283662</v>
      </c>
      <c r="L89" s="176">
        <f t="shared" si="54"/>
        <v>536.65932602522594</v>
      </c>
      <c r="M89" s="176">
        <f t="shared" si="54"/>
        <v>571.57392276585279</v>
      </c>
      <c r="N89" s="176">
        <f t="shared" si="54"/>
        <v>560.05064512093145</v>
      </c>
      <c r="O89" s="176">
        <f t="shared" si="54"/>
        <v>576.08802656488876</v>
      </c>
      <c r="P89" s="176">
        <f t="shared" si="54"/>
        <v>586.94852158416256</v>
      </c>
      <c r="Q89" s="176">
        <f t="shared" si="54"/>
        <v>582.90462302630772</v>
      </c>
      <c r="R89" s="176">
        <f t="shared" si="54"/>
        <v>578.03764092115</v>
      </c>
      <c r="S89" s="176">
        <f t="shared" si="54"/>
        <v>578.41139767704408</v>
      </c>
      <c r="T89" s="176">
        <f t="shared" si="54"/>
        <v>586.05681340353124</v>
      </c>
      <c r="U89" s="176">
        <f t="shared" si="54"/>
        <v>612.7026321963798</v>
      </c>
      <c r="V89" s="176">
        <f t="shared" si="53"/>
        <v>671.9825114495369</v>
      </c>
      <c r="W89" s="176">
        <f t="shared" si="53"/>
        <v>736.38565981999102</v>
      </c>
      <c r="X89" s="176">
        <f t="shared" si="53"/>
        <v>791.54249558091476</v>
      </c>
      <c r="Y89" s="176">
        <f t="shared" si="53"/>
        <v>832.91668128135348</v>
      </c>
      <c r="Z89" s="176">
        <f t="shared" si="53"/>
        <v>838.81589270307666</v>
      </c>
      <c r="AA89" s="176">
        <f t="shared" si="53"/>
        <v>816.09234406781752</v>
      </c>
      <c r="AB89" s="176">
        <f t="shared" si="53"/>
        <v>684.69628760755199</v>
      </c>
      <c r="AC89" s="176">
        <f t="shared" si="53"/>
        <v>552.74398606631235</v>
      </c>
    </row>
    <row r="90" spans="6:29" x14ac:dyDescent="0.25">
      <c r="F90" s="176">
        <f t="shared" si="54"/>
        <v>660.98347594421909</v>
      </c>
      <c r="G90" s="176">
        <f t="shared" si="53"/>
        <v>547.34796648871418</v>
      </c>
      <c r="H90" s="176">
        <f t="shared" si="53"/>
        <v>489.77389462436429</v>
      </c>
      <c r="I90" s="176">
        <f t="shared" si="53"/>
        <v>464.46107169131494</v>
      </c>
      <c r="J90" s="176">
        <f t="shared" si="53"/>
        <v>454.13926189188766</v>
      </c>
      <c r="K90" s="176">
        <f t="shared" si="53"/>
        <v>436.97833657010312</v>
      </c>
      <c r="L90" s="176">
        <f t="shared" si="53"/>
        <v>462.05181742777489</v>
      </c>
      <c r="M90" s="176">
        <f t="shared" si="53"/>
        <v>528.75132223973878</v>
      </c>
      <c r="N90" s="176">
        <f t="shared" si="53"/>
        <v>602.53361758948506</v>
      </c>
      <c r="O90" s="176">
        <f t="shared" si="53"/>
        <v>667.13079133851625</v>
      </c>
      <c r="P90" s="176">
        <f t="shared" si="53"/>
        <v>765.60016704597774</v>
      </c>
      <c r="Q90" s="176">
        <f t="shared" si="53"/>
        <v>858.61350331713709</v>
      </c>
      <c r="R90" s="176">
        <f t="shared" si="53"/>
        <v>959.03409203550621</v>
      </c>
      <c r="S90" s="176">
        <f t="shared" si="53"/>
        <v>1052.4307607477401</v>
      </c>
      <c r="T90" s="176">
        <f t="shared" si="53"/>
        <v>1153.3553844005585</v>
      </c>
      <c r="U90" s="176">
        <f t="shared" si="53"/>
        <v>1247.5623932226429</v>
      </c>
      <c r="V90" s="176">
        <f t="shared" si="53"/>
        <v>1367.0104815328336</v>
      </c>
      <c r="W90" s="176">
        <f t="shared" si="53"/>
        <v>1448.9792407621196</v>
      </c>
      <c r="X90" s="176">
        <f t="shared" si="53"/>
        <v>1468.2241506611824</v>
      </c>
      <c r="Y90" s="176">
        <f t="shared" si="53"/>
        <v>1409.2852181557996</v>
      </c>
      <c r="Z90" s="176">
        <f t="shared" si="53"/>
        <v>1304.290924100454</v>
      </c>
      <c r="AA90" s="176">
        <f t="shared" si="53"/>
        <v>1254.4358866408315</v>
      </c>
      <c r="AB90" s="176">
        <f t="shared" si="53"/>
        <v>1092.0362657027383</v>
      </c>
      <c r="AC90" s="176">
        <f t="shared" si="53"/>
        <v>835.38891862325045</v>
      </c>
    </row>
    <row r="91" spans="6:29" x14ac:dyDescent="0.25">
      <c r="F91" s="176">
        <f t="shared" si="54"/>
        <v>471.45161526604426</v>
      </c>
      <c r="G91" s="176">
        <f t="shared" si="53"/>
        <v>417.75714468254699</v>
      </c>
      <c r="H91" s="176">
        <f t="shared" si="53"/>
        <v>393.55209634901047</v>
      </c>
      <c r="I91" s="176">
        <f t="shared" si="53"/>
        <v>383.7976716439033</v>
      </c>
      <c r="J91" s="176">
        <f t="shared" si="53"/>
        <v>397.75577385102321</v>
      </c>
      <c r="K91" s="176">
        <f t="shared" si="53"/>
        <v>426.59781139180069</v>
      </c>
      <c r="L91" s="176">
        <f t="shared" si="53"/>
        <v>508.19104078388062</v>
      </c>
      <c r="M91" s="176">
        <f t="shared" si="53"/>
        <v>554.92352530407356</v>
      </c>
      <c r="N91" s="176">
        <f t="shared" si="53"/>
        <v>553.3369352202825</v>
      </c>
      <c r="O91" s="176">
        <f t="shared" si="53"/>
        <v>581.66611108178756</v>
      </c>
      <c r="P91" s="176">
        <f t="shared" si="53"/>
        <v>588.60978381070515</v>
      </c>
      <c r="Q91" s="176">
        <f t="shared" si="53"/>
        <v>618.49652517002119</v>
      </c>
      <c r="R91" s="176">
        <f t="shared" si="53"/>
        <v>630.85089298712535</v>
      </c>
      <c r="S91" s="176">
        <f t="shared" si="53"/>
        <v>648.78562545813577</v>
      </c>
      <c r="T91" s="176">
        <f t="shared" si="53"/>
        <v>690.27470211271975</v>
      </c>
      <c r="U91" s="176">
        <f t="shared" si="53"/>
        <v>733.4339623631621</v>
      </c>
      <c r="V91" s="176">
        <f t="shared" si="53"/>
        <v>808.90678095292469</v>
      </c>
      <c r="W91" s="176">
        <f t="shared" si="53"/>
        <v>902.0933978647447</v>
      </c>
      <c r="X91" s="176">
        <f t="shared" si="53"/>
        <v>948.35329285133048</v>
      </c>
      <c r="Y91" s="176">
        <f t="shared" si="53"/>
        <v>931.0188756808119</v>
      </c>
      <c r="Z91" s="176">
        <f t="shared" si="53"/>
        <v>927.46093836967157</v>
      </c>
      <c r="AA91" s="176">
        <f t="shared" si="53"/>
        <v>876.73928550532503</v>
      </c>
      <c r="AB91" s="176">
        <f t="shared" si="53"/>
        <v>723.52714528260617</v>
      </c>
      <c r="AC91" s="176">
        <f t="shared" si="53"/>
        <v>564.54346267320614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026"/>
  <sheetViews>
    <sheetView zoomScale="60" zoomScaleNormal="60" workbookViewId="0">
      <selection activeCell="H91" sqref="H91"/>
    </sheetView>
  </sheetViews>
  <sheetFormatPr defaultRowHeight="15" x14ac:dyDescent="0.25"/>
  <cols>
    <col min="1" max="1" width="16.85546875" bestFit="1" customWidth="1"/>
    <col min="2" max="2" width="68.140625" customWidth="1"/>
    <col min="3" max="3" width="19" customWidth="1"/>
    <col min="4" max="4" width="17.28515625" customWidth="1"/>
    <col min="6" max="6" width="57.28515625" customWidth="1"/>
    <col min="7" max="7" width="30.140625" customWidth="1"/>
    <col min="8" max="8" width="12.5703125" customWidth="1"/>
  </cols>
  <sheetData>
    <row r="1" spans="1:2" s="3" customFormat="1" x14ac:dyDescent="0.25">
      <c r="A1" s="3" t="s">
        <v>81</v>
      </c>
    </row>
    <row r="3" spans="1:2" x14ac:dyDescent="0.25">
      <c r="A3" s="11">
        <v>25</v>
      </c>
      <c r="B3" s="11" t="s">
        <v>82</v>
      </c>
    </row>
    <row r="4" spans="1:2" x14ac:dyDescent="0.25">
      <c r="A4" s="11">
        <v>31</v>
      </c>
      <c r="B4" s="11" t="s">
        <v>83</v>
      </c>
    </row>
    <row r="5" spans="1:2" x14ac:dyDescent="0.25">
      <c r="A5" s="11">
        <f>A3+A4</f>
        <v>56</v>
      </c>
      <c r="B5" s="11" t="s">
        <v>257</v>
      </c>
    </row>
    <row r="6" spans="1:2" x14ac:dyDescent="0.25">
      <c r="A6" s="11"/>
      <c r="B6" s="11"/>
    </row>
    <row r="7" spans="1:2" x14ac:dyDescent="0.25">
      <c r="A7" s="11">
        <v>2139</v>
      </c>
      <c r="B7" s="11" t="s">
        <v>85</v>
      </c>
    </row>
    <row r="8" spans="1:2" ht="18" x14ac:dyDescent="0.35">
      <c r="A8" s="11">
        <v>14273</v>
      </c>
      <c r="B8" s="11" t="s">
        <v>84</v>
      </c>
    </row>
    <row r="9" spans="1:2" x14ac:dyDescent="0.25">
      <c r="A9" s="11">
        <v>592</v>
      </c>
      <c r="B9" s="11" t="s">
        <v>138</v>
      </c>
    </row>
    <row r="10" spans="1:2" x14ac:dyDescent="0.25">
      <c r="A10" s="11">
        <f>A7-A9</f>
        <v>1547</v>
      </c>
      <c r="B10" s="11" t="s">
        <v>86</v>
      </c>
    </row>
    <row r="11" spans="1:2" x14ac:dyDescent="0.25">
      <c r="A11" s="11">
        <v>453</v>
      </c>
      <c r="B11" s="11" t="s">
        <v>137</v>
      </c>
    </row>
    <row r="13" spans="1:2" x14ac:dyDescent="0.25">
      <c r="A13" s="35" t="s">
        <v>104</v>
      </c>
      <c r="B13" s="36" t="s">
        <v>106</v>
      </c>
    </row>
    <row r="14" spans="1:2" ht="15.75" thickBot="1" x14ac:dyDescent="0.3">
      <c r="A14" s="37" t="s">
        <v>105</v>
      </c>
      <c r="B14" s="38" t="s">
        <v>87</v>
      </c>
    </row>
    <row r="15" spans="1:2" x14ac:dyDescent="0.25">
      <c r="A15" s="39"/>
      <c r="B15" s="40"/>
    </row>
    <row r="16" spans="1:2" x14ac:dyDescent="0.25">
      <c r="A16" s="41"/>
      <c r="B16" s="42" t="s">
        <v>88</v>
      </c>
    </row>
    <row r="17" spans="1:2" x14ac:dyDescent="0.25">
      <c r="A17" s="43">
        <v>57008524.904162668</v>
      </c>
      <c r="B17" s="44" t="s">
        <v>89</v>
      </c>
    </row>
    <row r="18" spans="1:2" x14ac:dyDescent="0.25">
      <c r="A18" s="43">
        <v>6203851850.0023994</v>
      </c>
      <c r="B18" s="44" t="s">
        <v>90</v>
      </c>
    </row>
    <row r="19" spans="1:2" x14ac:dyDescent="0.25">
      <c r="A19" s="43">
        <v>740635.7218712765</v>
      </c>
      <c r="B19" s="44" t="s">
        <v>91</v>
      </c>
    </row>
    <row r="20" spans="1:2" x14ac:dyDescent="0.25">
      <c r="A20" s="45">
        <v>0.14907291858666505</v>
      </c>
      <c r="B20" s="46" t="s">
        <v>92</v>
      </c>
    </row>
    <row r="21" spans="1:2" x14ac:dyDescent="0.25">
      <c r="A21" s="45">
        <v>0.61127518485934396</v>
      </c>
      <c r="B21" s="41" t="s">
        <v>93</v>
      </c>
    </row>
    <row r="22" spans="1:2" x14ac:dyDescent="0.25">
      <c r="A22" s="47"/>
      <c r="B22" s="48"/>
    </row>
    <row r="23" spans="1:2" x14ac:dyDescent="0.25">
      <c r="A23" s="49">
        <v>0.35170691580154834</v>
      </c>
      <c r="B23" s="50" t="s">
        <v>98</v>
      </c>
    </row>
    <row r="24" spans="1:2" x14ac:dyDescent="0.25">
      <c r="A24" s="43">
        <v>196402325.77387851</v>
      </c>
      <c r="B24" s="44" t="s">
        <v>94</v>
      </c>
    </row>
    <row r="25" spans="1:2" x14ac:dyDescent="0.25">
      <c r="A25" s="51">
        <v>3.4451395840192585</v>
      </c>
      <c r="B25" s="44" t="s">
        <v>95</v>
      </c>
    </row>
    <row r="26" spans="1:2" x14ac:dyDescent="0.25">
      <c r="A26" s="52">
        <v>3.1658126358030704E-2</v>
      </c>
      <c r="B26" s="44" t="s">
        <v>96</v>
      </c>
    </row>
    <row r="27" spans="1:2" x14ac:dyDescent="0.25">
      <c r="A27" s="51">
        <v>265.18073591920739</v>
      </c>
      <c r="B27" s="44" t="s">
        <v>97</v>
      </c>
    </row>
    <row r="28" spans="1:2" x14ac:dyDescent="0.25">
      <c r="A28" s="43"/>
      <c r="B28" s="44"/>
    </row>
    <row r="29" spans="1:2" x14ac:dyDescent="0.25">
      <c r="A29" s="49">
        <v>0.27853858768721673</v>
      </c>
      <c r="B29" s="50" t="s">
        <v>99</v>
      </c>
    </row>
    <row r="30" spans="1:2" x14ac:dyDescent="0.25">
      <c r="A30" s="43">
        <v>194776033.19604701</v>
      </c>
      <c r="B30" s="44" t="s">
        <v>94</v>
      </c>
    </row>
    <row r="31" spans="1:2" x14ac:dyDescent="0.25">
      <c r="A31" s="51">
        <v>3.4166124018028183</v>
      </c>
      <c r="B31" s="44" t="s">
        <v>95</v>
      </c>
    </row>
    <row r="32" spans="1:2" x14ac:dyDescent="0.25">
      <c r="A32" s="52">
        <v>3.1395983963732416E-2</v>
      </c>
      <c r="B32" s="44" t="s">
        <v>96</v>
      </c>
    </row>
    <row r="33" spans="1:2" x14ac:dyDescent="0.25">
      <c r="A33" s="51">
        <v>262.98492962765755</v>
      </c>
      <c r="B33" s="44" t="s">
        <v>97</v>
      </c>
    </row>
    <row r="34" spans="1:2" x14ac:dyDescent="0.25">
      <c r="A34" s="43"/>
      <c r="B34" s="44"/>
    </row>
    <row r="35" spans="1:2" x14ac:dyDescent="0.25">
      <c r="A35" s="49">
        <v>0.33261380209296465</v>
      </c>
      <c r="B35" s="50" t="s">
        <v>100</v>
      </c>
    </row>
    <row r="36" spans="1:2" x14ac:dyDescent="0.25">
      <c r="A36" s="43">
        <v>97224375.227155641</v>
      </c>
      <c r="B36" s="44" t="s">
        <v>94</v>
      </c>
    </row>
    <row r="37" spans="1:2" x14ac:dyDescent="0.25">
      <c r="A37" s="51">
        <v>1.7054357289650988</v>
      </c>
      <c r="B37" s="44" t="s">
        <v>95</v>
      </c>
    </row>
    <row r="38" spans="1:2" x14ac:dyDescent="0.25">
      <c r="A38" s="52">
        <v>1.5671614599745486E-2</v>
      </c>
      <c r="B38" s="44" t="s">
        <v>96</v>
      </c>
    </row>
    <row r="39" spans="1:2" x14ac:dyDescent="0.25">
      <c r="A39" s="51">
        <v>131.27151763826666</v>
      </c>
      <c r="B39" s="44" t="s">
        <v>97</v>
      </c>
    </row>
    <row r="40" spans="1:2" x14ac:dyDescent="0.25">
      <c r="A40" s="43"/>
      <c r="B40" s="44"/>
    </row>
    <row r="41" spans="1:2" x14ac:dyDescent="0.25">
      <c r="A41" s="49">
        <v>0.58022044588927835</v>
      </c>
      <c r="B41" s="50" t="s">
        <v>101</v>
      </c>
    </row>
    <row r="42" spans="1:2" x14ac:dyDescent="0.25">
      <c r="A42" s="43">
        <v>188787434.95820335</v>
      </c>
      <c r="B42" s="44" t="s">
        <v>94</v>
      </c>
    </row>
    <row r="43" spans="1:2" x14ac:dyDescent="0.25">
      <c r="A43" s="51">
        <v>3.3115649856854725</v>
      </c>
      <c r="B43" s="44" t="s">
        <v>95</v>
      </c>
    </row>
    <row r="44" spans="1:2" x14ac:dyDescent="0.25">
      <c r="A44" s="52">
        <v>3.0430680732347008E-2</v>
      </c>
      <c r="B44" s="44" t="s">
        <v>96</v>
      </c>
    </row>
    <row r="45" spans="1:2" x14ac:dyDescent="0.25">
      <c r="A45" s="51">
        <v>254.89917564496687</v>
      </c>
      <c r="B45" s="44" t="s">
        <v>97</v>
      </c>
    </row>
    <row r="46" spans="1:2" x14ac:dyDescent="0.25">
      <c r="A46" s="51"/>
      <c r="B46" s="44"/>
    </row>
    <row r="47" spans="1:2" x14ac:dyDescent="0.25">
      <c r="A47" s="51"/>
      <c r="B47" s="44"/>
    </row>
    <row r="48" spans="1:2" x14ac:dyDescent="0.25">
      <c r="A48" s="49">
        <v>0.94263319456372729</v>
      </c>
      <c r="B48" s="50" t="s">
        <v>102</v>
      </c>
    </row>
    <row r="49" spans="1:2" x14ac:dyDescent="0.25">
      <c r="A49" s="43">
        <v>30883608.816801958</v>
      </c>
      <c r="B49" s="44" t="s">
        <v>94</v>
      </c>
    </row>
    <row r="50" spans="1:2" x14ac:dyDescent="0.25">
      <c r="A50" s="51">
        <v>0.54173667655356028</v>
      </c>
      <c r="B50" s="44" t="s">
        <v>95</v>
      </c>
    </row>
    <row r="51" spans="1:2" x14ac:dyDescent="0.25">
      <c r="A51" s="52">
        <v>4.9781344821749757E-3</v>
      </c>
      <c r="B51" s="44" t="s">
        <v>96</v>
      </c>
    </row>
    <row r="52" spans="1:2" x14ac:dyDescent="0.25">
      <c r="A52" s="51">
        <v>41.698783767507194</v>
      </c>
      <c r="B52" s="44" t="s">
        <v>97</v>
      </c>
    </row>
    <row r="53" spans="1:2" x14ac:dyDescent="0.25">
      <c r="A53" s="51"/>
      <c r="B53" s="44"/>
    </row>
    <row r="54" spans="1:2" x14ac:dyDescent="0.25">
      <c r="A54" s="49">
        <v>0.39233581155121139</v>
      </c>
      <c r="B54" s="50" t="s">
        <v>103</v>
      </c>
    </row>
    <row r="55" spans="1:2" x14ac:dyDescent="0.25">
      <c r="A55" s="43">
        <v>6250845.1104708491</v>
      </c>
      <c r="B55" s="44" t="s">
        <v>94</v>
      </c>
    </row>
    <row r="56" spans="1:2" x14ac:dyDescent="0.25">
      <c r="A56" s="51">
        <v>0.10964755044932627</v>
      </c>
      <c r="B56" s="44" t="s">
        <v>95</v>
      </c>
    </row>
    <row r="57" spans="1:2" x14ac:dyDescent="0.25">
      <c r="A57" s="52">
        <v>1.0075748521410019E-3</v>
      </c>
      <c r="B57" s="44" t="s">
        <v>96</v>
      </c>
    </row>
    <row r="58" spans="1:2" x14ac:dyDescent="0.25">
      <c r="A58" s="51">
        <v>8.4398374610902902</v>
      </c>
      <c r="B58" s="44" t="s">
        <v>97</v>
      </c>
    </row>
    <row r="59" spans="1:2" x14ac:dyDescent="0.25">
      <c r="A59" s="11"/>
      <c r="B59" s="11"/>
    </row>
    <row r="60" spans="1:2" x14ac:dyDescent="0.25">
      <c r="A60" s="11"/>
      <c r="B60" s="11"/>
    </row>
    <row r="61" spans="1:2" x14ac:dyDescent="0.25">
      <c r="A61" s="53">
        <f>$A$26</f>
        <v>3.1658126358030704E-2</v>
      </c>
      <c r="B61" s="44" t="s">
        <v>107</v>
      </c>
    </row>
    <row r="62" spans="1:2" x14ac:dyDescent="0.25">
      <c r="A62" s="53">
        <f>$A$38</f>
        <v>1.5671614599745486E-2</v>
      </c>
      <c r="B62" s="44" t="s">
        <v>109</v>
      </c>
    </row>
    <row r="63" spans="1:2" x14ac:dyDescent="0.25">
      <c r="A63" s="53">
        <f>$A$44</f>
        <v>3.0430680732347008E-2</v>
      </c>
      <c r="B63" s="44" t="s">
        <v>110</v>
      </c>
    </row>
    <row r="64" spans="1:2" x14ac:dyDescent="0.25">
      <c r="A64" s="53">
        <f>$A$51</f>
        <v>4.9781344821749757E-3</v>
      </c>
      <c r="B64" s="44" t="s">
        <v>111</v>
      </c>
    </row>
    <row r="65" spans="1:4" x14ac:dyDescent="0.25">
      <c r="A65" s="53">
        <f>$A$57</f>
        <v>1.0075748521410019E-3</v>
      </c>
      <c r="B65" s="44" t="s">
        <v>112</v>
      </c>
    </row>
    <row r="66" spans="1:4" x14ac:dyDescent="0.25">
      <c r="A66" s="53">
        <f>SUM(A61:A65)</f>
        <v>8.3746131024439174E-2</v>
      </c>
      <c r="B66" s="50" t="s">
        <v>6</v>
      </c>
    </row>
    <row r="67" spans="1:4" x14ac:dyDescent="0.25">
      <c r="A67" s="11"/>
      <c r="B67" s="11"/>
    </row>
    <row r="68" spans="1:4" x14ac:dyDescent="0.25">
      <c r="A68" s="53">
        <f>$A$32</f>
        <v>3.1395983963732416E-2</v>
      </c>
      <c r="B68" s="44" t="s">
        <v>108</v>
      </c>
    </row>
    <row r="69" spans="1:4" x14ac:dyDescent="0.25">
      <c r="A69" s="11"/>
      <c r="B69" s="11"/>
    </row>
    <row r="70" spans="1:4" x14ac:dyDescent="0.25">
      <c r="A70" s="53">
        <f>A66+A68</f>
        <v>0.11514211498817159</v>
      </c>
      <c r="B70" s="44" t="s">
        <v>113</v>
      </c>
    </row>
    <row r="71" spans="1:4" x14ac:dyDescent="0.25">
      <c r="A71" s="11"/>
      <c r="B71" s="11"/>
    </row>
    <row r="73" spans="1:4" x14ac:dyDescent="0.25">
      <c r="A73" s="11"/>
      <c r="B73" s="11"/>
      <c r="C73" s="11"/>
      <c r="D73" s="11"/>
    </row>
    <row r="74" spans="1:4" ht="15.75" x14ac:dyDescent="0.25">
      <c r="A74" s="12" t="s">
        <v>136</v>
      </c>
      <c r="B74" s="13"/>
      <c r="C74" s="19" t="s">
        <v>104</v>
      </c>
      <c r="D74" s="19"/>
    </row>
    <row r="75" spans="1:4" ht="15.75" x14ac:dyDescent="0.25">
      <c r="A75" s="14"/>
      <c r="B75" s="15"/>
      <c r="C75" s="16" t="s">
        <v>114</v>
      </c>
      <c r="D75" s="17" t="s">
        <v>115</v>
      </c>
    </row>
    <row r="76" spans="1:4" ht="15.75" x14ac:dyDescent="0.25">
      <c r="A76" s="18" t="s">
        <v>116</v>
      </c>
      <c r="B76" s="18" t="s">
        <v>117</v>
      </c>
      <c r="C76" s="19" t="s">
        <v>118</v>
      </c>
      <c r="D76" s="19" t="s">
        <v>119</v>
      </c>
    </row>
    <row r="77" spans="1:4" ht="15.75" x14ac:dyDescent="0.25">
      <c r="A77" s="20">
        <v>1</v>
      </c>
      <c r="B77" s="21" t="s">
        <v>120</v>
      </c>
      <c r="C77" s="22">
        <v>35862037.59638235</v>
      </c>
      <c r="D77" s="23">
        <v>4.0350511430423825</v>
      </c>
    </row>
    <row r="78" spans="1:4" ht="15.75" x14ac:dyDescent="0.25">
      <c r="A78" s="20">
        <f>A77+1</f>
        <v>2</v>
      </c>
      <c r="B78" s="21" t="s">
        <v>121</v>
      </c>
      <c r="C78" s="22">
        <v>7957725.1913740663</v>
      </c>
      <c r="D78" s="23">
        <v>0.89537099065197079</v>
      </c>
    </row>
    <row r="79" spans="1:4" ht="15.75" x14ac:dyDescent="0.25">
      <c r="A79" s="20">
        <f t="shared" ref="A79:A85" si="0">A78+1</f>
        <v>3</v>
      </c>
      <c r="B79" s="21" t="s">
        <v>122</v>
      </c>
      <c r="C79" s="22">
        <v>23022745.07998177</v>
      </c>
      <c r="D79" s="23">
        <v>2.5904259790393249</v>
      </c>
    </row>
    <row r="80" spans="1:4" ht="15.75" x14ac:dyDescent="0.25">
      <c r="A80" s="20">
        <f t="shared" si="0"/>
        <v>4</v>
      </c>
      <c r="B80" s="21" t="s">
        <v>123</v>
      </c>
      <c r="C80" s="22">
        <v>30883608.816801958</v>
      </c>
      <c r="D80" s="23">
        <v>3.4748985113462014</v>
      </c>
    </row>
    <row r="81" spans="1:4" ht="15.75" x14ac:dyDescent="0.25">
      <c r="A81" s="20">
        <f t="shared" si="0"/>
        <v>5</v>
      </c>
      <c r="B81" s="21" t="s">
        <v>124</v>
      </c>
      <c r="C81" s="22">
        <v>86583266.553436473</v>
      </c>
      <c r="D81" s="23">
        <v>9.7419982826081881</v>
      </c>
    </row>
    <row r="82" spans="1:4" ht="15.75" x14ac:dyDescent="0.25">
      <c r="A82" s="20">
        <f t="shared" si="0"/>
        <v>6</v>
      </c>
      <c r="B82" s="24" t="s">
        <v>125</v>
      </c>
      <c r="C82" s="25">
        <v>35361660.537028693</v>
      </c>
      <c r="D82" s="26">
        <v>3.9787507440516445</v>
      </c>
    </row>
    <row r="83" spans="1:4" ht="15.75" x14ac:dyDescent="0.25">
      <c r="A83" s="20">
        <f t="shared" si="0"/>
        <v>7</v>
      </c>
      <c r="B83" s="21" t="s">
        <v>126</v>
      </c>
      <c r="C83" s="22">
        <v>219671043.77500531</v>
      </c>
      <c r="D83" s="23">
        <v>24.716495650739713</v>
      </c>
    </row>
    <row r="84" spans="1:4" ht="15.75" x14ac:dyDescent="0.25">
      <c r="A84" s="20">
        <f t="shared" si="0"/>
        <v>8</v>
      </c>
      <c r="B84" s="21" t="s">
        <v>127</v>
      </c>
      <c r="C84" s="22">
        <v>70417432</v>
      </c>
      <c r="D84" s="23">
        <v>8</v>
      </c>
    </row>
    <row r="85" spans="1:4" ht="15.75" x14ac:dyDescent="0.25">
      <c r="A85" s="20">
        <f t="shared" si="0"/>
        <v>9</v>
      </c>
      <c r="B85" s="24" t="s">
        <v>128</v>
      </c>
      <c r="C85" s="25">
        <v>149253611.77500531</v>
      </c>
      <c r="D85" s="26">
        <v>16.716495650739713</v>
      </c>
    </row>
    <row r="86" spans="1:4" ht="15.75" x14ac:dyDescent="0.25">
      <c r="A86" s="20"/>
      <c r="B86" s="21"/>
      <c r="C86" s="22"/>
      <c r="D86" s="23"/>
    </row>
    <row r="87" spans="1:4" ht="15.75" x14ac:dyDescent="0.25">
      <c r="A87" s="20">
        <f>A85+1</f>
        <v>10</v>
      </c>
      <c r="B87" s="21" t="s">
        <v>129</v>
      </c>
      <c r="C87" s="27">
        <v>6203851850.0352459</v>
      </c>
      <c r="D87" s="23"/>
    </row>
    <row r="88" spans="1:4" ht="15.75" x14ac:dyDescent="0.25">
      <c r="A88" s="20">
        <f>A87+1</f>
        <v>11</v>
      </c>
      <c r="B88" s="21" t="s">
        <v>130</v>
      </c>
      <c r="C88" s="27">
        <v>13012994.967153413</v>
      </c>
      <c r="D88" s="23"/>
    </row>
    <row r="89" spans="1:4" ht="15.75" x14ac:dyDescent="0.25">
      <c r="A89" s="20">
        <f t="shared" ref="A89:A93" si="1">A88+1</f>
        <v>12</v>
      </c>
      <c r="B89" s="21" t="s">
        <v>131</v>
      </c>
      <c r="C89" s="27">
        <v>8887629.0101599023</v>
      </c>
      <c r="D89" s="21"/>
    </row>
    <row r="90" spans="1:4" ht="15.75" x14ac:dyDescent="0.25">
      <c r="A90" s="20">
        <f t="shared" si="1"/>
        <v>13</v>
      </c>
      <c r="B90" s="21" t="s">
        <v>132</v>
      </c>
      <c r="C90" s="28">
        <v>25116.652295416021</v>
      </c>
      <c r="D90" s="29"/>
    </row>
    <row r="91" spans="1:4" ht="15.75" x14ac:dyDescent="0.25">
      <c r="A91" s="20">
        <f t="shared" si="1"/>
        <v>14</v>
      </c>
      <c r="B91" s="21" t="s">
        <v>133</v>
      </c>
      <c r="C91" s="30">
        <v>2.4058216634260433E-2</v>
      </c>
      <c r="D91" s="23"/>
    </row>
    <row r="92" spans="1:4" ht="15.75" x14ac:dyDescent="0.25">
      <c r="A92" s="20">
        <f t="shared" si="1"/>
        <v>15</v>
      </c>
      <c r="B92" s="24" t="s">
        <v>134</v>
      </c>
      <c r="C92" s="25">
        <v>313069.45198031754</v>
      </c>
      <c r="D92" s="26">
        <v>12.4646170316836</v>
      </c>
    </row>
    <row r="93" spans="1:4" ht="16.5" thickBot="1" x14ac:dyDescent="0.3">
      <c r="A93" s="31">
        <f t="shared" si="1"/>
        <v>16</v>
      </c>
      <c r="B93" s="32" t="s">
        <v>135</v>
      </c>
      <c r="C93" s="33"/>
      <c r="D93" s="34">
        <v>4.25</v>
      </c>
    </row>
    <row r="94" spans="1:4" ht="15.75" thickTop="1" x14ac:dyDescent="0.25"/>
    <row r="566" spans="1:5" s="4" customFormat="1" x14ac:dyDescent="0.25">
      <c r="A566" s="4" t="s">
        <v>139</v>
      </c>
    </row>
    <row r="568" spans="1:5" ht="15.75" x14ac:dyDescent="0.25">
      <c r="A568" s="55">
        <v>701000</v>
      </c>
      <c r="B568" s="54" t="s">
        <v>140</v>
      </c>
    </row>
    <row r="569" spans="1:5" ht="15.75" x14ac:dyDescent="0.25">
      <c r="A569" s="56">
        <v>0.5</v>
      </c>
      <c r="B569" s="54" t="s">
        <v>141</v>
      </c>
    </row>
    <row r="570" spans="1:5" ht="15.75" x14ac:dyDescent="0.25">
      <c r="A570" s="56"/>
      <c r="B570" s="54"/>
    </row>
    <row r="571" spans="1:5" x14ac:dyDescent="0.25">
      <c r="A571">
        <v>363</v>
      </c>
      <c r="B571" s="57" t="s">
        <v>142</v>
      </c>
      <c r="C571">
        <v>1</v>
      </c>
      <c r="D571">
        <f>SUMPRODUCT(A571:A580,C571:C580)/1000</f>
        <v>6.6520000000000001</v>
      </c>
      <c r="E571" t="s">
        <v>153</v>
      </c>
    </row>
    <row r="572" spans="1:5" x14ac:dyDescent="0.25">
      <c r="A572">
        <v>498</v>
      </c>
      <c r="B572" s="57" t="s">
        <v>143</v>
      </c>
      <c r="C572">
        <v>2</v>
      </c>
      <c r="D572">
        <f>SUM(A571:A580)</f>
        <v>1912</v>
      </c>
      <c r="E572" t="s">
        <v>154</v>
      </c>
    </row>
    <row r="573" spans="1:5" x14ac:dyDescent="0.25">
      <c r="A573">
        <v>238</v>
      </c>
      <c r="B573" s="57" t="s">
        <v>144</v>
      </c>
      <c r="C573">
        <v>3</v>
      </c>
      <c r="D573">
        <f>D571/D572</f>
        <v>3.4790794979079501E-3</v>
      </c>
      <c r="E573" t="s">
        <v>155</v>
      </c>
    </row>
    <row r="574" spans="1:5" x14ac:dyDescent="0.25">
      <c r="A574">
        <v>253</v>
      </c>
      <c r="B574" s="57" t="s">
        <v>145</v>
      </c>
      <c r="C574">
        <v>4</v>
      </c>
      <c r="D574">
        <f>D573*1000</f>
        <v>3.47907949790795</v>
      </c>
      <c r="E574" t="s">
        <v>156</v>
      </c>
    </row>
    <row r="575" spans="1:5" x14ac:dyDescent="0.25">
      <c r="A575">
        <v>205</v>
      </c>
      <c r="B575" s="57" t="s">
        <v>146</v>
      </c>
      <c r="C575">
        <v>5</v>
      </c>
    </row>
    <row r="576" spans="1:5" x14ac:dyDescent="0.25">
      <c r="A576">
        <v>152</v>
      </c>
      <c r="B576" s="57" t="s">
        <v>147</v>
      </c>
      <c r="C576">
        <v>6</v>
      </c>
    </row>
    <row r="577" spans="1:6" x14ac:dyDescent="0.25">
      <c r="A577">
        <v>82</v>
      </c>
      <c r="B577" s="57" t="s">
        <v>148</v>
      </c>
      <c r="C577">
        <v>7</v>
      </c>
    </row>
    <row r="578" spans="1:6" x14ac:dyDescent="0.25">
      <c r="A578">
        <v>58</v>
      </c>
      <c r="B578" s="57" t="s">
        <v>149</v>
      </c>
      <c r="C578">
        <v>8</v>
      </c>
    </row>
    <row r="579" spans="1:6" x14ac:dyDescent="0.25">
      <c r="A579">
        <v>38</v>
      </c>
      <c r="B579" s="57" t="s">
        <v>150</v>
      </c>
      <c r="C579">
        <v>9</v>
      </c>
    </row>
    <row r="580" spans="1:6" x14ac:dyDescent="0.25">
      <c r="A580">
        <v>25</v>
      </c>
      <c r="B580" s="57" t="s">
        <v>151</v>
      </c>
      <c r="C580">
        <v>10</v>
      </c>
    </row>
    <row r="581" spans="1:6" x14ac:dyDescent="0.25">
      <c r="A581">
        <v>46</v>
      </c>
      <c r="B581" t="s">
        <v>152</v>
      </c>
      <c r="C581" s="2"/>
    </row>
    <row r="584" spans="1:6" s="4" customFormat="1" x14ac:dyDescent="0.25">
      <c r="A584" s="4" t="s">
        <v>157</v>
      </c>
    </row>
    <row r="586" spans="1:6" x14ac:dyDescent="0.25">
      <c r="A586" s="202" t="s">
        <v>158</v>
      </c>
      <c r="B586" s="202"/>
      <c r="C586" s="202"/>
      <c r="D586" s="202"/>
      <c r="E586" s="202"/>
      <c r="F586" t="s">
        <v>168</v>
      </c>
    </row>
    <row r="587" spans="1:6" ht="21" customHeight="1" x14ac:dyDescent="0.25">
      <c r="A587" s="202"/>
      <c r="B587" s="202"/>
      <c r="C587" s="202"/>
      <c r="D587" s="202"/>
      <c r="E587" s="202"/>
    </row>
    <row r="589" spans="1:6" s="4" customFormat="1" x14ac:dyDescent="0.25">
      <c r="A589" s="4" t="s">
        <v>159</v>
      </c>
    </row>
    <row r="591" spans="1:6" ht="15.75" customHeight="1" x14ac:dyDescent="0.25">
      <c r="A591" s="204" t="s">
        <v>160</v>
      </c>
      <c r="B591" s="204"/>
      <c r="C591" s="204"/>
      <c r="D591" s="204"/>
      <c r="E591" s="204"/>
      <c r="F591" t="s">
        <v>161</v>
      </c>
    </row>
    <row r="592" spans="1:6" ht="15" customHeight="1" x14ac:dyDescent="0.25">
      <c r="A592" s="204"/>
      <c r="B592" s="204"/>
      <c r="C592" s="204"/>
      <c r="D592" s="204"/>
      <c r="E592" s="204"/>
    </row>
    <row r="593" spans="1:6" x14ac:dyDescent="0.25">
      <c r="A593" s="204"/>
      <c r="B593" s="204"/>
      <c r="C593" s="204"/>
      <c r="D593" s="204"/>
      <c r="E593" s="204"/>
    </row>
    <row r="594" spans="1:6" x14ac:dyDescent="0.25">
      <c r="A594" s="204"/>
      <c r="B594" s="204"/>
      <c r="C594" s="204"/>
      <c r="D594" s="204"/>
      <c r="E594" s="204"/>
    </row>
    <row r="595" spans="1:6" x14ac:dyDescent="0.25">
      <c r="A595" s="58"/>
      <c r="B595" s="58"/>
      <c r="C595" s="58"/>
      <c r="D595" s="58"/>
      <c r="E595" s="58"/>
    </row>
    <row r="596" spans="1:6" ht="15.75" customHeight="1" x14ac:dyDescent="0.25">
      <c r="A596" s="204" t="s">
        <v>162</v>
      </c>
      <c r="B596" s="204"/>
      <c r="C596" s="204"/>
      <c r="D596" s="204"/>
      <c r="E596" s="204"/>
      <c r="F596" t="s">
        <v>165</v>
      </c>
    </row>
    <row r="597" spans="1:6" x14ac:dyDescent="0.25">
      <c r="A597" s="204"/>
      <c r="B597" s="204"/>
      <c r="C597" s="204"/>
      <c r="D597" s="204"/>
      <c r="E597" s="204"/>
    </row>
    <row r="598" spans="1:6" x14ac:dyDescent="0.25">
      <c r="A598" s="204"/>
      <c r="B598" s="204"/>
      <c r="C598" s="204"/>
      <c r="D598" s="204"/>
      <c r="E598" s="204"/>
    </row>
    <row r="599" spans="1:6" x14ac:dyDescent="0.25">
      <c r="A599" s="204"/>
      <c r="B599" s="204"/>
      <c r="C599" s="204"/>
      <c r="D599" s="204"/>
      <c r="E599" s="204"/>
    </row>
    <row r="600" spans="1:6" x14ac:dyDescent="0.25">
      <c r="A600" s="58"/>
      <c r="B600" s="58"/>
      <c r="C600" s="58"/>
      <c r="D600" s="58"/>
      <c r="E600" s="58"/>
    </row>
    <row r="601" spans="1:6" ht="15.75" customHeight="1" x14ac:dyDescent="0.25">
      <c r="A601" s="205" t="s">
        <v>163</v>
      </c>
      <c r="B601" s="205"/>
      <c r="C601" s="205"/>
      <c r="D601" s="205"/>
      <c r="E601" s="205"/>
      <c r="F601" t="s">
        <v>164</v>
      </c>
    </row>
    <row r="602" spans="1:6" x14ac:dyDescent="0.25">
      <c r="A602" s="205"/>
      <c r="B602" s="205"/>
      <c r="C602" s="205"/>
      <c r="D602" s="205"/>
      <c r="E602" s="205"/>
    </row>
    <row r="603" spans="1:6" x14ac:dyDescent="0.25">
      <c r="A603" s="205"/>
      <c r="B603" s="205"/>
      <c r="C603" s="205"/>
      <c r="D603" s="205"/>
      <c r="E603" s="205"/>
    </row>
    <row r="604" spans="1:6" x14ac:dyDescent="0.25">
      <c r="A604" s="58"/>
      <c r="B604" s="58"/>
      <c r="C604" s="58"/>
      <c r="D604" s="58"/>
      <c r="E604" s="58"/>
    </row>
    <row r="605" spans="1:6" x14ac:dyDescent="0.25">
      <c r="A605" s="205" t="s">
        <v>166</v>
      </c>
      <c r="B605" s="205"/>
      <c r="C605" s="205"/>
      <c r="D605" s="205"/>
      <c r="E605" s="205"/>
      <c r="F605" t="s">
        <v>167</v>
      </c>
    </row>
    <row r="606" spans="1:6" x14ac:dyDescent="0.25">
      <c r="A606" s="205"/>
      <c r="B606" s="205"/>
      <c r="C606" s="205"/>
      <c r="D606" s="205"/>
      <c r="E606" s="205"/>
    </row>
    <row r="607" spans="1:6" x14ac:dyDescent="0.25">
      <c r="A607" s="205"/>
      <c r="B607" s="205"/>
      <c r="C607" s="205"/>
      <c r="D607" s="205"/>
      <c r="E607" s="205"/>
    </row>
    <row r="609" spans="1:6" s="4" customFormat="1" x14ac:dyDescent="0.25">
      <c r="A609" s="4" t="s">
        <v>169</v>
      </c>
    </row>
    <row r="611" spans="1:6" x14ac:dyDescent="0.25">
      <c r="A611" s="59"/>
      <c r="B611" s="59"/>
      <c r="C611" s="59"/>
      <c r="D611" s="59"/>
    </row>
    <row r="612" spans="1:6" x14ac:dyDescent="0.25">
      <c r="A612" s="59"/>
      <c r="B612" s="59"/>
      <c r="C612" s="59"/>
      <c r="D612" s="59"/>
      <c r="F612" t="s">
        <v>170</v>
      </c>
    </row>
    <row r="613" spans="1:6" x14ac:dyDescent="0.25">
      <c r="A613" s="59"/>
      <c r="B613" s="59"/>
      <c r="C613" s="59"/>
      <c r="D613" s="59"/>
      <c r="F613" t="s">
        <v>172</v>
      </c>
    </row>
    <row r="614" spans="1:6" x14ac:dyDescent="0.25">
      <c r="A614" s="59"/>
      <c r="B614" s="59"/>
      <c r="C614" s="59"/>
      <c r="D614" s="59"/>
      <c r="F614" t="s">
        <v>171</v>
      </c>
    </row>
    <row r="615" spans="1:6" x14ac:dyDescent="0.25">
      <c r="A615" s="59"/>
      <c r="B615" s="59"/>
      <c r="C615" s="59"/>
      <c r="D615" s="59"/>
    </row>
    <row r="616" spans="1:6" x14ac:dyDescent="0.25">
      <c r="A616" s="59"/>
      <c r="B616" s="59"/>
      <c r="C616" s="59"/>
      <c r="D616" s="59"/>
    </row>
    <row r="617" spans="1:6" x14ac:dyDescent="0.25">
      <c r="A617" s="59"/>
      <c r="B617" s="59"/>
      <c r="C617" s="59"/>
      <c r="D617" s="59"/>
    </row>
    <row r="618" spans="1:6" x14ac:dyDescent="0.25">
      <c r="A618" s="59"/>
      <c r="B618" s="59"/>
      <c r="C618" s="59"/>
      <c r="D618" s="59"/>
    </row>
    <row r="619" spans="1:6" x14ac:dyDescent="0.25">
      <c r="A619" s="59"/>
      <c r="B619" s="59"/>
      <c r="C619" s="59"/>
      <c r="D619" s="59"/>
    </row>
    <row r="620" spans="1:6" x14ac:dyDescent="0.25">
      <c r="A620" s="59"/>
      <c r="B620" s="59"/>
      <c r="C620" s="59"/>
      <c r="D620" s="59"/>
    </row>
    <row r="621" spans="1:6" x14ac:dyDescent="0.25">
      <c r="A621" s="59"/>
      <c r="B621" s="59"/>
      <c r="C621" s="59"/>
      <c r="D621" s="59"/>
    </row>
    <row r="622" spans="1:6" x14ac:dyDescent="0.25">
      <c r="A622" s="59"/>
      <c r="B622" s="59"/>
      <c r="C622" s="59"/>
      <c r="D622" s="59"/>
    </row>
    <row r="623" spans="1:6" x14ac:dyDescent="0.25">
      <c r="A623" s="59"/>
      <c r="B623" s="59"/>
      <c r="C623" s="59"/>
      <c r="D623" s="59"/>
    </row>
    <row r="624" spans="1:6" x14ac:dyDescent="0.25">
      <c r="A624" s="59"/>
      <c r="B624" s="59"/>
      <c r="C624" s="59"/>
      <c r="D624" s="59"/>
    </row>
    <row r="625" spans="1:4" x14ac:dyDescent="0.25">
      <c r="A625" s="59"/>
      <c r="B625" s="59"/>
      <c r="C625" s="59"/>
      <c r="D625" s="59"/>
    </row>
    <row r="626" spans="1:4" x14ac:dyDescent="0.25">
      <c r="A626" s="59"/>
      <c r="B626" s="59"/>
      <c r="C626" s="59"/>
      <c r="D626" s="59"/>
    </row>
    <row r="627" spans="1:4" x14ac:dyDescent="0.25">
      <c r="A627" s="59"/>
      <c r="B627" s="59"/>
      <c r="C627" s="59"/>
      <c r="D627" s="59"/>
    </row>
    <row r="628" spans="1:4" x14ac:dyDescent="0.25">
      <c r="A628" s="59"/>
      <c r="B628" s="59"/>
      <c r="C628" s="59"/>
      <c r="D628" s="59"/>
    </row>
    <row r="629" spans="1:4" x14ac:dyDescent="0.25">
      <c r="A629" s="59"/>
      <c r="B629" s="59"/>
      <c r="C629" s="59"/>
      <c r="D629" s="59"/>
    </row>
    <row r="630" spans="1:4" x14ac:dyDescent="0.25">
      <c r="A630" s="59"/>
      <c r="B630" s="59"/>
      <c r="C630" s="59"/>
      <c r="D630" s="59"/>
    </row>
    <row r="633" spans="1:4" s="60" customFormat="1" x14ac:dyDescent="0.25">
      <c r="A633" s="60" t="s">
        <v>177</v>
      </c>
    </row>
    <row r="635" spans="1:4" x14ac:dyDescent="0.25">
      <c r="A635" t="s">
        <v>175</v>
      </c>
    </row>
    <row r="652" spans="1:1" x14ac:dyDescent="0.25">
      <c r="A652" t="s">
        <v>174</v>
      </c>
    </row>
    <row r="655" spans="1:1" x14ac:dyDescent="0.25">
      <c r="A655" t="s">
        <v>173</v>
      </c>
    </row>
    <row r="673" spans="1:4" s="4" customFormat="1" x14ac:dyDescent="0.25">
      <c r="A673" s="60" t="s">
        <v>176</v>
      </c>
    </row>
    <row r="675" spans="1:4" x14ac:dyDescent="0.25">
      <c r="A675" s="62" t="s">
        <v>179</v>
      </c>
      <c r="B675" s="62"/>
    </row>
    <row r="679" spans="1:4" x14ac:dyDescent="0.25">
      <c r="D679" t="s">
        <v>184</v>
      </c>
    </row>
    <row r="701" spans="1:2" x14ac:dyDescent="0.25">
      <c r="A701" s="61" t="s">
        <v>183</v>
      </c>
      <c r="B701" s="61"/>
    </row>
    <row r="702" spans="1:2" x14ac:dyDescent="0.25">
      <c r="A702" t="s">
        <v>185</v>
      </c>
    </row>
    <row r="703" spans="1:2" x14ac:dyDescent="0.25">
      <c r="A703" t="s">
        <v>186</v>
      </c>
    </row>
    <row r="705" spans="4:4" x14ac:dyDescent="0.25">
      <c r="D705" t="s">
        <v>187</v>
      </c>
    </row>
    <row r="706" spans="4:4" x14ac:dyDescent="0.25">
      <c r="D706" t="s">
        <v>188</v>
      </c>
    </row>
    <row r="737" spans="1:1" x14ac:dyDescent="0.25">
      <c r="A737" s="62" t="s">
        <v>178</v>
      </c>
    </row>
    <row r="873" spans="1:4" x14ac:dyDescent="0.25">
      <c r="A873" s="62" t="s">
        <v>180</v>
      </c>
    </row>
    <row r="876" spans="1:4" x14ac:dyDescent="0.25">
      <c r="D876" t="s">
        <v>189</v>
      </c>
    </row>
    <row r="896" spans="1:1" s="62" customFormat="1" x14ac:dyDescent="0.25">
      <c r="A896" s="62" t="s">
        <v>181</v>
      </c>
    </row>
    <row r="898" spans="1:1" s="62" customFormat="1" x14ac:dyDescent="0.25">
      <c r="A898" s="62" t="s">
        <v>182</v>
      </c>
    </row>
    <row r="901" spans="1:1" s="4" customFormat="1" x14ac:dyDescent="0.25">
      <c r="A901" s="60" t="s">
        <v>190</v>
      </c>
    </row>
    <row r="903" spans="1:1" s="62" customFormat="1" x14ac:dyDescent="0.25">
      <c r="A903" s="62" t="s">
        <v>191</v>
      </c>
    </row>
    <row r="906" spans="1:1" s="4" customFormat="1" x14ac:dyDescent="0.25">
      <c r="A906" s="60" t="s">
        <v>192</v>
      </c>
    </row>
    <row r="908" spans="1:1" s="62" customFormat="1" x14ac:dyDescent="0.25">
      <c r="A908" s="62" t="s">
        <v>193</v>
      </c>
    </row>
    <row r="965" spans="1:5" x14ac:dyDescent="0.25">
      <c r="A965" t="s">
        <v>194</v>
      </c>
    </row>
    <row r="967" spans="1:5" x14ac:dyDescent="0.25">
      <c r="A967" s="62" t="s">
        <v>195</v>
      </c>
    </row>
    <row r="970" spans="1:5" x14ac:dyDescent="0.25">
      <c r="C970" t="s">
        <v>197</v>
      </c>
    </row>
    <row r="972" spans="1:5" ht="15.75" customHeight="1" x14ac:dyDescent="0.25">
      <c r="C972" s="203" t="s">
        <v>196</v>
      </c>
      <c r="D972" s="203"/>
      <c r="E972" s="203"/>
    </row>
    <row r="973" spans="1:5" x14ac:dyDescent="0.25">
      <c r="C973" s="203"/>
      <c r="D973" s="203"/>
      <c r="E973" s="203"/>
    </row>
    <row r="974" spans="1:5" x14ac:dyDescent="0.25">
      <c r="C974" s="203"/>
      <c r="D974" s="203"/>
      <c r="E974" s="203"/>
    </row>
    <row r="975" spans="1:5" x14ac:dyDescent="0.25">
      <c r="C975" s="203"/>
      <c r="D975" s="203"/>
      <c r="E975" s="203"/>
    </row>
    <row r="976" spans="1:5" x14ac:dyDescent="0.25">
      <c r="C976" s="203"/>
      <c r="D976" s="203"/>
      <c r="E976" s="203"/>
    </row>
    <row r="977" spans="1:5" x14ac:dyDescent="0.25">
      <c r="C977" s="203"/>
      <c r="D977" s="203"/>
      <c r="E977" s="203"/>
    </row>
    <row r="978" spans="1:5" x14ac:dyDescent="0.25">
      <c r="C978" s="203"/>
      <c r="D978" s="203"/>
      <c r="E978" s="203"/>
    </row>
    <row r="988" spans="1:5" ht="15.75" customHeight="1" x14ac:dyDescent="0.25"/>
    <row r="989" spans="1:5" s="4" customFormat="1" x14ac:dyDescent="0.25">
      <c r="A989" s="4" t="s">
        <v>198</v>
      </c>
    </row>
    <row r="990" spans="1:5" s="4" customFormat="1" x14ac:dyDescent="0.25">
      <c r="A990" s="4" t="s">
        <v>220</v>
      </c>
    </row>
    <row r="991" spans="1:5" x14ac:dyDescent="0.25">
      <c r="A991" t="s">
        <v>199</v>
      </c>
    </row>
    <row r="992" spans="1:5" x14ac:dyDescent="0.25">
      <c r="A992" t="s">
        <v>200</v>
      </c>
    </row>
    <row r="993" spans="1:2" x14ac:dyDescent="0.25">
      <c r="A993" t="s">
        <v>201</v>
      </c>
    </row>
    <row r="994" spans="1:2" x14ac:dyDescent="0.25">
      <c r="B994" t="s">
        <v>204</v>
      </c>
    </row>
    <row r="995" spans="1:2" x14ac:dyDescent="0.25">
      <c r="B995" t="s">
        <v>205</v>
      </c>
    </row>
    <row r="996" spans="1:2" x14ac:dyDescent="0.25">
      <c r="B996" t="s">
        <v>206</v>
      </c>
    </row>
    <row r="997" spans="1:2" x14ac:dyDescent="0.25">
      <c r="B997" t="s">
        <v>207</v>
      </c>
    </row>
    <row r="999" spans="1:2" s="4" customFormat="1" x14ac:dyDescent="0.25">
      <c r="A999" s="4" t="s">
        <v>202</v>
      </c>
    </row>
    <row r="1000" spans="1:2" s="4" customFormat="1" x14ac:dyDescent="0.25">
      <c r="A1000" s="4" t="s">
        <v>219</v>
      </c>
    </row>
    <row r="1001" spans="1:2" x14ac:dyDescent="0.25">
      <c r="A1001" t="s">
        <v>203</v>
      </c>
    </row>
    <row r="1002" spans="1:2" x14ac:dyDescent="0.25">
      <c r="B1002" t="s">
        <v>204</v>
      </c>
    </row>
    <row r="1003" spans="1:2" x14ac:dyDescent="0.25">
      <c r="B1003" t="s">
        <v>205</v>
      </c>
    </row>
    <row r="1004" spans="1:2" x14ac:dyDescent="0.25">
      <c r="B1004" t="s">
        <v>206</v>
      </c>
    </row>
    <row r="1005" spans="1:2" x14ac:dyDescent="0.25">
      <c r="B1005" t="s">
        <v>207</v>
      </c>
    </row>
    <row r="1006" spans="1:2" x14ac:dyDescent="0.25">
      <c r="A1006" t="s">
        <v>208</v>
      </c>
    </row>
    <row r="1008" spans="1:2" s="4" customFormat="1" x14ac:dyDescent="0.25">
      <c r="A1008" s="4" t="s">
        <v>218</v>
      </c>
    </row>
    <row r="1010" spans="1:2" x14ac:dyDescent="0.25">
      <c r="A1010" s="63" t="s">
        <v>209</v>
      </c>
      <c r="B1010" s="3"/>
    </row>
    <row r="1011" spans="1:2" x14ac:dyDescent="0.25">
      <c r="A1011" s="3" t="s">
        <v>210</v>
      </c>
      <c r="B1011" s="3"/>
    </row>
    <row r="1012" spans="1:2" x14ac:dyDescent="0.25">
      <c r="A1012" s="9">
        <f>9.55*12</f>
        <v>114.60000000000001</v>
      </c>
      <c r="B1012" s="9" t="s">
        <v>211</v>
      </c>
    </row>
    <row r="1013" spans="1:2" x14ac:dyDescent="0.25">
      <c r="A1013" s="3"/>
      <c r="B1013" s="3"/>
    </row>
    <row r="1014" spans="1:2" x14ac:dyDescent="0.25">
      <c r="A1014" s="64">
        <v>16</v>
      </c>
      <c r="B1014" s="3" t="s">
        <v>221</v>
      </c>
    </row>
    <row r="1015" spans="1:2" x14ac:dyDescent="0.25">
      <c r="A1015" s="64">
        <f>A1014*365</f>
        <v>5840</v>
      </c>
      <c r="B1015" s="3" t="s">
        <v>212</v>
      </c>
    </row>
    <row r="1016" spans="1:2" x14ac:dyDescent="0.25">
      <c r="A1016" s="65">
        <f>A1015/1000</f>
        <v>5.84</v>
      </c>
      <c r="B1016" s="9" t="s">
        <v>211</v>
      </c>
    </row>
    <row r="1017" spans="1:2" x14ac:dyDescent="0.25">
      <c r="A1017" s="3"/>
      <c r="B1017" s="3"/>
    </row>
    <row r="1018" spans="1:2" x14ac:dyDescent="0.25">
      <c r="A1018" s="3">
        <v>20</v>
      </c>
      <c r="B1018" s="3" t="s">
        <v>213</v>
      </c>
    </row>
    <row r="1019" spans="1:2" x14ac:dyDescent="0.25">
      <c r="A1019" s="3">
        <v>150</v>
      </c>
      <c r="B1019" s="3" t="s">
        <v>54</v>
      </c>
    </row>
    <row r="1020" spans="1:2" x14ac:dyDescent="0.25">
      <c r="A1020" s="3">
        <v>1</v>
      </c>
      <c r="B1020" s="3" t="s">
        <v>214</v>
      </c>
    </row>
    <row r="1021" spans="1:2" x14ac:dyDescent="0.25">
      <c r="A1021" s="3">
        <f>A1018*A1019*A1020*30*24</f>
        <v>2160000</v>
      </c>
      <c r="B1021" s="3" t="s">
        <v>215</v>
      </c>
    </row>
    <row r="1022" spans="1:2" x14ac:dyDescent="0.25">
      <c r="A1022" s="3">
        <f>+A1019*A1020*30*24</f>
        <v>108000</v>
      </c>
      <c r="B1022" s="3" t="s">
        <v>216</v>
      </c>
    </row>
    <row r="1023" spans="1:2" x14ac:dyDescent="0.25">
      <c r="A1023" s="3">
        <f>A1021/A1019/1000</f>
        <v>14.4</v>
      </c>
      <c r="B1023" s="3" t="s">
        <v>217</v>
      </c>
    </row>
    <row r="1026" spans="1:1" s="4" customFormat="1" x14ac:dyDescent="0.25">
      <c r="A1026" s="4" t="s">
        <v>230</v>
      </c>
    </row>
  </sheetData>
  <mergeCells count="6">
    <mergeCell ref="A586:E587"/>
    <mergeCell ref="C972:E978"/>
    <mergeCell ref="A591:E594"/>
    <mergeCell ref="A596:E599"/>
    <mergeCell ref="A601:E603"/>
    <mergeCell ref="A605:E607"/>
  </mergeCells>
  <hyperlinks>
    <hyperlink ref="A568" location="_ftn1" display="_ftn1"/>
    <hyperlink ref="A1010" r:id="rId1"/>
  </hyperlinks>
  <pageMargins left="0.7" right="0.7" top="0.75" bottom="0.75" header="0.3" footer="0.3"/>
  <pageSetup scale="49" orientation="portrait" r:id="rId2"/>
  <rowBreaks count="4" manualBreakCount="4">
    <brk id="653" max="5" man="1"/>
    <brk id="735" max="5" man="1"/>
    <brk id="827" max="5" man="1"/>
    <brk id="904" max="5" man="1"/>
  </rowBreaks>
  <colBreaks count="1" manualBreakCount="1">
    <brk id="6" max="1048575" man="1"/>
  </colBreak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ANNUAL SEASONAL SUMMARY</vt:lpstr>
      <vt:lpstr>Seasonal (WITH)</vt:lpstr>
      <vt:lpstr>Seasonal (WITHOUT)</vt:lpstr>
      <vt:lpstr>LOAD DATA and INPUT SEASONAL</vt:lpstr>
      <vt:lpstr>Assumption Sourcing</vt:lpstr>
      <vt:lpstr>'Assumption Sourcing'!_ftnref1</vt:lpstr>
      <vt:lpstr>'ANNUAL SEASONAL SUMMARY'!Print_Area</vt:lpstr>
      <vt:lpstr>'Assumption Sourcing'!Print_Area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Hayet</dc:creator>
  <cp:lastModifiedBy>laurieharris</cp:lastModifiedBy>
  <cp:lastPrinted>2015-07-22T15:18:04Z</cp:lastPrinted>
  <dcterms:created xsi:type="dcterms:W3CDTF">2015-07-14T23:19:06Z</dcterms:created>
  <dcterms:modified xsi:type="dcterms:W3CDTF">2015-07-30T21:29:04Z</dcterms:modified>
</cp:coreProperties>
</file>