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114\"/>
    </mc:Choice>
  </mc:AlternateContent>
  <bookViews>
    <workbookView xWindow="120" yWindow="330" windowWidth="15120" windowHeight="9300" tabRatio="709" activeTab="1"/>
  </bookViews>
  <sheets>
    <sheet name="Inputs" sheetId="2" r:id="rId1"/>
    <sheet name="Rate_Impacts_With_v_Without" sheetId="3" r:id="rId2"/>
    <sheet name="year_to_year_calcs" sheetId="9" r:id="rId3"/>
    <sheet name="Ref_Sheet" sheetId="11" r:id="rId4"/>
  </sheets>
  <definedNames>
    <definedName name="AvdDist">Inputs!$D$32</definedName>
    <definedName name="AvdEnergy">Inputs!$D$29</definedName>
    <definedName name="AvdEnv">Inputs!$D$33</definedName>
    <definedName name="AvdGen">Inputs!$D$30</definedName>
    <definedName name="AvdRisk">Inputs!$D$34</definedName>
    <definedName name="AvdTx">Inputs!$D$31</definedName>
    <definedName name="CustGrowthRate">Inputs!$D$15</definedName>
    <definedName name="NumYrsAddPV">Inputs!$D$27</definedName>
    <definedName name="PctCustAddPV">Inputs!$D$26</definedName>
    <definedName name="_xlnm.Print_Area" localSheetId="0">Inputs!$B$2:$L$39</definedName>
    <definedName name="_xlnm.Print_Area" localSheetId="1">Rate_Impacts_With_v_Without!$C$2:$Y$77</definedName>
    <definedName name="_xlnm.Print_Area" localSheetId="3">Ref_Sheet!$B$2:$R$72</definedName>
    <definedName name="_xlnm.Print_Area" localSheetId="2">year_to_year_calcs!$C$2:$X$29</definedName>
    <definedName name="PVsize">Inputs!$D$23</definedName>
    <definedName name="UsePerCust">Inputs!$D$16</definedName>
  </definedNames>
  <calcPr calcId="152511"/>
</workbook>
</file>

<file path=xl/calcChain.xml><?xml version="1.0" encoding="utf-8"?>
<calcChain xmlns="http://schemas.openxmlformats.org/spreadsheetml/2006/main">
  <c r="F63" i="11" l="1"/>
  <c r="F64" i="11"/>
  <c r="F65" i="11"/>
  <c r="F66" i="11"/>
  <c r="F67" i="11"/>
  <c r="F68" i="11"/>
  <c r="C16" i="11"/>
  <c r="C17" i="11"/>
  <c r="C18" i="11" l="1"/>
  <c r="D20" i="2" l="1"/>
  <c r="W36" i="3" s="1"/>
  <c r="H36" i="3" l="1"/>
  <c r="L36" i="3"/>
  <c r="P36" i="3"/>
  <c r="T36" i="3"/>
  <c r="X36" i="3"/>
  <c r="E36" i="3"/>
  <c r="I36" i="3"/>
  <c r="M36" i="3"/>
  <c r="Q36" i="3"/>
  <c r="U36" i="3"/>
  <c r="F36" i="3"/>
  <c r="J36" i="3"/>
  <c r="N36" i="3"/>
  <c r="R36" i="3"/>
  <c r="V36" i="3"/>
  <c r="G36" i="3"/>
  <c r="K36" i="3"/>
  <c r="O36" i="3"/>
  <c r="S36" i="3"/>
  <c r="D19" i="2" l="1"/>
  <c r="E35" i="3" s="1"/>
  <c r="X35" i="3" l="1"/>
  <c r="T35" i="3"/>
  <c r="P35" i="3"/>
  <c r="L35" i="3"/>
  <c r="H35" i="3"/>
  <c r="R35" i="3"/>
  <c r="J35" i="3"/>
  <c r="U35" i="3"/>
  <c r="M35" i="3"/>
  <c r="W35" i="3"/>
  <c r="S35" i="3"/>
  <c r="O35" i="3"/>
  <c r="K35" i="3"/>
  <c r="G35" i="3"/>
  <c r="V35" i="3"/>
  <c r="N35" i="3"/>
  <c r="F35" i="3"/>
  <c r="Q35" i="3"/>
  <c r="I35" i="3"/>
  <c r="D36" i="2"/>
  <c r="E4" i="3" l="1"/>
  <c r="F4" i="3" s="1"/>
  <c r="D14" i="2"/>
  <c r="D24" i="2" l="1"/>
  <c r="D25" i="2" s="1"/>
  <c r="D37" i="2" l="1"/>
  <c r="E27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F16" i="3"/>
  <c r="F9" i="9" s="1"/>
  <c r="G16" i="3"/>
  <c r="G9" i="9" s="1"/>
  <c r="H16" i="3"/>
  <c r="H9" i="9" s="1"/>
  <c r="I16" i="3"/>
  <c r="I9" i="9" s="1"/>
  <c r="J16" i="3"/>
  <c r="J9" i="9" s="1"/>
  <c r="K16" i="3"/>
  <c r="K9" i="9" s="1"/>
  <c r="L16" i="3"/>
  <c r="L9" i="9" s="1"/>
  <c r="M16" i="3"/>
  <c r="M9" i="9" s="1"/>
  <c r="N16" i="3"/>
  <c r="N9" i="9" s="1"/>
  <c r="O16" i="3"/>
  <c r="O9" i="9" s="1"/>
  <c r="P16" i="3"/>
  <c r="P9" i="9" s="1"/>
  <c r="Q16" i="3"/>
  <c r="Q9" i="9" s="1"/>
  <c r="R16" i="3"/>
  <c r="R9" i="9" s="1"/>
  <c r="S16" i="3"/>
  <c r="S9" i="9" s="1"/>
  <c r="T16" i="3"/>
  <c r="T9" i="9" s="1"/>
  <c r="U16" i="3"/>
  <c r="U9" i="9" s="1"/>
  <c r="V16" i="3"/>
  <c r="V9" i="9" s="1"/>
  <c r="W16" i="3"/>
  <c r="W9" i="9" s="1"/>
  <c r="X16" i="3"/>
  <c r="X9" i="9" s="1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T8" i="9" l="1"/>
  <c r="P8" i="9"/>
  <c r="H8" i="9"/>
  <c r="W8" i="9"/>
  <c r="S8" i="9"/>
  <c r="O8" i="9"/>
  <c r="K8" i="9"/>
  <c r="G8" i="9"/>
  <c r="X8" i="9"/>
  <c r="L8" i="9"/>
  <c r="V8" i="9"/>
  <c r="R8" i="9"/>
  <c r="N8" i="9"/>
  <c r="J8" i="9"/>
  <c r="F8" i="9"/>
  <c r="F21" i="3"/>
  <c r="U8" i="9"/>
  <c r="Q8" i="9"/>
  <c r="M8" i="9"/>
  <c r="I8" i="9"/>
  <c r="F27" i="3"/>
  <c r="F28" i="3" s="1"/>
  <c r="E30" i="3"/>
  <c r="V25" i="9"/>
  <c r="R25" i="9"/>
  <c r="N25" i="9"/>
  <c r="J25" i="9"/>
  <c r="U24" i="9"/>
  <c r="Q24" i="9"/>
  <c r="M24" i="9"/>
  <c r="I24" i="9"/>
  <c r="X25" i="9"/>
  <c r="T25" i="9"/>
  <c r="P25" i="9"/>
  <c r="L25" i="9"/>
  <c r="H25" i="9"/>
  <c r="W24" i="9"/>
  <c r="S24" i="9"/>
  <c r="O24" i="9"/>
  <c r="K24" i="9"/>
  <c r="G24" i="9"/>
  <c r="U25" i="9"/>
  <c r="Q25" i="9"/>
  <c r="M25" i="9"/>
  <c r="I25" i="9"/>
  <c r="X24" i="9"/>
  <c r="T24" i="9"/>
  <c r="P24" i="9"/>
  <c r="L24" i="9"/>
  <c r="H24" i="9"/>
  <c r="W25" i="9"/>
  <c r="S25" i="9"/>
  <c r="O25" i="9"/>
  <c r="K25" i="9"/>
  <c r="G25" i="9"/>
  <c r="V24" i="9"/>
  <c r="R24" i="9"/>
  <c r="N24" i="9"/>
  <c r="J24" i="9"/>
  <c r="W53" i="3"/>
  <c r="G53" i="3"/>
  <c r="J52" i="3"/>
  <c r="V53" i="3"/>
  <c r="R53" i="3"/>
  <c r="N53" i="3"/>
  <c r="J53" i="3"/>
  <c r="F53" i="3"/>
  <c r="U52" i="3"/>
  <c r="Q52" i="3"/>
  <c r="M52" i="3"/>
  <c r="I52" i="3"/>
  <c r="I53" i="3"/>
  <c r="U53" i="3"/>
  <c r="Q53" i="3"/>
  <c r="M53" i="3"/>
  <c r="X52" i="3"/>
  <c r="T52" i="3"/>
  <c r="P52" i="3"/>
  <c r="L52" i="3"/>
  <c r="H52" i="3"/>
  <c r="X53" i="3"/>
  <c r="T53" i="3"/>
  <c r="P53" i="3"/>
  <c r="L53" i="3"/>
  <c r="H53" i="3"/>
  <c r="W52" i="3"/>
  <c r="S52" i="3"/>
  <c r="O52" i="3"/>
  <c r="K52" i="3"/>
  <c r="G52" i="3"/>
  <c r="D38" i="2"/>
  <c r="O53" i="3"/>
  <c r="S53" i="3"/>
  <c r="K53" i="3"/>
  <c r="V52" i="3"/>
  <c r="F52" i="3"/>
  <c r="N52" i="3"/>
  <c r="R52" i="3"/>
  <c r="G27" i="3" l="1"/>
  <c r="E17" i="9"/>
  <c r="F25" i="9" s="1"/>
  <c r="E16" i="9"/>
  <c r="F24" i="9" s="1"/>
  <c r="H27" i="3" l="1"/>
  <c r="E28" i="3"/>
  <c r="E16" i="3"/>
  <c r="E15" i="3"/>
  <c r="E8" i="9" l="1"/>
  <c r="E21" i="3"/>
  <c r="E43" i="3" s="1"/>
  <c r="I27" i="3"/>
  <c r="E38" i="3"/>
  <c r="E39" i="3"/>
  <c r="E53" i="3"/>
  <c r="F69" i="3" s="1"/>
  <c r="E9" i="9"/>
  <c r="E52" i="3"/>
  <c r="E68" i="3" s="1"/>
  <c r="D18" i="2"/>
  <c r="E12" i="3" s="1"/>
  <c r="W13" i="3" l="1"/>
  <c r="G13" i="3"/>
  <c r="J12" i="3"/>
  <c r="N13" i="3"/>
  <c r="Q12" i="3"/>
  <c r="U13" i="3"/>
  <c r="H12" i="3"/>
  <c r="O12" i="3"/>
  <c r="T12" i="3"/>
  <c r="P13" i="3"/>
  <c r="S13" i="3"/>
  <c r="V12" i="3"/>
  <c r="F12" i="3"/>
  <c r="J13" i="3"/>
  <c r="M12" i="3"/>
  <c r="M13" i="3"/>
  <c r="T13" i="3"/>
  <c r="G12" i="3"/>
  <c r="L12" i="3"/>
  <c r="H13" i="3"/>
  <c r="O13" i="3"/>
  <c r="R12" i="3"/>
  <c r="V13" i="3"/>
  <c r="F13" i="3"/>
  <c r="I12" i="3"/>
  <c r="X12" i="3"/>
  <c r="L13" i="3"/>
  <c r="Q13" i="3"/>
  <c r="E5" i="9"/>
  <c r="S12" i="3"/>
  <c r="K13" i="3"/>
  <c r="N12" i="3"/>
  <c r="R13" i="3"/>
  <c r="U12" i="3"/>
  <c r="E13" i="3"/>
  <c r="P12" i="3"/>
  <c r="W12" i="3"/>
  <c r="I13" i="3"/>
  <c r="X13" i="3"/>
  <c r="K12" i="3"/>
  <c r="J27" i="3"/>
  <c r="E69" i="3"/>
  <c r="F68" i="3"/>
  <c r="E5" i="3"/>
  <c r="K27" i="3" l="1"/>
  <c r="F43" i="3"/>
  <c r="F30" i="3"/>
  <c r="E6" i="3"/>
  <c r="E10" i="3" s="1"/>
  <c r="F5" i="3"/>
  <c r="F6" i="3" s="1"/>
  <c r="I5" i="9"/>
  <c r="M5" i="9"/>
  <c r="Q5" i="9"/>
  <c r="U5" i="9"/>
  <c r="F6" i="9"/>
  <c r="J6" i="9"/>
  <c r="N6" i="9"/>
  <c r="R6" i="9"/>
  <c r="V6" i="9"/>
  <c r="F5" i="9"/>
  <c r="J5" i="9"/>
  <c r="N5" i="9"/>
  <c r="R5" i="9"/>
  <c r="V5" i="9"/>
  <c r="G6" i="9"/>
  <c r="K6" i="9"/>
  <c r="O6" i="9"/>
  <c r="S6" i="9"/>
  <c r="W6" i="9"/>
  <c r="G5" i="9"/>
  <c r="K5" i="9"/>
  <c r="O5" i="9"/>
  <c r="S5" i="9"/>
  <c r="W5" i="9"/>
  <c r="H6" i="9"/>
  <c r="L6" i="9"/>
  <c r="P6" i="9"/>
  <c r="T6" i="9"/>
  <c r="X6" i="9"/>
  <c r="H5" i="9"/>
  <c r="L5" i="9"/>
  <c r="P5" i="9"/>
  <c r="T5" i="9"/>
  <c r="X5" i="9"/>
  <c r="I6" i="9"/>
  <c r="M6" i="9"/>
  <c r="Q6" i="9"/>
  <c r="U6" i="9"/>
  <c r="G4" i="3"/>
  <c r="G21" i="3" s="1"/>
  <c r="E6" i="9"/>
  <c r="E29" i="3" l="1"/>
  <c r="G28" i="3"/>
  <c r="G30" i="3"/>
  <c r="L27" i="3"/>
  <c r="F29" i="3"/>
  <c r="F38" i="3"/>
  <c r="F39" i="3"/>
  <c r="F10" i="3"/>
  <c r="F18" i="3" s="1"/>
  <c r="G5" i="3"/>
  <c r="G6" i="3" s="1"/>
  <c r="H4" i="3"/>
  <c r="H21" i="3" s="1"/>
  <c r="X14" i="3"/>
  <c r="X7" i="9" s="1"/>
  <c r="H14" i="3"/>
  <c r="H7" i="9" s="1"/>
  <c r="O14" i="3"/>
  <c r="O7" i="9" s="1"/>
  <c r="V14" i="3"/>
  <c r="V7" i="9" s="1"/>
  <c r="F14" i="3"/>
  <c r="F7" i="9" s="1"/>
  <c r="P14" i="3"/>
  <c r="P7" i="9" s="1"/>
  <c r="W14" i="3"/>
  <c r="W7" i="9" s="1"/>
  <c r="G14" i="3"/>
  <c r="G7" i="9" s="1"/>
  <c r="N14" i="3"/>
  <c r="N7" i="9" s="1"/>
  <c r="U14" i="3"/>
  <c r="U7" i="9" s="1"/>
  <c r="L14" i="3"/>
  <c r="L7" i="9" s="1"/>
  <c r="S14" i="3"/>
  <c r="S7" i="9" s="1"/>
  <c r="J14" i="3"/>
  <c r="J7" i="9" s="1"/>
  <c r="Q14" i="3"/>
  <c r="Q7" i="9" s="1"/>
  <c r="M14" i="3"/>
  <c r="M7" i="9" s="1"/>
  <c r="T14" i="3"/>
  <c r="T7" i="9" s="1"/>
  <c r="K14" i="3"/>
  <c r="K7" i="9" s="1"/>
  <c r="R14" i="3"/>
  <c r="R7" i="9" s="1"/>
  <c r="I14" i="3"/>
  <c r="I7" i="9" s="1"/>
  <c r="G43" i="3"/>
  <c r="E18" i="3"/>
  <c r="E40" i="3" s="1"/>
  <c r="E19" i="3"/>
  <c r="E41" i="3" s="1"/>
  <c r="E14" i="3"/>
  <c r="E7" i="9" s="1"/>
  <c r="E32" i="3" l="1"/>
  <c r="E49" i="3" s="1"/>
  <c r="E42" i="3"/>
  <c r="E20" i="3"/>
  <c r="E22" i="3" s="1"/>
  <c r="G29" i="3"/>
  <c r="G38" i="3"/>
  <c r="G39" i="3"/>
  <c r="H28" i="3"/>
  <c r="H30" i="3"/>
  <c r="M27" i="3"/>
  <c r="G10" i="3"/>
  <c r="F19" i="3"/>
  <c r="H5" i="3"/>
  <c r="H6" i="3" s="1"/>
  <c r="H43" i="3"/>
  <c r="I4" i="3"/>
  <c r="I21" i="3" s="1"/>
  <c r="F40" i="3"/>
  <c r="F32" i="3" s="1"/>
  <c r="F13" i="9" s="1"/>
  <c r="E59" i="3" l="1"/>
  <c r="E44" i="3"/>
  <c r="E45" i="3" s="1"/>
  <c r="F41" i="3"/>
  <c r="F33" i="3" s="1"/>
  <c r="F14" i="9" s="1"/>
  <c r="N27" i="3"/>
  <c r="I28" i="3"/>
  <c r="I30" i="3"/>
  <c r="H29" i="3"/>
  <c r="H38" i="3"/>
  <c r="H39" i="3"/>
  <c r="E55" i="3"/>
  <c r="E13" i="9"/>
  <c r="F21" i="9" s="1"/>
  <c r="H10" i="3"/>
  <c r="H19" i="3" s="1"/>
  <c r="F20" i="3"/>
  <c r="G18" i="3"/>
  <c r="G40" i="3" s="1"/>
  <c r="G32" i="3" s="1"/>
  <c r="G13" i="9" s="1"/>
  <c r="I5" i="3"/>
  <c r="I6" i="3" s="1"/>
  <c r="G19" i="3"/>
  <c r="E23" i="3"/>
  <c r="I43" i="3"/>
  <c r="J4" i="3"/>
  <c r="J21" i="3" s="1"/>
  <c r="F55" i="3"/>
  <c r="F49" i="3"/>
  <c r="E33" i="3"/>
  <c r="E14" i="9" s="1"/>
  <c r="F42" i="3" l="1"/>
  <c r="F59" i="3" s="1"/>
  <c r="F22" i="9"/>
  <c r="F50" i="3"/>
  <c r="F56" i="3"/>
  <c r="F34" i="3"/>
  <c r="F15" i="9" s="1"/>
  <c r="G41" i="3"/>
  <c r="G33" i="3" s="1"/>
  <c r="J28" i="3"/>
  <c r="J30" i="3"/>
  <c r="I29" i="3"/>
  <c r="I39" i="3"/>
  <c r="I38" i="3"/>
  <c r="O27" i="3"/>
  <c r="F27" i="9"/>
  <c r="F28" i="9"/>
  <c r="G21" i="9"/>
  <c r="G27" i="9"/>
  <c r="I10" i="3"/>
  <c r="H18" i="3"/>
  <c r="H40" i="3" s="1"/>
  <c r="H32" i="3" s="1"/>
  <c r="G20" i="3"/>
  <c r="F22" i="3"/>
  <c r="F23" i="3" s="1"/>
  <c r="J5" i="3"/>
  <c r="J6" i="3" s="1"/>
  <c r="H41" i="3"/>
  <c r="J43" i="3"/>
  <c r="K4" i="3"/>
  <c r="K21" i="3" s="1"/>
  <c r="G49" i="3"/>
  <c r="G55" i="3"/>
  <c r="E50" i="3"/>
  <c r="E56" i="3"/>
  <c r="E34" i="3"/>
  <c r="F44" i="3" l="1"/>
  <c r="F45" i="3" s="1"/>
  <c r="G42" i="3"/>
  <c r="G59" i="3" s="1"/>
  <c r="F57" i="3"/>
  <c r="F51" i="3"/>
  <c r="F61" i="3" s="1"/>
  <c r="F60" i="3" s="1"/>
  <c r="G56" i="3"/>
  <c r="G50" i="3"/>
  <c r="G14" i="9"/>
  <c r="G28" i="9" s="1"/>
  <c r="H33" i="3"/>
  <c r="H50" i="3" s="1"/>
  <c r="G34" i="3"/>
  <c r="G15" i="9" s="1"/>
  <c r="G23" i="9" s="1"/>
  <c r="P27" i="3"/>
  <c r="J29" i="3"/>
  <c r="J38" i="3"/>
  <c r="J39" i="3"/>
  <c r="K43" i="3"/>
  <c r="K28" i="3"/>
  <c r="K30" i="3"/>
  <c r="E15" i="9"/>
  <c r="F23" i="9" s="1"/>
  <c r="E51" i="3"/>
  <c r="E61" i="3" s="1"/>
  <c r="E60" i="3" s="1"/>
  <c r="G22" i="3"/>
  <c r="G23" i="3" s="1"/>
  <c r="H49" i="3"/>
  <c r="H13" i="9"/>
  <c r="H20" i="3"/>
  <c r="J10" i="3"/>
  <c r="K5" i="3"/>
  <c r="K6" i="3" s="1"/>
  <c r="I19" i="3"/>
  <c r="I18" i="3"/>
  <c r="H42" i="3"/>
  <c r="H59" i="3" s="1"/>
  <c r="L4" i="3"/>
  <c r="L21" i="3" s="1"/>
  <c r="L43" i="3" s="1"/>
  <c r="H55" i="3"/>
  <c r="E57" i="3"/>
  <c r="G44" i="3" l="1"/>
  <c r="G45" i="3" s="1"/>
  <c r="G29" i="9"/>
  <c r="G51" i="3"/>
  <c r="G61" i="3" s="1"/>
  <c r="G60" i="3" s="1"/>
  <c r="G57" i="3"/>
  <c r="G22" i="9"/>
  <c r="I41" i="3"/>
  <c r="I33" i="3" s="1"/>
  <c r="H56" i="3"/>
  <c r="H14" i="9"/>
  <c r="H28" i="9" s="1"/>
  <c r="H34" i="3"/>
  <c r="H15" i="9" s="1"/>
  <c r="H29" i="9" s="1"/>
  <c r="K29" i="3"/>
  <c r="K38" i="3"/>
  <c r="K39" i="3"/>
  <c r="L28" i="3"/>
  <c r="L30" i="3"/>
  <c r="Q27" i="3"/>
  <c r="F29" i="9"/>
  <c r="H21" i="9"/>
  <c r="H27" i="9"/>
  <c r="H22" i="3"/>
  <c r="H23" i="3" s="1"/>
  <c r="K10" i="3"/>
  <c r="J18" i="3"/>
  <c r="J19" i="3"/>
  <c r="I40" i="3"/>
  <c r="I20" i="3"/>
  <c r="L5" i="3"/>
  <c r="L6" i="3" s="1"/>
  <c r="H44" i="3"/>
  <c r="H45" i="3" s="1"/>
  <c r="M4" i="3"/>
  <c r="M21" i="3" s="1"/>
  <c r="H22" i="9" l="1"/>
  <c r="H51" i="3"/>
  <c r="H61" i="3" s="1"/>
  <c r="H60" i="3" s="1"/>
  <c r="J41" i="3"/>
  <c r="J33" i="3" s="1"/>
  <c r="J56" i="3" s="1"/>
  <c r="H57" i="3"/>
  <c r="H23" i="9"/>
  <c r="R27" i="3"/>
  <c r="L29" i="3"/>
  <c r="L38" i="3"/>
  <c r="L39" i="3"/>
  <c r="M43" i="3"/>
  <c r="M28" i="3"/>
  <c r="M30" i="3"/>
  <c r="I56" i="3"/>
  <c r="I14" i="9"/>
  <c r="L10" i="3"/>
  <c r="L18" i="3" s="1"/>
  <c r="I50" i="3"/>
  <c r="M5" i="3"/>
  <c r="M6" i="3" s="1"/>
  <c r="K18" i="3"/>
  <c r="K19" i="3"/>
  <c r="J20" i="3"/>
  <c r="J40" i="3"/>
  <c r="J32" i="3" s="1"/>
  <c r="I22" i="3"/>
  <c r="I23" i="3" s="1"/>
  <c r="I42" i="3"/>
  <c r="I59" i="3" s="1"/>
  <c r="I32" i="3"/>
  <c r="I13" i="9" s="1"/>
  <c r="N4" i="3"/>
  <c r="N21" i="3" l="1"/>
  <c r="N43" i="3" s="1"/>
  <c r="N28" i="3"/>
  <c r="N30" i="3"/>
  <c r="K41" i="3"/>
  <c r="K33" i="3" s="1"/>
  <c r="J50" i="3"/>
  <c r="J14" i="9"/>
  <c r="J28" i="9" s="1"/>
  <c r="L40" i="3"/>
  <c r="L32" i="3" s="1"/>
  <c r="L13" i="9" s="1"/>
  <c r="M39" i="3"/>
  <c r="M38" i="3"/>
  <c r="M29" i="3"/>
  <c r="S27" i="3"/>
  <c r="I27" i="9"/>
  <c r="I21" i="9"/>
  <c r="J49" i="3"/>
  <c r="J13" i="9"/>
  <c r="J21" i="9" s="1"/>
  <c r="I22" i="9"/>
  <c r="I28" i="9"/>
  <c r="M10" i="3"/>
  <c r="M19" i="3" s="1"/>
  <c r="J55" i="3"/>
  <c r="J34" i="3"/>
  <c r="L19" i="3"/>
  <c r="I49" i="3"/>
  <c r="I34" i="3"/>
  <c r="I15" i="9" s="1"/>
  <c r="I55" i="3"/>
  <c r="K40" i="3"/>
  <c r="K20" i="3"/>
  <c r="J42" i="3"/>
  <c r="J59" i="3" s="1"/>
  <c r="I44" i="3"/>
  <c r="I45" i="3" s="1"/>
  <c r="J22" i="3"/>
  <c r="J23" i="3" s="1"/>
  <c r="N5" i="3"/>
  <c r="N6" i="3" s="1"/>
  <c r="O4" i="3"/>
  <c r="O21" i="3" s="1"/>
  <c r="N29" i="3" l="1"/>
  <c r="L20" i="3"/>
  <c r="L22" i="3" s="1"/>
  <c r="L23" i="3" s="1"/>
  <c r="J22" i="9"/>
  <c r="M18" i="3"/>
  <c r="M40" i="3" s="1"/>
  <c r="M32" i="3" s="1"/>
  <c r="M55" i="3" s="1"/>
  <c r="T27" i="3"/>
  <c r="O28" i="3"/>
  <c r="O30" i="3"/>
  <c r="N38" i="3"/>
  <c r="N39" i="3"/>
  <c r="K50" i="3"/>
  <c r="K14" i="9"/>
  <c r="I29" i="9"/>
  <c r="I23" i="9"/>
  <c r="J51" i="3"/>
  <c r="J61" i="3" s="1"/>
  <c r="J60" i="3" s="1"/>
  <c r="J15" i="9"/>
  <c r="J23" i="9" s="1"/>
  <c r="J27" i="9"/>
  <c r="J44" i="3"/>
  <c r="J45" i="3" s="1"/>
  <c r="N10" i="3"/>
  <c r="J57" i="3"/>
  <c r="K56" i="3"/>
  <c r="K22" i="3"/>
  <c r="K23" i="3" s="1"/>
  <c r="O5" i="3"/>
  <c r="O6" i="3" s="1"/>
  <c r="K42" i="3"/>
  <c r="K59" i="3" s="1"/>
  <c r="K32" i="3"/>
  <c r="K13" i="9" s="1"/>
  <c r="L21" i="9" s="1"/>
  <c r="L41" i="3"/>
  <c r="I57" i="3"/>
  <c r="I51" i="3"/>
  <c r="I61" i="3" s="1"/>
  <c r="I60" i="3" s="1"/>
  <c r="P4" i="3"/>
  <c r="P21" i="3" s="1"/>
  <c r="M41" i="3"/>
  <c r="O43" i="3"/>
  <c r="L55" i="3"/>
  <c r="L49" i="3"/>
  <c r="L33" i="3" l="1"/>
  <c r="L34" i="3" s="1"/>
  <c r="M20" i="3"/>
  <c r="M42" i="3"/>
  <c r="M59" i="3" s="1"/>
  <c r="O38" i="3"/>
  <c r="O39" i="3"/>
  <c r="O29" i="3"/>
  <c r="P43" i="3"/>
  <c r="P28" i="3"/>
  <c r="P30" i="3"/>
  <c r="U27" i="3"/>
  <c r="M49" i="3"/>
  <c r="M13" i="9"/>
  <c r="K21" i="9"/>
  <c r="K27" i="9"/>
  <c r="L27" i="9"/>
  <c r="J29" i="9"/>
  <c r="K28" i="9"/>
  <c r="K22" i="9"/>
  <c r="O10" i="3"/>
  <c r="L42" i="3"/>
  <c r="L59" i="3" s="1"/>
  <c r="K44" i="3"/>
  <c r="K45" i="3" s="1"/>
  <c r="P5" i="3"/>
  <c r="P6" i="3" s="1"/>
  <c r="N18" i="3"/>
  <c r="N19" i="3"/>
  <c r="K34" i="3"/>
  <c r="K15" i="9" s="1"/>
  <c r="K49" i="3"/>
  <c r="K55" i="3"/>
  <c r="Q4" i="3"/>
  <c r="Q21" i="3" s="1"/>
  <c r="M33" i="3"/>
  <c r="L14" i="9" l="1"/>
  <c r="L22" i="9" s="1"/>
  <c r="N41" i="3"/>
  <c r="N33" i="3" s="1"/>
  <c r="N50" i="3" s="1"/>
  <c r="L50" i="3"/>
  <c r="L56" i="3"/>
  <c r="M44" i="3"/>
  <c r="M45" i="3" s="1"/>
  <c r="P29" i="3"/>
  <c r="M22" i="3"/>
  <c r="M23" i="3" s="1"/>
  <c r="V27" i="3"/>
  <c r="P38" i="3"/>
  <c r="P39" i="3"/>
  <c r="Q28" i="3"/>
  <c r="Q30" i="3"/>
  <c r="M27" i="9"/>
  <c r="M21" i="9"/>
  <c r="M56" i="3"/>
  <c r="M14" i="9"/>
  <c r="K29" i="9"/>
  <c r="K23" i="9"/>
  <c r="L51" i="3"/>
  <c r="L61" i="3" s="1"/>
  <c r="L60" i="3" s="1"/>
  <c r="L15" i="9"/>
  <c r="Q43" i="3"/>
  <c r="P10" i="3"/>
  <c r="P19" i="3" s="1"/>
  <c r="L57" i="3"/>
  <c r="L44" i="3"/>
  <c r="L45" i="3" s="1"/>
  <c r="K57" i="3"/>
  <c r="K51" i="3"/>
  <c r="K61" i="3" s="1"/>
  <c r="K60" i="3" s="1"/>
  <c r="Q5" i="3"/>
  <c r="Q6" i="3" s="1"/>
  <c r="O18" i="3"/>
  <c r="O19" i="3"/>
  <c r="N40" i="3"/>
  <c r="N20" i="3"/>
  <c r="M50" i="3"/>
  <c r="M34" i="3"/>
  <c r="R4" i="3"/>
  <c r="R21" i="3" s="1"/>
  <c r="L28" i="9" l="1"/>
  <c r="Q29" i="3"/>
  <c r="O41" i="3"/>
  <c r="O33" i="3" s="1"/>
  <c r="N56" i="3"/>
  <c r="E72" i="3" s="1"/>
  <c r="N14" i="9"/>
  <c r="N22" i="9" s="1"/>
  <c r="R43" i="3"/>
  <c r="R28" i="3"/>
  <c r="R30" i="3"/>
  <c r="Q38" i="3"/>
  <c r="Q39" i="3"/>
  <c r="W27" i="3"/>
  <c r="E66" i="3"/>
  <c r="M57" i="3"/>
  <c r="M15" i="9"/>
  <c r="L29" i="9"/>
  <c r="L23" i="9"/>
  <c r="M22" i="9"/>
  <c r="M28" i="9"/>
  <c r="M51" i="3"/>
  <c r="M61" i="3" s="1"/>
  <c r="M60" i="3" s="1"/>
  <c r="Q10" i="3"/>
  <c r="N22" i="3"/>
  <c r="N23" i="3" s="1"/>
  <c r="O20" i="3"/>
  <c r="O40" i="3"/>
  <c r="N42" i="3"/>
  <c r="N59" i="3" s="1"/>
  <c r="N32" i="3"/>
  <c r="N13" i="9" s="1"/>
  <c r="R5" i="3"/>
  <c r="R6" i="3" s="1"/>
  <c r="P18" i="3"/>
  <c r="P40" i="3" s="1"/>
  <c r="P32" i="3" s="1"/>
  <c r="S4" i="3"/>
  <c r="S21" i="3" s="1"/>
  <c r="P41" i="3"/>
  <c r="N28" i="9" l="1"/>
  <c r="O14" i="9"/>
  <c r="O28" i="9" s="1"/>
  <c r="O50" i="3"/>
  <c r="O56" i="3"/>
  <c r="P33" i="3"/>
  <c r="P56" i="3" s="1"/>
  <c r="S28" i="3"/>
  <c r="S30" i="3"/>
  <c r="X27" i="3"/>
  <c r="R38" i="3"/>
  <c r="R39" i="3"/>
  <c r="R29" i="3"/>
  <c r="N27" i="9"/>
  <c r="N21" i="9"/>
  <c r="O22" i="9"/>
  <c r="P49" i="3"/>
  <c r="P13" i="9"/>
  <c r="M23" i="9"/>
  <c r="M29" i="9"/>
  <c r="S43" i="3"/>
  <c r="R10" i="3"/>
  <c r="S5" i="3"/>
  <c r="S6" i="3" s="1"/>
  <c r="O32" i="3"/>
  <c r="O13" i="9" s="1"/>
  <c r="O42" i="3"/>
  <c r="O59" i="3" s="1"/>
  <c r="P42" i="3"/>
  <c r="P59" i="3" s="1"/>
  <c r="Q19" i="3"/>
  <c r="Q18" i="3"/>
  <c r="O22" i="3"/>
  <c r="O23" i="3" s="1"/>
  <c r="N44" i="3"/>
  <c r="N45" i="3" s="1"/>
  <c r="P20" i="3"/>
  <c r="N49" i="3"/>
  <c r="E65" i="3" s="1"/>
  <c r="N55" i="3"/>
  <c r="E71" i="3" s="1"/>
  <c r="N34" i="3"/>
  <c r="N15" i="9" s="1"/>
  <c r="T4" i="3"/>
  <c r="T21" i="3" s="1"/>
  <c r="P55" i="3"/>
  <c r="Q41" i="3" l="1"/>
  <c r="Q33" i="3" s="1"/>
  <c r="Q14" i="9" s="1"/>
  <c r="P34" i="3"/>
  <c r="P57" i="3" s="1"/>
  <c r="P14" i="9"/>
  <c r="P22" i="9" s="1"/>
  <c r="P50" i="3"/>
  <c r="R18" i="3"/>
  <c r="R19" i="3"/>
  <c r="T28" i="3"/>
  <c r="T30" i="3"/>
  <c r="S29" i="3"/>
  <c r="S38" i="3"/>
  <c r="S39" i="3"/>
  <c r="N23" i="9"/>
  <c r="N29" i="9"/>
  <c r="O21" i="9"/>
  <c r="O27" i="9"/>
  <c r="P21" i="9"/>
  <c r="P27" i="9"/>
  <c r="S10" i="3"/>
  <c r="P44" i="3"/>
  <c r="P45" i="3" s="1"/>
  <c r="N51" i="3"/>
  <c r="N57" i="3"/>
  <c r="Q20" i="3"/>
  <c r="Q40" i="3"/>
  <c r="O44" i="3"/>
  <c r="O45" i="3" s="1"/>
  <c r="E75" i="3"/>
  <c r="O55" i="3"/>
  <c r="O34" i="3"/>
  <c r="O15" i="9" s="1"/>
  <c r="O49" i="3"/>
  <c r="P22" i="3"/>
  <c r="P23" i="3" s="1"/>
  <c r="T5" i="3"/>
  <c r="T6" i="3" s="1"/>
  <c r="U4" i="3"/>
  <c r="U21" i="3" s="1"/>
  <c r="T43" i="3"/>
  <c r="E67" i="3" l="1"/>
  <c r="N61" i="3"/>
  <c r="R41" i="3"/>
  <c r="R33" i="3" s="1"/>
  <c r="R14" i="9" s="1"/>
  <c r="P28" i="9"/>
  <c r="P15" i="9"/>
  <c r="P23" i="9" s="1"/>
  <c r="P51" i="3"/>
  <c r="P61" i="3" s="1"/>
  <c r="P60" i="3" s="1"/>
  <c r="R20" i="3"/>
  <c r="R22" i="3" s="1"/>
  <c r="R23" i="3" s="1"/>
  <c r="T29" i="3"/>
  <c r="U28" i="3"/>
  <c r="U30" i="3"/>
  <c r="T38" i="3"/>
  <c r="T39" i="3"/>
  <c r="O29" i="9"/>
  <c r="O23" i="9"/>
  <c r="Q22" i="9"/>
  <c r="Q28" i="9"/>
  <c r="U43" i="3"/>
  <c r="T10" i="3"/>
  <c r="Q50" i="3"/>
  <c r="Q56" i="3"/>
  <c r="U5" i="3"/>
  <c r="U6" i="3" s="1"/>
  <c r="Q22" i="3"/>
  <c r="Q23" i="3" s="1"/>
  <c r="R40" i="3"/>
  <c r="S19" i="3"/>
  <c r="S18" i="3"/>
  <c r="O51" i="3"/>
  <c r="O61" i="3" s="1"/>
  <c r="O60" i="3" s="1"/>
  <c r="O57" i="3"/>
  <c r="Q42" i="3"/>
  <c r="Q59" i="3" s="1"/>
  <c r="Q32" i="3"/>
  <c r="Q13" i="9" s="1"/>
  <c r="V4" i="3"/>
  <c r="V21" i="3" s="1"/>
  <c r="P29" i="9" l="1"/>
  <c r="N60" i="3"/>
  <c r="E76" i="3" s="1"/>
  <c r="E77" i="3"/>
  <c r="S41" i="3"/>
  <c r="S33" i="3" s="1"/>
  <c r="S14" i="9" s="1"/>
  <c r="U29" i="3"/>
  <c r="V43" i="3"/>
  <c r="V28" i="3"/>
  <c r="V30" i="3"/>
  <c r="U38" i="3"/>
  <c r="U39" i="3"/>
  <c r="Q27" i="9"/>
  <c r="Q21" i="9"/>
  <c r="R22" i="9"/>
  <c r="R28" i="9"/>
  <c r="W4" i="3"/>
  <c r="W21" i="3" s="1"/>
  <c r="U10" i="3"/>
  <c r="U19" i="3" s="1"/>
  <c r="Q44" i="3"/>
  <c r="Q45" i="3" s="1"/>
  <c r="T18" i="3"/>
  <c r="T19" i="3"/>
  <c r="R50" i="3"/>
  <c r="R56" i="3"/>
  <c r="S20" i="3"/>
  <c r="S40" i="3"/>
  <c r="Q49" i="3"/>
  <c r="Q34" i="3"/>
  <c r="Q15" i="9" s="1"/>
  <c r="Q55" i="3"/>
  <c r="R42" i="3"/>
  <c r="R59" i="3" s="1"/>
  <c r="R32" i="3"/>
  <c r="R13" i="9" s="1"/>
  <c r="V5" i="3"/>
  <c r="V6" i="3" s="1"/>
  <c r="T41" i="3" l="1"/>
  <c r="T33" i="3" s="1"/>
  <c r="T14" i="9" s="1"/>
  <c r="U41" i="3"/>
  <c r="U33" i="3" s="1"/>
  <c r="U14" i="9" s="1"/>
  <c r="V29" i="3"/>
  <c r="V38" i="3"/>
  <c r="V39" i="3"/>
  <c r="W28" i="3"/>
  <c r="W30" i="3"/>
  <c r="Q29" i="9"/>
  <c r="Q23" i="9"/>
  <c r="R27" i="9"/>
  <c r="R21" i="9"/>
  <c r="S28" i="9"/>
  <c r="S22" i="9"/>
  <c r="X4" i="3"/>
  <c r="X21" i="3" s="1"/>
  <c r="W43" i="3"/>
  <c r="V10" i="3"/>
  <c r="Q51" i="3"/>
  <c r="Q61" i="3" s="1"/>
  <c r="Q60" i="3" s="1"/>
  <c r="Q57" i="3"/>
  <c r="S32" i="3"/>
  <c r="S13" i="9" s="1"/>
  <c r="S42" i="3"/>
  <c r="S59" i="3" s="1"/>
  <c r="R34" i="3"/>
  <c r="R15" i="9" s="1"/>
  <c r="R55" i="3"/>
  <c r="R49" i="3"/>
  <c r="S22" i="3"/>
  <c r="S23" i="3" s="1"/>
  <c r="U18" i="3"/>
  <c r="U40" i="3" s="1"/>
  <c r="R44" i="3"/>
  <c r="R45" i="3" s="1"/>
  <c r="S50" i="3"/>
  <c r="S56" i="3"/>
  <c r="T40" i="3"/>
  <c r="T20" i="3"/>
  <c r="W5" i="3"/>
  <c r="W6" i="3" s="1"/>
  <c r="W29" i="3" l="1"/>
  <c r="U42" i="3"/>
  <c r="U59" i="3" s="1"/>
  <c r="W38" i="3"/>
  <c r="W39" i="3"/>
  <c r="X43" i="3"/>
  <c r="X28" i="3"/>
  <c r="X30" i="3"/>
  <c r="U20" i="3"/>
  <c r="U22" i="9"/>
  <c r="U28" i="9"/>
  <c r="T28" i="9"/>
  <c r="T22" i="9"/>
  <c r="S21" i="9"/>
  <c r="S27" i="9"/>
  <c r="R29" i="9"/>
  <c r="R23" i="9"/>
  <c r="W10" i="3"/>
  <c r="U32" i="3"/>
  <c r="T22" i="3"/>
  <c r="T23" i="3" s="1"/>
  <c r="R51" i="3"/>
  <c r="R61" i="3" s="1"/>
  <c r="R60" i="3" s="1"/>
  <c r="R57" i="3"/>
  <c r="T32" i="3"/>
  <c r="T13" i="9" s="1"/>
  <c r="T42" i="3"/>
  <c r="T59" i="3" s="1"/>
  <c r="X5" i="3"/>
  <c r="S44" i="3"/>
  <c r="S45" i="3" s="1"/>
  <c r="V19" i="3"/>
  <c r="V18" i="3"/>
  <c r="T50" i="3"/>
  <c r="T56" i="3"/>
  <c r="S49" i="3"/>
  <c r="S55" i="3"/>
  <c r="S34" i="3"/>
  <c r="S15" i="9" s="1"/>
  <c r="U56" i="3"/>
  <c r="U50" i="3"/>
  <c r="V41" i="3" l="1"/>
  <c r="V33" i="3" s="1"/>
  <c r="V14" i="9" s="1"/>
  <c r="U44" i="3"/>
  <c r="U45" i="3" s="1"/>
  <c r="X38" i="3"/>
  <c r="X39" i="3"/>
  <c r="U22" i="3"/>
  <c r="U23" i="3" s="1"/>
  <c r="T21" i="9"/>
  <c r="T27" i="9"/>
  <c r="S29" i="9"/>
  <c r="S23" i="9"/>
  <c r="U55" i="3"/>
  <c r="U13" i="9"/>
  <c r="X6" i="3"/>
  <c r="X29" i="3" s="1"/>
  <c r="U34" i="3"/>
  <c r="U49" i="3"/>
  <c r="T44" i="3"/>
  <c r="T45" i="3" s="1"/>
  <c r="V40" i="3"/>
  <c r="V20" i="3"/>
  <c r="T49" i="3"/>
  <c r="T55" i="3"/>
  <c r="T34" i="3"/>
  <c r="T15" i="9" s="1"/>
  <c r="S51" i="3"/>
  <c r="S61" i="3" s="1"/>
  <c r="S60" i="3" s="1"/>
  <c r="S57" i="3"/>
  <c r="W18" i="3"/>
  <c r="W19" i="3"/>
  <c r="W41" i="3" l="1"/>
  <c r="W33" i="3" s="1"/>
  <c r="T29" i="9"/>
  <c r="T23" i="9"/>
  <c r="U57" i="3"/>
  <c r="U15" i="9"/>
  <c r="V22" i="9"/>
  <c r="V28" i="9"/>
  <c r="U27" i="9"/>
  <c r="U21" i="9"/>
  <c r="U51" i="3"/>
  <c r="U61" i="3" s="1"/>
  <c r="U60" i="3" s="1"/>
  <c r="X10" i="3"/>
  <c r="V56" i="3"/>
  <c r="V50" i="3"/>
  <c r="W20" i="3"/>
  <c r="W40" i="3"/>
  <c r="V22" i="3"/>
  <c r="V23" i="3" s="1"/>
  <c r="T57" i="3"/>
  <c r="T51" i="3"/>
  <c r="T61" i="3" s="1"/>
  <c r="T60" i="3" s="1"/>
  <c r="V32" i="3"/>
  <c r="V13" i="9" s="1"/>
  <c r="V42" i="3"/>
  <c r="V59" i="3" s="1"/>
  <c r="V27" i="9" l="1"/>
  <c r="V21" i="9"/>
  <c r="W50" i="3"/>
  <c r="W14" i="9"/>
  <c r="U23" i="9"/>
  <c r="U29" i="9"/>
  <c r="X19" i="3"/>
  <c r="X18" i="3"/>
  <c r="W56" i="3"/>
  <c r="V44" i="3"/>
  <c r="V45" i="3" s="1"/>
  <c r="W22" i="3"/>
  <c r="W23" i="3" s="1"/>
  <c r="V49" i="3"/>
  <c r="V55" i="3"/>
  <c r="V34" i="3"/>
  <c r="V15" i="9" s="1"/>
  <c r="W32" i="3"/>
  <c r="W13" i="9" s="1"/>
  <c r="W42" i="3"/>
  <c r="W59" i="3" s="1"/>
  <c r="X41" i="3" l="1"/>
  <c r="X33" i="3" s="1"/>
  <c r="W21" i="9"/>
  <c r="W27" i="9"/>
  <c r="V23" i="9"/>
  <c r="V29" i="9"/>
  <c r="W22" i="9"/>
  <c r="W28" i="9"/>
  <c r="X40" i="3"/>
  <c r="X20" i="3"/>
  <c r="V57" i="3"/>
  <c r="V51" i="3"/>
  <c r="V61" i="3" s="1"/>
  <c r="V60" i="3" s="1"/>
  <c r="W44" i="3"/>
  <c r="W45" i="3" s="1"/>
  <c r="W49" i="3"/>
  <c r="W55" i="3"/>
  <c r="W34" i="3"/>
  <c r="W15" i="9" s="1"/>
  <c r="X14" i="9" l="1"/>
  <c r="X28" i="9" s="1"/>
  <c r="X50" i="3"/>
  <c r="F66" i="3" s="1"/>
  <c r="X56" i="3"/>
  <c r="F72" i="3" s="1"/>
  <c r="W29" i="9"/>
  <c r="W23" i="9"/>
  <c r="X22" i="3"/>
  <c r="X23" i="3" s="1"/>
  <c r="X42" i="3"/>
  <c r="X59" i="3" s="1"/>
  <c r="X32" i="3"/>
  <c r="W57" i="3"/>
  <c r="W51" i="3"/>
  <c r="W61" i="3" s="1"/>
  <c r="W60" i="3" s="1"/>
  <c r="X22" i="9" l="1"/>
  <c r="X13" i="9"/>
  <c r="X27" i="9" s="1"/>
  <c r="X55" i="3"/>
  <c r="F71" i="3" s="1"/>
  <c r="X49" i="3"/>
  <c r="F65" i="3" s="1"/>
  <c r="X34" i="3"/>
  <c r="X44" i="3"/>
  <c r="X45" i="3" s="1"/>
  <c r="X15" i="9" l="1"/>
  <c r="X29" i="9" s="1"/>
  <c r="X51" i="3"/>
  <c r="X61" i="3" s="1"/>
  <c r="X60" i="3" s="1"/>
  <c r="F76" i="3" s="1"/>
  <c r="X21" i="9"/>
  <c r="F75" i="3"/>
  <c r="X57" i="3"/>
  <c r="F77" i="3" l="1"/>
  <c r="X23" i="9"/>
  <c r="F67" i="3"/>
</calcChain>
</file>

<file path=xl/sharedStrings.xml><?xml version="1.0" encoding="utf-8"?>
<sst xmlns="http://schemas.openxmlformats.org/spreadsheetml/2006/main" count="299" uniqueCount="199">
  <si>
    <t>Base Year</t>
  </si>
  <si>
    <t>Study Period (Years)</t>
  </si>
  <si>
    <t>Residential</t>
  </si>
  <si>
    <t>Customer ($/Month)</t>
  </si>
  <si>
    <t>Unit capacity factor (%)</t>
  </si>
  <si>
    <t>High-Level NEM Rate Impact Analysis</t>
  </si>
  <si>
    <t>Rocky Mtn Power - Utah</t>
  </si>
  <si>
    <t>Unit generation (MWh)</t>
  </si>
  <si>
    <t>Rates</t>
  </si>
  <si>
    <t>Fixed Portion of Energy Rate (%)</t>
  </si>
  <si>
    <t>https://www.rockymountainpower.net/content/dam/rocky_mountain_power/doc/About_Us/Rates_and_Regulation/Utah/Approved_Tariffs/Rate_Schedules/Residential_Service.pdf</t>
  </si>
  <si>
    <t>Customer Charge</t>
  </si>
  <si>
    <t>Single Phase</t>
  </si>
  <si>
    <t>Three phase</t>
  </si>
  <si>
    <t>per customer month</t>
  </si>
  <si>
    <t>Energy Charge</t>
  </si>
  <si>
    <t>Minimum Bill</t>
  </si>
  <si>
    <t>Summer Block 1</t>
  </si>
  <si>
    <t>Summer Block 2</t>
  </si>
  <si>
    <t>Summer Block 3</t>
  </si>
  <si>
    <t>Winter Block 1</t>
  </si>
  <si>
    <t>Winter Block 2</t>
  </si>
  <si>
    <t>moths of the year</t>
  </si>
  <si>
    <t>months of the year</t>
  </si>
  <si>
    <t>Summer Average</t>
  </si>
  <si>
    <t>Winter Average</t>
  </si>
  <si>
    <t>Customer growth rate</t>
  </si>
  <si>
    <t>Customers (# of customers)</t>
  </si>
  <si>
    <t>Minimum bill ($)</t>
  </si>
  <si>
    <t>Scenario calculations for no DGPV case</t>
  </si>
  <si>
    <t>No DG PV Case</t>
  </si>
  <si>
    <t xml:space="preserve">Forecasted sales </t>
  </si>
  <si>
    <t>Typical annual demand x demand grwoth rate</t>
  </si>
  <si>
    <t>Customers x customer growth rate</t>
  </si>
  <si>
    <t xml:space="preserve">Sales = Demand - customer generation </t>
  </si>
  <si>
    <t>Customers with PV (%)</t>
  </si>
  <si>
    <t>% of customers with PV +  grwoth rate</t>
  </si>
  <si>
    <t>Customers x % with DGPV * typical DGPV gen</t>
  </si>
  <si>
    <t>Forecasted Revnues</t>
  </si>
  <si>
    <t>Customers x customer charge</t>
  </si>
  <si>
    <t>Customer charge</t>
  </si>
  <si>
    <t xml:space="preserve">Minimum bill </t>
  </si>
  <si>
    <t>With DG PV</t>
  </si>
  <si>
    <t xml:space="preserve">RMP Residential rate tariff </t>
  </si>
  <si>
    <t>Energy sales x energy rate x fixed %</t>
  </si>
  <si>
    <t>Energy sales x energy rate x var %</t>
  </si>
  <si>
    <t>Levelized Avoided Cost Inputs</t>
  </si>
  <si>
    <t>Variable Avoided Costs ($/MWh)</t>
  </si>
  <si>
    <t>Fixed Avoided Costs ($/MWh)</t>
  </si>
  <si>
    <t>Total Avoided Costs ($/MWh)</t>
  </si>
  <si>
    <t xml:space="preserve">Net Sales = Demand - customer generation </t>
  </si>
  <si>
    <t>Forecasted Revnues / Costs</t>
  </si>
  <si>
    <t>Avoided costs - variable</t>
  </si>
  <si>
    <t>Avoided costs - fixed</t>
  </si>
  <si>
    <t>Costs avoided</t>
  </si>
  <si>
    <t>Annual Sales</t>
  </si>
  <si>
    <t>No DG PV less avoided fixed costs</t>
  </si>
  <si>
    <t>Same as No DG PV</t>
  </si>
  <si>
    <t>Sum of fixed and variable</t>
  </si>
  <si>
    <t>Sum of Energy Rate and Customer Charge</t>
  </si>
  <si>
    <t>Fuel and Purchased Power Charge</t>
  </si>
  <si>
    <t>Total Energy Rate ($/kWh)</t>
  </si>
  <si>
    <t>Energy rate times fixed portion</t>
  </si>
  <si>
    <t>Sum of above</t>
  </si>
  <si>
    <t>Differences</t>
  </si>
  <si>
    <t>Energy Rate - variable portion (%)</t>
  </si>
  <si>
    <t>Energy Rate - fixed portion (%)</t>
  </si>
  <si>
    <t>Total Energy Rate (%)</t>
  </si>
  <si>
    <t>Percent of customers adding DG PV per year</t>
  </si>
  <si>
    <t>New variable costs / net sales</t>
  </si>
  <si>
    <t>New fixed costs / net sales</t>
  </si>
  <si>
    <t>Utah NEM Rate Impact Analysis</t>
  </si>
  <si>
    <t>Avoided Costs</t>
  </si>
  <si>
    <t>Recovery of Lost Revenues</t>
  </si>
  <si>
    <t>Net Effect</t>
  </si>
  <si>
    <t>Number of years with additional DG PV</t>
  </si>
  <si>
    <t>10 yrs</t>
  </si>
  <si>
    <t>20 yrs</t>
  </si>
  <si>
    <t>Averages</t>
  </si>
  <si>
    <t>Annual Weighted Average</t>
  </si>
  <si>
    <t xml:space="preserve">Annual weighted average, RMP Residential rate tariff </t>
  </si>
  <si>
    <t>Total</t>
  </si>
  <si>
    <t>Value ($)</t>
  </si>
  <si>
    <t>DC array Output (kWh)</t>
  </si>
  <si>
    <t>Plane of Array Irradiance (W/m^2)</t>
  </si>
  <si>
    <t>Solar Radiation (kWh/m^2/day)</t>
  </si>
  <si>
    <t>AC System Output(kWh)</t>
  </si>
  <si>
    <t>Month</t>
  </si>
  <si>
    <t>Cost of Electricity Generated by System ($/kWh):</t>
  </si>
  <si>
    <t>Initial Cost</t>
  </si>
  <si>
    <t>Average Cost of Electricity Purchased from Utility ($/kWh):</t>
  </si>
  <si>
    <t>DC to AC Size Ratio:</t>
  </si>
  <si>
    <t>Invert Efficiency:</t>
  </si>
  <si>
    <t>System Losses:</t>
  </si>
  <si>
    <t>Array Azimuth (deg):</t>
  </si>
  <si>
    <t>Array Tilt (deg):</t>
  </si>
  <si>
    <t>Fixed (roof mount)</t>
  </si>
  <si>
    <t>Array Type:</t>
  </si>
  <si>
    <t>Standard</t>
  </si>
  <si>
    <t>Module Type:</t>
  </si>
  <si>
    <t>DC System Size (kW):</t>
  </si>
  <si>
    <t>Elev (m):</t>
  </si>
  <si>
    <t>Long (deg W):</t>
  </si>
  <si>
    <t>Lat (deg N):</t>
  </si>
  <si>
    <t>SALT LAKE CITY, UT</t>
  </si>
  <si>
    <t>Location:</t>
  </si>
  <si>
    <t>Salt Lake City Utah</t>
  </si>
  <si>
    <t>Requested Location:</t>
  </si>
  <si>
    <t>PVWatts: Monthly PV Performance Data</t>
  </si>
  <si>
    <t>NREL PV Watts (SLC, UT)</t>
  </si>
  <si>
    <t>Calculation based on CF and Capacity</t>
  </si>
  <si>
    <t>Fuel Value</t>
  </si>
  <si>
    <t>Plant O&amp;M Value</t>
  </si>
  <si>
    <t>Generation Capacity Value</t>
  </si>
  <si>
    <t>Avoided T&amp;D Capacity Cost</t>
  </si>
  <si>
    <t>Avoided Environmental Cost</t>
  </si>
  <si>
    <t>Fuel Price Guarantee Value</t>
  </si>
  <si>
    <t>Cost of money savings resulting from defferring T&amp;D capacity additions. Default from CPR 2014 (assumes zero avoided distribution)</t>
  </si>
  <si>
    <t>Costs to comply with environemetnal regulations and policy objectives. Default from CPR 2014.</t>
  </si>
  <si>
    <t>Includes avoided capital costs associated with generation and T&amp;D capacity</t>
  </si>
  <si>
    <t>Sum of variable and fixed avoided costs</t>
  </si>
  <si>
    <t xml:space="preserve">Warning: You have entered a capacity and/or capacity factor that results in the annual generation being greater than annual consumption, which would trigger RMP's minimm bill. This version of the model doesn't account for minimum bills. </t>
  </si>
  <si>
    <t>Residential Revenues ($)</t>
  </si>
  <si>
    <t>Number of Residential Customers (count)</t>
  </si>
  <si>
    <t>Residential Sales / # of Customers</t>
  </si>
  <si>
    <t>Universal</t>
  </si>
  <si>
    <t>Year-to-Year Impacts</t>
  </si>
  <si>
    <t>Rates - Change from Previous Year</t>
  </si>
  <si>
    <t>----</t>
  </si>
  <si>
    <t>Cost of eliminating uncertainty in fuel price fluctuations. Default $0.00</t>
  </si>
  <si>
    <t>Avoided energy ($/MWh)</t>
  </si>
  <si>
    <t>Avoided generation capacity capital costs ($/MWh)</t>
  </si>
  <si>
    <t>Avoided transmission capital costs ($/MWh)</t>
  </si>
  <si>
    <t>Avoided distribution capital costs ($/MWh)</t>
  </si>
  <si>
    <t>Fuel price guarantee/avoided risk ($/MWh)</t>
  </si>
  <si>
    <t>Residential Sales (MWh)</t>
  </si>
  <si>
    <t>Sales per customer (MWh)</t>
  </si>
  <si>
    <t>Energy Rate ($/MWh)</t>
  </si>
  <si>
    <r>
      <t xml:space="preserve">Value of Solar in Utah </t>
    </r>
    <r>
      <rPr>
        <sz val="10"/>
        <rFont val="Arial"/>
        <family val="2"/>
      </rPr>
      <t xml:space="preserve">Clean Power Research 2014. </t>
    </r>
  </si>
  <si>
    <t>Available online: http://www.psc.utah.gov/utilities/electric/13docs/13035184/255147Exhibit%20A%20to%20Wright%20Testimony%20-%20UCE%202_1%20DT%20-%20Value%20of%20Solar%20in%20Utah%205-22-2014.pdf</t>
  </si>
  <si>
    <t>Available online at: www.pvwatts.nrel.gov</t>
  </si>
  <si>
    <t>Synapse Calculation</t>
  </si>
  <si>
    <t>cents per kwh</t>
  </si>
  <si>
    <t>usage block</t>
  </si>
  <si>
    <t>cents per dollar</t>
  </si>
  <si>
    <t>kWh per MWh</t>
  </si>
  <si>
    <t>Annual residential sales (MWh)</t>
  </si>
  <si>
    <t>Energy Rate - variable portion ($/MWh)</t>
  </si>
  <si>
    <t>Energy Rate - fixed portion ($/MWh)</t>
  </si>
  <si>
    <t>Total Energy Rate ($/MWh)</t>
  </si>
  <si>
    <t>Annual Customer PV Gen (MWh)</t>
  </si>
  <si>
    <t>Net annual residential sales [after PV] (MWh)</t>
  </si>
  <si>
    <r>
      <t xml:space="preserve">Energy rate impact due to lost revenues </t>
    </r>
    <r>
      <rPr>
        <b/>
        <sz val="11"/>
        <rFont val="Gill Sans MT"/>
        <family val="2"/>
        <scheme val="minor"/>
      </rPr>
      <t xml:space="preserve"> (¢/kWh)</t>
    </r>
  </si>
  <si>
    <r>
      <t>Energy Rate impact due to AC</t>
    </r>
    <r>
      <rPr>
        <b/>
        <sz val="11"/>
        <rFont val="Gill Sans MT"/>
        <family val="2"/>
        <scheme val="minor"/>
      </rPr>
      <t xml:space="preserve">  (¢/kWh)</t>
    </r>
  </si>
  <si>
    <t>$/MWh</t>
  </si>
  <si>
    <t>($/kWh)</t>
  </si>
  <si>
    <t>Model Structure</t>
  </si>
  <si>
    <t>Sector / Rate Class</t>
  </si>
  <si>
    <t>Minimum Bill ($/Month)</t>
  </si>
  <si>
    <t>User input</t>
  </si>
  <si>
    <t>Average PV installed capacity (MW, DC)</t>
  </si>
  <si>
    <t>System Parameters</t>
  </si>
  <si>
    <t>Rate Structure Parameters</t>
  </si>
  <si>
    <t>PV NEM System Parameters</t>
  </si>
  <si>
    <t>Avoided environmental Costs ($/MWh)</t>
  </si>
  <si>
    <t>Includes avoided energy, avoided environmental, and fuel price guarantee</t>
  </si>
  <si>
    <t>Installed DG PV (MW)</t>
  </si>
  <si>
    <t>EIA 861, 2013</t>
  </si>
  <si>
    <t>Variable Revenues and Costs</t>
  </si>
  <si>
    <t>Fixed Revenues and Costs</t>
  </si>
  <si>
    <t>Total Energy Rate Revenues and Costs</t>
  </si>
  <si>
    <t>Customer Charge Revenues and Costs</t>
  </si>
  <si>
    <t>Total Revenues and Costs</t>
  </si>
  <si>
    <r>
      <t>Energy rate impact due to lost revenues</t>
    </r>
    <r>
      <rPr>
        <b/>
        <sz val="11"/>
        <rFont val="Gill Sans MT"/>
        <family val="2"/>
        <scheme val="minor"/>
      </rPr>
      <t xml:space="preserve"> (¢/kWh)</t>
    </r>
  </si>
  <si>
    <t>Change in Energy Rate - variable portion ($/MWh)</t>
  </si>
  <si>
    <t>Change in Energy Rate - fixed portion ($/MWh)</t>
  </si>
  <si>
    <t>Change in Total Energy Rate ($/MWh)</t>
  </si>
  <si>
    <t>Change in Customer ($/Month)</t>
  </si>
  <si>
    <t>Change in Minimum bill ($)</t>
  </si>
  <si>
    <t>Change in Energy Rate - variable portion (%)</t>
  </si>
  <si>
    <t>Change in Energy Rate - fixed portion (%)</t>
  </si>
  <si>
    <t>Change in Total Energy Rate (%)</t>
  </si>
  <si>
    <r>
      <t xml:space="preserve">Energy rate impact of both </t>
    </r>
    <r>
      <rPr>
        <b/>
        <sz val="11"/>
        <rFont val="Gill Sans MT"/>
        <family val="2"/>
        <scheme val="minor"/>
      </rPr>
      <t xml:space="preserve"> (¢/kWh)</t>
    </r>
  </si>
  <si>
    <t>all remaining kWh</t>
  </si>
  <si>
    <t>kWh</t>
  </si>
  <si>
    <t>Electricity usage per customer growth rate</t>
  </si>
  <si>
    <t>Total residential electricity usage (MWh)</t>
  </si>
  <si>
    <t>Usage per customer (annual MWh / customer)</t>
  </si>
  <si>
    <t>Annual Revenues and Costs</t>
  </si>
  <si>
    <t>RMP Presentation See: MW</t>
  </si>
  <si>
    <t>Percent of total costs that are "fixed"</t>
  </si>
  <si>
    <t>`</t>
  </si>
  <si>
    <t>Table 1: RMP Residential Tariff</t>
  </si>
  <si>
    <t>Table 2: Utah Solar Generation Profile</t>
  </si>
  <si>
    <t>Table 3: Avoided Costs in Utah</t>
  </si>
  <si>
    <t>Table 4: Conversion factors</t>
  </si>
  <si>
    <t xml:space="preserve">Capital cost of generation to meet peak load. </t>
  </si>
  <si>
    <t xml:space="preserve">Cost of money savings resulting from defferring T&amp;D capacity additions. </t>
  </si>
  <si>
    <t xml:space="preserve">Avoided fuel, variable O&amp;M, and line losses.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</si>
</sst>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&quot;$&quot;#,##0.0000"/>
    <numFmt numFmtId="169" formatCode="_(&quot;$&quot;* #,##0.0_);_(&quot;$&quot;* \(#,##0.0\);_(&quot;$&quot;* &quot;-&quot;??_);_(@_)"/>
    <numFmt numFmtId="170" formatCode="#,##0.0000_);\(#,##0.0000\)"/>
  </numFmts>
  <fonts count="21" x14ac:knownFonts="1">
    <font>
      <sz val="10"/>
      <name val="Arial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sz val="11"/>
      <name val="Gill Sans MT"/>
      <family val="2"/>
      <scheme val="minor"/>
    </font>
    <font>
      <b/>
      <sz val="11"/>
      <name val="Gill Sans MT"/>
      <family val="2"/>
      <scheme val="minor"/>
    </font>
    <font>
      <u/>
      <sz val="11"/>
      <name val="Gill Sans MT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252525"/>
      <name val="Verdana"/>
      <family val="2"/>
    </font>
    <font>
      <i/>
      <sz val="10"/>
      <name val="Gill Sans MT"/>
      <family val="2"/>
      <scheme val="minor"/>
    </font>
    <font>
      <i/>
      <sz val="11"/>
      <name val="Gill Sans MT"/>
      <family val="2"/>
      <scheme val="minor"/>
    </font>
    <font>
      <b/>
      <u/>
      <sz val="11"/>
      <name val="Gill Sans MT"/>
      <family val="2"/>
      <scheme val="minor"/>
    </font>
    <font>
      <sz val="10"/>
      <name val="Arial"/>
      <family val="2"/>
    </font>
    <font>
      <sz val="11"/>
      <color theme="0"/>
      <name val="Gill Sans MT"/>
      <family val="2"/>
      <scheme val="minor"/>
    </font>
    <font>
      <i/>
      <sz val="10"/>
      <name val="Arial"/>
      <family val="2"/>
    </font>
    <font>
      <sz val="10"/>
      <color theme="4"/>
      <name val="Arial"/>
      <family val="2"/>
    </font>
    <font>
      <sz val="11"/>
      <color theme="4"/>
      <name val="Gill Sans MT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2" fillId="2" borderId="0" applyNumberFormat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7" fontId="4" fillId="0" borderId="0" xfId="0" applyNumberFormat="1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5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7" fontId="4" fillId="0" borderId="0" xfId="0" quotePrefix="1" applyNumberFormat="1" applyFont="1" applyAlignment="1">
      <alignment horizontal="right"/>
    </xf>
    <xf numFmtId="10" fontId="4" fillId="0" borderId="0" xfId="1" applyNumberFormat="1" applyFont="1" applyAlignment="1">
      <alignment horizontal="right" vertical="center"/>
    </xf>
    <xf numFmtId="0" fontId="0" fillId="5" borderId="14" xfId="0" applyFill="1" applyBorder="1"/>
    <xf numFmtId="0" fontId="0" fillId="5" borderId="15" xfId="0" applyFill="1" applyBorder="1"/>
    <xf numFmtId="0" fontId="16" fillId="5" borderId="5" xfId="0" applyFont="1" applyFill="1" applyBorder="1"/>
    <xf numFmtId="0" fontId="0" fillId="5" borderId="0" xfId="0" applyFill="1" applyBorder="1"/>
    <xf numFmtId="0" fontId="0" fillId="5" borderId="6" xfId="0" applyFill="1" applyBorder="1"/>
    <xf numFmtId="0" fontId="3" fillId="0" borderId="5" xfId="0" applyFont="1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3" fillId="0" borderId="0" xfId="0" applyFont="1" applyBorder="1"/>
    <xf numFmtId="0" fontId="7" fillId="0" borderId="5" xfId="0" applyFont="1" applyBorder="1"/>
    <xf numFmtId="0" fontId="3" fillId="0" borderId="1" xfId="0" applyFont="1" applyBorder="1"/>
    <xf numFmtId="0" fontId="16" fillId="0" borderId="0" xfId="0" applyFont="1" applyBorder="1"/>
    <xf numFmtId="0" fontId="17" fillId="0" borderId="0" xfId="0" applyFont="1" applyBorder="1"/>
    <xf numFmtId="0" fontId="7" fillId="5" borderId="13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17" fillId="0" borderId="1" xfId="0" applyFont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5" xfId="0" applyFont="1" applyFill="1" applyBorder="1"/>
    <xf numFmtId="0" fontId="3" fillId="5" borderId="0" xfId="0" applyFont="1" applyFill="1" applyBorder="1"/>
    <xf numFmtId="0" fontId="3" fillId="5" borderId="6" xfId="0" applyFont="1" applyFill="1" applyBorder="1"/>
    <xf numFmtId="0" fontId="3" fillId="0" borderId="6" xfId="0" applyFont="1" applyBorder="1"/>
    <xf numFmtId="0" fontId="3" fillId="0" borderId="8" xfId="0" applyFont="1" applyBorder="1"/>
    <xf numFmtId="0" fontId="19" fillId="5" borderId="13" xfId="5" applyFont="1" applyFill="1" applyBorder="1"/>
    <xf numFmtId="0" fontId="20" fillId="5" borderId="14" xfId="5" applyFont="1" applyFill="1" applyBorder="1"/>
    <xf numFmtId="0" fontId="20" fillId="5" borderId="15" xfId="5" applyFont="1" applyFill="1" applyBorder="1"/>
    <xf numFmtId="0" fontId="20" fillId="5" borderId="5" xfId="5" applyFont="1" applyFill="1" applyBorder="1"/>
    <xf numFmtId="0" fontId="20" fillId="5" borderId="0" xfId="5" applyFont="1" applyFill="1" applyBorder="1"/>
    <xf numFmtId="0" fontId="20" fillId="5" borderId="6" xfId="5" applyFont="1" applyFill="1" applyBorder="1"/>
    <xf numFmtId="0" fontId="20" fillId="0" borderId="5" xfId="5" applyFont="1" applyBorder="1"/>
    <xf numFmtId="0" fontId="20" fillId="0" borderId="0" xfId="5" applyFont="1" applyBorder="1"/>
    <xf numFmtId="0" fontId="20" fillId="0" borderId="6" xfId="5" applyFont="1" applyBorder="1"/>
    <xf numFmtId="0" fontId="20" fillId="0" borderId="7" xfId="5" applyFont="1" applyBorder="1"/>
    <xf numFmtId="0" fontId="20" fillId="0" borderId="1" xfId="5" applyFont="1" applyBorder="1"/>
    <xf numFmtId="0" fontId="20" fillId="0" borderId="8" xfId="5" applyFont="1" applyBorder="1"/>
    <xf numFmtId="0" fontId="3" fillId="0" borderId="0" xfId="0" applyFont="1" applyFill="1"/>
    <xf numFmtId="0" fontId="3" fillId="0" borderId="0" xfId="0" applyFont="1" applyFill="1" applyBorder="1"/>
    <xf numFmtId="0" fontId="4" fillId="6" borderId="0" xfId="0" applyFont="1" applyFill="1"/>
    <xf numFmtId="0" fontId="5" fillId="6" borderId="0" xfId="0" applyFont="1" applyFill="1"/>
    <xf numFmtId="0" fontId="4" fillId="6" borderId="0" xfId="0" applyFont="1" applyFill="1" applyAlignment="1">
      <alignment horizontal="right"/>
    </xf>
    <xf numFmtId="0" fontId="12" fillId="6" borderId="0" xfId="0" applyFont="1" applyFill="1"/>
    <xf numFmtId="0" fontId="0" fillId="6" borderId="0" xfId="0" applyFill="1"/>
    <xf numFmtId="0" fontId="5" fillId="6" borderId="13" xfId="0" applyFont="1" applyFill="1" applyBorder="1"/>
    <xf numFmtId="0" fontId="4" fillId="6" borderId="14" xfId="0" applyFont="1" applyFill="1" applyBorder="1"/>
    <xf numFmtId="0" fontId="4" fillId="6" borderId="15" xfId="0" applyFont="1" applyFill="1" applyBorder="1" applyAlignment="1">
      <alignment horizontal="right"/>
    </xf>
    <xf numFmtId="0" fontId="2" fillId="6" borderId="0" xfId="2" applyFill="1" applyAlignment="1">
      <alignment horizontal="right"/>
    </xf>
    <xf numFmtId="165" fontId="4" fillId="6" borderId="0" xfId="0" applyNumberFormat="1" applyFont="1" applyFill="1" applyAlignment="1">
      <alignment horizontal="right"/>
    </xf>
    <xf numFmtId="3" fontId="10" fillId="6" borderId="0" xfId="0" applyNumberFormat="1" applyFont="1" applyFill="1"/>
    <xf numFmtId="164" fontId="18" fillId="6" borderId="0" xfId="1" applyNumberFormat="1" applyFont="1" applyFill="1" applyAlignment="1">
      <alignment horizontal="right"/>
    </xf>
    <xf numFmtId="164" fontId="4" fillId="6" borderId="0" xfId="1" applyNumberFormat="1" applyFont="1" applyFill="1" applyAlignment="1">
      <alignment horizontal="right"/>
    </xf>
    <xf numFmtId="2" fontId="4" fillId="6" borderId="0" xfId="0" applyNumberFormat="1" applyFont="1" applyFill="1"/>
    <xf numFmtId="6" fontId="4" fillId="6" borderId="0" xfId="0" applyNumberFormat="1" applyFont="1" applyFill="1" applyAlignment="1">
      <alignment horizontal="right"/>
    </xf>
    <xf numFmtId="9" fontId="4" fillId="6" borderId="0" xfId="1" applyNumberFormat="1" applyFont="1" applyFill="1" applyAlignment="1">
      <alignment horizontal="right"/>
    </xf>
    <xf numFmtId="0" fontId="18" fillId="6" borderId="0" xfId="0" applyFont="1" applyFill="1" applyAlignment="1">
      <alignment horizontal="right"/>
    </xf>
    <xf numFmtId="9" fontId="4" fillId="6" borderId="0" xfId="1" applyFont="1" applyFill="1" applyAlignment="1">
      <alignment horizontal="right"/>
    </xf>
    <xf numFmtId="0" fontId="15" fillId="6" borderId="0" xfId="0" applyFont="1" applyFill="1" applyAlignment="1">
      <alignment vertical="top" wrapText="1"/>
    </xf>
    <xf numFmtId="165" fontId="4" fillId="6" borderId="0" xfId="4" applyNumberFormat="1" applyFont="1" applyFill="1" applyAlignment="1">
      <alignment horizontal="right"/>
    </xf>
    <xf numFmtId="0" fontId="4" fillId="6" borderId="0" xfId="0" applyFont="1" applyFill="1" applyAlignment="1">
      <alignment horizontal="left"/>
    </xf>
    <xf numFmtId="8" fontId="4" fillId="6" borderId="0" xfId="0" applyNumberFormat="1" applyFont="1" applyFill="1" applyAlignment="1">
      <alignment horizontal="right"/>
    </xf>
    <xf numFmtId="2" fontId="4" fillId="6" borderId="0" xfId="0" applyNumberFormat="1" applyFont="1" applyFill="1" applyAlignment="1">
      <alignment horizontal="right"/>
    </xf>
    <xf numFmtId="43" fontId="4" fillId="6" borderId="0" xfId="0" applyNumberFormat="1" applyFont="1" applyFill="1" applyAlignment="1">
      <alignment horizontal="right"/>
    </xf>
    <xf numFmtId="0" fontId="4" fillId="6" borderId="0" xfId="1" applyNumberFormat="1" applyFont="1" applyFill="1" applyAlignment="1">
      <alignment horizontal="right"/>
    </xf>
    <xf numFmtId="0" fontId="4" fillId="7" borderId="5" xfId="0" applyFont="1" applyFill="1" applyBorder="1"/>
    <xf numFmtId="0" fontId="4" fillId="7" borderId="0" xfId="0" applyFont="1" applyFill="1" applyBorder="1"/>
    <xf numFmtId="0" fontId="2" fillId="7" borderId="6" xfId="2" applyFill="1" applyBorder="1" applyAlignment="1">
      <alignment horizontal="right"/>
    </xf>
    <xf numFmtId="0" fontId="4" fillId="7" borderId="6" xfId="0" applyFont="1" applyFill="1" applyBorder="1" applyAlignment="1">
      <alignment horizontal="right"/>
    </xf>
    <xf numFmtId="0" fontId="4" fillId="7" borderId="7" xfId="0" applyFont="1" applyFill="1" applyBorder="1"/>
    <xf numFmtId="0" fontId="4" fillId="7" borderId="1" xfId="0" applyFont="1" applyFill="1" applyBorder="1"/>
    <xf numFmtId="0" fontId="4" fillId="7" borderId="8" xfId="0" applyFont="1" applyFill="1" applyBorder="1" applyAlignment="1">
      <alignment horizontal="right"/>
    </xf>
    <xf numFmtId="0" fontId="4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right" vertical="center"/>
    </xf>
    <xf numFmtId="3" fontId="4" fillId="6" borderId="0" xfId="0" applyNumberFormat="1" applyFont="1" applyFill="1" applyAlignment="1">
      <alignment horizontal="right" vertical="center"/>
    </xf>
    <xf numFmtId="4" fontId="4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169" fontId="4" fillId="6" borderId="0" xfId="0" applyNumberFormat="1" applyFont="1" applyFill="1" applyAlignment="1">
      <alignment horizontal="right" vertical="center"/>
    </xf>
    <xf numFmtId="44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166" fontId="4" fillId="6" borderId="0" xfId="3" applyNumberFormat="1" applyFont="1" applyFill="1" applyAlignment="1">
      <alignment horizontal="right" vertical="center"/>
    </xf>
    <xf numFmtId="9" fontId="4" fillId="6" borderId="0" xfId="1" applyFont="1" applyFill="1" applyAlignment="1">
      <alignment horizontal="right" vertical="center"/>
    </xf>
    <xf numFmtId="164" fontId="4" fillId="6" borderId="0" xfId="1" applyNumberFormat="1" applyFont="1" applyFill="1" applyAlignment="1">
      <alignment horizontal="right" vertical="center"/>
    </xf>
    <xf numFmtId="167" fontId="4" fillId="6" borderId="0" xfId="0" applyNumberFormat="1" applyFont="1" applyFill="1" applyAlignment="1">
      <alignment horizontal="right" vertical="center"/>
    </xf>
    <xf numFmtId="6" fontId="4" fillId="6" borderId="0" xfId="0" applyNumberFormat="1" applyFont="1" applyFill="1" applyAlignment="1">
      <alignment horizontal="right" vertical="center"/>
    </xf>
    <xf numFmtId="167" fontId="4" fillId="6" borderId="0" xfId="0" applyNumberFormat="1" applyFont="1" applyFill="1"/>
    <xf numFmtId="44" fontId="4" fillId="6" borderId="0" xfId="0" applyNumberFormat="1" applyFont="1" applyFill="1"/>
    <xf numFmtId="43" fontId="4" fillId="6" borderId="0" xfId="4" applyFont="1" applyFill="1"/>
    <xf numFmtId="10" fontId="4" fillId="6" borderId="0" xfId="1" applyNumberFormat="1" applyFont="1" applyFill="1"/>
    <xf numFmtId="170" fontId="4" fillId="6" borderId="0" xfId="1" applyNumberFormat="1" applyFont="1" applyFill="1"/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68" fontId="4" fillId="6" borderId="9" xfId="0" applyNumberFormat="1" applyFont="1" applyFill="1" applyBorder="1" applyAlignment="1">
      <alignment horizontal="center" vertical="center"/>
    </xf>
    <xf numFmtId="168" fontId="4" fillId="6" borderId="10" xfId="0" applyNumberFormat="1" applyFont="1" applyFill="1" applyBorder="1" applyAlignment="1">
      <alignment horizontal="center" vertical="center"/>
    </xf>
    <xf numFmtId="44" fontId="4" fillId="6" borderId="0" xfId="3" applyFont="1" applyFill="1"/>
    <xf numFmtId="167" fontId="4" fillId="6" borderId="9" xfId="0" applyNumberFormat="1" applyFont="1" applyFill="1" applyBorder="1" applyAlignment="1">
      <alignment horizontal="center" vertical="center"/>
    </xf>
    <xf numFmtId="167" fontId="4" fillId="6" borderId="10" xfId="0" applyNumberFormat="1" applyFont="1" applyFill="1" applyBorder="1" applyAlignment="1">
      <alignment horizontal="center" vertical="center"/>
    </xf>
    <xf numFmtId="10" fontId="4" fillId="6" borderId="9" xfId="1" applyNumberFormat="1" applyFont="1" applyFill="1" applyBorder="1" applyAlignment="1">
      <alignment horizontal="center" vertical="center"/>
    </xf>
    <xf numFmtId="10" fontId="4" fillId="6" borderId="10" xfId="1" applyNumberFormat="1" applyFont="1" applyFill="1" applyBorder="1" applyAlignment="1">
      <alignment horizontal="center" vertical="center"/>
    </xf>
    <xf numFmtId="170" fontId="4" fillId="6" borderId="0" xfId="1" applyNumberFormat="1" applyFont="1" applyFill="1" applyAlignment="1">
      <alignment horizontal="center" vertical="center"/>
    </xf>
    <xf numFmtId="10" fontId="4" fillId="6" borderId="0" xfId="1" applyNumberFormat="1" applyFont="1" applyFill="1" applyAlignment="1">
      <alignment horizontal="center" vertical="center"/>
    </xf>
    <xf numFmtId="0" fontId="13" fillId="7" borderId="2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right" vertical="center"/>
    </xf>
    <xf numFmtId="0" fontId="13" fillId="7" borderId="4" xfId="0" applyFont="1" applyFill="1" applyBorder="1" applyAlignment="1">
      <alignment horizontal="right" vertical="center"/>
    </xf>
    <xf numFmtId="0" fontId="15" fillId="6" borderId="0" xfId="0" applyFont="1" applyFill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5" borderId="5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</cellXfs>
  <cellStyles count="6">
    <cellStyle name="20% - Accent1" xfId="2" builtinId="30"/>
    <cellStyle name="Comma" xfId="4" builtinId="3"/>
    <cellStyle name="Currency" xfId="3" builtinId="4"/>
    <cellStyle name="Normal" xfId="0" builtinId="0"/>
    <cellStyle name="Normal 2" xfId="5"/>
    <cellStyle name="Percent" xfId="1" builtinId="5"/>
  </cellStyles>
  <dxfs count="1"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76939102416055"/>
          <c:y val="5.0925925925925923E-2"/>
          <c:w val="0.8056750337965678"/>
          <c:h val="0.676340174061708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Rate_Impacts_With_v_Without!$B$60</c:f>
              <c:strCache>
                <c:ptCount val="1"/>
                <c:pt idx="0">
                  <c:v>Recovery of Lost Revenues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Rate_Impacts_With_v_Without!$E$2:$X$2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Rate_Impacts_With_v_Without!$E$60:$X$60</c:f>
              <c:numCache>
                <c:formatCode>#,##0.0000_);\(#,##0.0000\)</c:formatCode>
                <c:ptCount val="20"/>
                <c:pt idx="0">
                  <c:v>7.6719380289793554E-2</c:v>
                </c:pt>
                <c:pt idx="1">
                  <c:v>0.15391371736910175</c:v>
                </c:pt>
                <c:pt idx="2">
                  <c:v>0.23159435453396499</c:v>
                </c:pt>
                <c:pt idx="3">
                  <c:v>0.30977299919192092</c:v>
                </c:pt>
                <c:pt idx="4">
                  <c:v>0.38846173758983299</c:v>
                </c:pt>
                <c:pt idx="5">
                  <c:v>0.46767305026241246</c:v>
                </c:pt>
                <c:pt idx="6">
                  <c:v>0.54741982824293411</c:v>
                </c:pt>
                <c:pt idx="7">
                  <c:v>0.62771539008033694</c:v>
                </c:pt>
                <c:pt idx="8">
                  <c:v>0.7085734997099522</c:v>
                </c:pt>
                <c:pt idx="9">
                  <c:v>0.79000838522820094</c:v>
                </c:pt>
                <c:pt idx="10">
                  <c:v>0.79000838522819949</c:v>
                </c:pt>
                <c:pt idx="11">
                  <c:v>0.79000838522820094</c:v>
                </c:pt>
                <c:pt idx="12">
                  <c:v>0.79000838522820094</c:v>
                </c:pt>
                <c:pt idx="13">
                  <c:v>0.79000838522820227</c:v>
                </c:pt>
                <c:pt idx="14">
                  <c:v>0.79000838522820238</c:v>
                </c:pt>
                <c:pt idx="15">
                  <c:v>0.79000838522820382</c:v>
                </c:pt>
                <c:pt idx="16">
                  <c:v>0.79000838522820382</c:v>
                </c:pt>
                <c:pt idx="17">
                  <c:v>0.79000838522820382</c:v>
                </c:pt>
                <c:pt idx="18">
                  <c:v>0.79000838522820382</c:v>
                </c:pt>
                <c:pt idx="19">
                  <c:v>0.79000838522820238</c:v>
                </c:pt>
              </c:numCache>
            </c:numRef>
          </c:val>
        </c:ser>
        <c:ser>
          <c:idx val="0"/>
          <c:order val="2"/>
          <c:tx>
            <c:strRef>
              <c:f>Rate_Impacts_With_v_Without!$B$59</c:f>
              <c:strCache>
                <c:ptCount val="1"/>
                <c:pt idx="0">
                  <c:v>Avoided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Rate_Impacts_With_v_Without!$E$2:$X$2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Rate_Impacts_With_v_Without!$E$59:$X$59</c:f>
              <c:numCache>
                <c:formatCode>#,##0.0000_);\(#,##0.0000\)</c:formatCode>
                <c:ptCount val="20"/>
                <c:pt idx="0">
                  <c:v>-4.6651425223592474E-2</c:v>
                </c:pt>
                <c:pt idx="1">
                  <c:v>-9.3302850447182104E-2</c:v>
                </c:pt>
                <c:pt idx="2">
                  <c:v>-0.13995427567077456</c:v>
                </c:pt>
                <c:pt idx="3">
                  <c:v>-0.18660570089436562</c:v>
                </c:pt>
                <c:pt idx="4">
                  <c:v>-0.2332571261179581</c:v>
                </c:pt>
                <c:pt idx="5">
                  <c:v>-0.27990855134154774</c:v>
                </c:pt>
                <c:pt idx="6">
                  <c:v>-0.32655997656514019</c:v>
                </c:pt>
                <c:pt idx="7">
                  <c:v>-0.37321140178873125</c:v>
                </c:pt>
                <c:pt idx="8">
                  <c:v>-0.41986282701232369</c:v>
                </c:pt>
                <c:pt idx="9">
                  <c:v>-0.46651425223591475</c:v>
                </c:pt>
                <c:pt idx="10">
                  <c:v>-0.46651425223591336</c:v>
                </c:pt>
                <c:pt idx="11">
                  <c:v>-0.46651425223591475</c:v>
                </c:pt>
                <c:pt idx="12">
                  <c:v>-0.46651425223591475</c:v>
                </c:pt>
                <c:pt idx="13">
                  <c:v>-0.46651425223591475</c:v>
                </c:pt>
                <c:pt idx="14">
                  <c:v>-0.46651425223591336</c:v>
                </c:pt>
                <c:pt idx="15">
                  <c:v>-0.46651425223591475</c:v>
                </c:pt>
                <c:pt idx="16">
                  <c:v>-0.46651425223591475</c:v>
                </c:pt>
                <c:pt idx="17">
                  <c:v>-0.46651425223591475</c:v>
                </c:pt>
                <c:pt idx="18">
                  <c:v>-0.46651425223591475</c:v>
                </c:pt>
                <c:pt idx="19">
                  <c:v>-0.46651425223591336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6672816"/>
        <c:axId val="216496648"/>
      </c:barChart>
      <c:barChart>
        <c:barDir val="col"/>
        <c:grouping val="stacked"/>
        <c:varyColors val="0"/>
        <c:ser>
          <c:idx val="2"/>
          <c:order val="0"/>
          <c:tx>
            <c:strRef>
              <c:f>Rate_Impacts_With_v_Without!$B$61</c:f>
              <c:strCache>
                <c:ptCount val="1"/>
                <c:pt idx="0">
                  <c:v>Net Effect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Rate_Impacts_With_v_Without!$E$2:$X$2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Rate_Impacts_With_v_Without!$E$61:$X$61</c:f>
              <c:numCache>
                <c:formatCode>#,##0.0000_);\(#,##0.0000\)</c:formatCode>
                <c:ptCount val="20"/>
                <c:pt idx="0">
                  <c:v>3.006795506620108E-2</c:v>
                </c:pt>
                <c:pt idx="1">
                  <c:v>6.0610866921919637E-2</c:v>
                </c:pt>
                <c:pt idx="2">
                  <c:v>9.1640078863190408E-2</c:v>
                </c:pt>
                <c:pt idx="3">
                  <c:v>0.12316729829755531</c:v>
                </c:pt>
                <c:pt idx="4">
                  <c:v>0.15520461147187489</c:v>
                </c:pt>
                <c:pt idx="5">
                  <c:v>0.18776449892086475</c:v>
                </c:pt>
                <c:pt idx="6">
                  <c:v>0.22085985167779398</c:v>
                </c:pt>
                <c:pt idx="7">
                  <c:v>0.25450398829160575</c:v>
                </c:pt>
                <c:pt idx="8">
                  <c:v>0.28871067269762846</c:v>
                </c:pt>
                <c:pt idx="9">
                  <c:v>0.32349413299228613</c:v>
                </c:pt>
                <c:pt idx="10">
                  <c:v>0.32349413299228613</c:v>
                </c:pt>
                <c:pt idx="11">
                  <c:v>0.32349413299228613</c:v>
                </c:pt>
                <c:pt idx="12">
                  <c:v>0.32349413299228613</c:v>
                </c:pt>
                <c:pt idx="13">
                  <c:v>0.32349413299228758</c:v>
                </c:pt>
                <c:pt idx="14">
                  <c:v>0.32349413299228902</c:v>
                </c:pt>
                <c:pt idx="15">
                  <c:v>0.32349413299228902</c:v>
                </c:pt>
                <c:pt idx="16">
                  <c:v>0.32349413299228902</c:v>
                </c:pt>
                <c:pt idx="17">
                  <c:v>0.32349413299228902</c:v>
                </c:pt>
                <c:pt idx="18">
                  <c:v>0.32349413299228902</c:v>
                </c:pt>
                <c:pt idx="19">
                  <c:v>0.32349413299228902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7460392"/>
        <c:axId val="130498760"/>
      </c:barChart>
      <c:catAx>
        <c:axId val="2166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96648"/>
        <c:crosses val="autoZero"/>
        <c:auto val="1"/>
        <c:lblAlgn val="ctr"/>
        <c:lblOffset val="100"/>
        <c:noMultiLvlLbl val="0"/>
      </c:catAx>
      <c:valAx>
        <c:axId val="21649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0"/>
                  <a:t>Cumulative Impact on Rates ( (¢/kWh)</a:t>
                </a:r>
              </a:p>
            </c:rich>
          </c:tx>
          <c:layout>
            <c:manualLayout>
              <c:xMode val="edge"/>
              <c:yMode val="edge"/>
              <c:x val="2.6879618039961681E-2"/>
              <c:y val="7.92652728892636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72816"/>
        <c:crosses val="autoZero"/>
        <c:crossBetween val="between"/>
      </c:valAx>
      <c:valAx>
        <c:axId val="130498760"/>
        <c:scaling>
          <c:orientation val="minMax"/>
          <c:max val="0.5"/>
          <c:min val="-0.5"/>
        </c:scaling>
        <c:delete val="1"/>
        <c:axPos val="r"/>
        <c:numFmt formatCode="0_);\(0\)" sourceLinked="0"/>
        <c:majorTickMark val="out"/>
        <c:minorTickMark val="none"/>
        <c:tickLblPos val="nextTo"/>
        <c:crossAx val="217460392"/>
        <c:crosses val="max"/>
        <c:crossBetween val="between"/>
      </c:valAx>
      <c:catAx>
        <c:axId val="21746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498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5569</xdr:colOff>
      <xdr:row>61</xdr:row>
      <xdr:rowOff>66113</xdr:rowOff>
    </xdr:from>
    <xdr:to>
      <xdr:col>16</xdr:col>
      <xdr:colOff>1119396</xdr:colOff>
      <xdr:row>76</xdr:row>
      <xdr:rowOff>66110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Q55"/>
  <sheetViews>
    <sheetView showGridLines="0" view="pageLayout" zoomScale="85" zoomScaleNormal="90" zoomScaleSheetLayoutView="115" zoomScalePageLayoutView="85" workbookViewId="0">
      <selection activeCell="D11" sqref="D11"/>
    </sheetView>
  </sheetViews>
  <sheetFormatPr defaultColWidth="9.140625" defaultRowHeight="17.25" x14ac:dyDescent="0.35"/>
  <cols>
    <col min="1" max="2" width="4.7109375" style="66" customWidth="1"/>
    <col min="3" max="3" width="44.28515625" style="66" customWidth="1"/>
    <col min="4" max="4" width="13.7109375" style="68" bestFit="1" customWidth="1"/>
    <col min="5" max="5" width="2.85546875" style="68" customWidth="1"/>
    <col min="6" max="6" width="55.85546875" style="69" customWidth="1"/>
    <col min="7" max="7" width="16.7109375" style="66" customWidth="1"/>
    <col min="8" max="8" width="9.140625" style="66"/>
    <col min="9" max="9" width="16" style="66" customWidth="1"/>
    <col min="10" max="10" width="14.5703125" style="66" customWidth="1"/>
    <col min="11" max="11" width="9.140625" style="66"/>
    <col min="12" max="12" width="12.42578125" style="66" customWidth="1"/>
    <col min="13" max="16384" width="9.140625" style="66"/>
  </cols>
  <sheetData>
    <row r="2" spans="1:10" x14ac:dyDescent="0.35">
      <c r="B2" s="67" t="s">
        <v>5</v>
      </c>
    </row>
    <row r="3" spans="1:10" x14ac:dyDescent="0.35">
      <c r="B3" s="66" t="s">
        <v>6</v>
      </c>
    </row>
    <row r="5" spans="1:10" x14ac:dyDescent="0.35">
      <c r="A5" s="70"/>
      <c r="B5" s="71" t="s">
        <v>156</v>
      </c>
      <c r="C5" s="72"/>
      <c r="D5" s="73"/>
    </row>
    <row r="6" spans="1:10" x14ac:dyDescent="0.35">
      <c r="A6" s="70"/>
      <c r="B6" s="91"/>
      <c r="C6" s="92" t="s">
        <v>157</v>
      </c>
      <c r="D6" s="93" t="s">
        <v>2</v>
      </c>
      <c r="E6" s="74"/>
    </row>
    <row r="7" spans="1:10" x14ac:dyDescent="0.35">
      <c r="A7" s="70"/>
      <c r="B7" s="91"/>
      <c r="C7" s="92" t="s">
        <v>0</v>
      </c>
      <c r="D7" s="94">
        <v>2015</v>
      </c>
    </row>
    <row r="8" spans="1:10" x14ac:dyDescent="0.35">
      <c r="A8" s="70"/>
      <c r="B8" s="95"/>
      <c r="C8" s="96" t="s">
        <v>1</v>
      </c>
      <c r="D8" s="97">
        <v>20</v>
      </c>
    </row>
    <row r="9" spans="1:10" x14ac:dyDescent="0.35">
      <c r="A9" s="70"/>
    </row>
    <row r="10" spans="1:10" x14ac:dyDescent="0.35">
      <c r="B10" s="67" t="s">
        <v>161</v>
      </c>
    </row>
    <row r="11" spans="1:10" x14ac:dyDescent="0.35">
      <c r="C11" s="66" t="s">
        <v>135</v>
      </c>
      <c r="D11" s="75">
        <v>6976758</v>
      </c>
      <c r="E11" s="76"/>
      <c r="F11" s="69" t="s">
        <v>167</v>
      </c>
    </row>
    <row r="12" spans="1:10" x14ac:dyDescent="0.35">
      <c r="C12" s="66" t="s">
        <v>122</v>
      </c>
      <c r="D12" s="75">
        <v>758356800</v>
      </c>
      <c r="E12" s="66"/>
      <c r="F12" s="69" t="s">
        <v>167</v>
      </c>
    </row>
    <row r="13" spans="1:10" x14ac:dyDescent="0.35">
      <c r="C13" s="66" t="s">
        <v>123</v>
      </c>
      <c r="D13" s="75">
        <v>733917</v>
      </c>
      <c r="E13" s="66"/>
      <c r="F13" s="69" t="s">
        <v>167</v>
      </c>
    </row>
    <row r="14" spans="1:10" x14ac:dyDescent="0.35">
      <c r="C14" s="66" t="s">
        <v>136</v>
      </c>
      <c r="D14" s="75">
        <f>D11/D13</f>
        <v>9.5061948421960523</v>
      </c>
      <c r="E14" s="75"/>
      <c r="F14" s="69" t="s">
        <v>124</v>
      </c>
    </row>
    <row r="15" spans="1:10" x14ac:dyDescent="0.35">
      <c r="C15" s="66" t="s">
        <v>26</v>
      </c>
      <c r="D15" s="77">
        <v>0.01</v>
      </c>
      <c r="E15" s="78"/>
      <c r="F15" s="69" t="s">
        <v>159</v>
      </c>
      <c r="J15" s="67"/>
    </row>
    <row r="16" spans="1:10" x14ac:dyDescent="0.35">
      <c r="C16" s="66" t="s">
        <v>185</v>
      </c>
      <c r="D16" s="77">
        <v>0</v>
      </c>
      <c r="E16" s="78"/>
      <c r="F16" s="69" t="s">
        <v>159</v>
      </c>
    </row>
    <row r="17" spans="2:17" x14ac:dyDescent="0.35">
      <c r="B17" s="67" t="s">
        <v>162</v>
      </c>
      <c r="D17" s="66"/>
      <c r="E17" s="66"/>
    </row>
    <row r="18" spans="2:17" x14ac:dyDescent="0.35">
      <c r="C18" s="66" t="s">
        <v>137</v>
      </c>
      <c r="D18" s="79">
        <f>Ref_Sheet!C18/Ref_Sheet!C72*Ref_Sheet!C71</f>
        <v>98.370749999999987</v>
      </c>
      <c r="E18" s="79"/>
      <c r="F18" s="69" t="s">
        <v>80</v>
      </c>
      <c r="J18" s="75"/>
    </row>
    <row r="19" spans="2:17" x14ac:dyDescent="0.35">
      <c r="C19" s="66" t="s">
        <v>3</v>
      </c>
      <c r="D19" s="80">
        <f>Ref_Sheet!C6</f>
        <v>6</v>
      </c>
      <c r="E19" s="80"/>
      <c r="F19" s="69" t="s">
        <v>43</v>
      </c>
    </row>
    <row r="20" spans="2:17" x14ac:dyDescent="0.35">
      <c r="C20" s="66" t="s">
        <v>158</v>
      </c>
      <c r="D20" s="80">
        <f>Ref_Sheet!C22</f>
        <v>8</v>
      </c>
      <c r="E20" s="80"/>
      <c r="F20" s="69" t="s">
        <v>43</v>
      </c>
    </row>
    <row r="21" spans="2:17" x14ac:dyDescent="0.35">
      <c r="C21" s="66" t="s">
        <v>9</v>
      </c>
      <c r="D21" s="81">
        <v>0.66659999999999997</v>
      </c>
      <c r="E21" s="81"/>
      <c r="F21" s="69" t="s">
        <v>189</v>
      </c>
    </row>
    <row r="22" spans="2:17" x14ac:dyDescent="0.35">
      <c r="B22" s="67" t="s">
        <v>163</v>
      </c>
    </row>
    <row r="23" spans="2:17" x14ac:dyDescent="0.35">
      <c r="C23" s="66" t="s">
        <v>160</v>
      </c>
      <c r="D23" s="82">
        <v>5.0000000000000001E-3</v>
      </c>
      <c r="F23" s="69" t="s">
        <v>159</v>
      </c>
    </row>
    <row r="24" spans="2:17" ht="17.25" customHeight="1" x14ac:dyDescent="0.35">
      <c r="C24" s="66" t="s">
        <v>4</v>
      </c>
      <c r="D24" s="83">
        <f>Ref_Sheet!C58/(8760*Ref_Sheet!C33)</f>
        <v>0.16875096569315068</v>
      </c>
      <c r="E24" s="83"/>
      <c r="F24" s="69" t="s">
        <v>109</v>
      </c>
      <c r="G24" s="137" t="s">
        <v>121</v>
      </c>
      <c r="H24" s="137"/>
      <c r="I24" s="137"/>
      <c r="J24" s="137"/>
      <c r="K24" s="137"/>
      <c r="L24" s="137"/>
      <c r="M24" s="84"/>
      <c r="N24" s="84"/>
      <c r="O24" s="84"/>
      <c r="P24" s="84"/>
      <c r="Q24" s="84"/>
    </row>
    <row r="25" spans="2:17" x14ac:dyDescent="0.35">
      <c r="C25" s="66" t="s">
        <v>7</v>
      </c>
      <c r="D25" s="85">
        <f>8760*D24*D23</f>
        <v>7.3912922973599997</v>
      </c>
      <c r="F25" s="69" t="s">
        <v>110</v>
      </c>
      <c r="G25" s="137"/>
      <c r="H25" s="137"/>
      <c r="I25" s="137"/>
      <c r="J25" s="137"/>
      <c r="K25" s="137"/>
      <c r="L25" s="137"/>
      <c r="M25" s="84"/>
      <c r="N25" s="84"/>
      <c r="O25" s="84"/>
      <c r="P25" s="84"/>
      <c r="Q25" s="84"/>
    </row>
    <row r="26" spans="2:17" x14ac:dyDescent="0.35">
      <c r="C26" s="66" t="s">
        <v>68</v>
      </c>
      <c r="D26" s="77">
        <v>0.01</v>
      </c>
      <c r="E26" s="86"/>
      <c r="F26" s="69" t="s">
        <v>159</v>
      </c>
      <c r="G26" s="137"/>
      <c r="H26" s="137"/>
      <c r="I26" s="137"/>
      <c r="J26" s="137"/>
      <c r="K26" s="137"/>
      <c r="L26" s="137"/>
      <c r="M26" s="84"/>
      <c r="N26" s="84"/>
      <c r="O26" s="84"/>
      <c r="P26" s="84"/>
      <c r="Q26" s="84"/>
    </row>
    <row r="27" spans="2:17" x14ac:dyDescent="0.35">
      <c r="C27" s="66" t="s">
        <v>75</v>
      </c>
      <c r="D27" s="82">
        <v>10</v>
      </c>
      <c r="E27" s="86"/>
      <c r="F27" s="69" t="s">
        <v>159</v>
      </c>
      <c r="G27" s="137"/>
      <c r="H27" s="137"/>
      <c r="I27" s="137"/>
      <c r="J27" s="137"/>
      <c r="K27" s="137"/>
      <c r="L27" s="137"/>
      <c r="M27" s="84"/>
      <c r="N27" s="84"/>
      <c r="O27" s="84"/>
      <c r="P27" s="84"/>
      <c r="Q27" s="84"/>
    </row>
    <row r="28" spans="2:17" x14ac:dyDescent="0.35">
      <c r="B28" s="67" t="s">
        <v>46</v>
      </c>
    </row>
    <row r="29" spans="2:17" x14ac:dyDescent="0.35">
      <c r="C29" s="66" t="s">
        <v>130</v>
      </c>
      <c r="D29" s="80">
        <v>60</v>
      </c>
      <c r="F29" s="69" t="s">
        <v>198</v>
      </c>
    </row>
    <row r="30" spans="2:17" x14ac:dyDescent="0.35">
      <c r="C30" s="66" t="s">
        <v>131</v>
      </c>
      <c r="D30" s="80"/>
      <c r="F30" s="69" t="s">
        <v>196</v>
      </c>
    </row>
    <row r="31" spans="2:17" x14ac:dyDescent="0.35">
      <c r="C31" s="66" t="s">
        <v>132</v>
      </c>
      <c r="D31" s="80"/>
      <c r="F31" s="69" t="s">
        <v>197</v>
      </c>
    </row>
    <row r="32" spans="2:17" x14ac:dyDescent="0.35">
      <c r="C32" s="66" t="s">
        <v>133</v>
      </c>
      <c r="D32" s="80"/>
      <c r="F32" s="69" t="s">
        <v>117</v>
      </c>
    </row>
    <row r="33" spans="3:6" x14ac:dyDescent="0.35">
      <c r="C33" s="66" t="s">
        <v>164</v>
      </c>
      <c r="D33" s="80"/>
      <c r="F33" s="69" t="s">
        <v>118</v>
      </c>
    </row>
    <row r="34" spans="3:6" x14ac:dyDescent="0.35">
      <c r="C34" s="66" t="s">
        <v>134</v>
      </c>
      <c r="D34" s="80"/>
      <c r="F34" s="69" t="s">
        <v>129</v>
      </c>
    </row>
    <row r="35" spans="3:6" x14ac:dyDescent="0.35">
      <c r="D35" s="80"/>
    </row>
    <row r="36" spans="3:6" x14ac:dyDescent="0.35">
      <c r="C36" s="66" t="s">
        <v>47</v>
      </c>
      <c r="D36" s="80">
        <f>SUM(D29+D33+D34)</f>
        <v>60</v>
      </c>
      <c r="F36" s="69" t="s">
        <v>165</v>
      </c>
    </row>
    <row r="37" spans="3:6" x14ac:dyDescent="0.35">
      <c r="C37" s="66" t="s">
        <v>48</v>
      </c>
      <c r="D37" s="80">
        <f>SUM(D30:D32)</f>
        <v>0</v>
      </c>
      <c r="F37" s="69" t="s">
        <v>119</v>
      </c>
    </row>
    <row r="38" spans="3:6" x14ac:dyDescent="0.35">
      <c r="C38" s="66" t="s">
        <v>49</v>
      </c>
      <c r="D38" s="80">
        <f>SUM(D36:D37)</f>
        <v>60</v>
      </c>
      <c r="F38" s="69" t="s">
        <v>120</v>
      </c>
    </row>
    <row r="39" spans="3:6" x14ac:dyDescent="0.35">
      <c r="D39" s="87"/>
    </row>
    <row r="40" spans="3:6" x14ac:dyDescent="0.35">
      <c r="D40" s="88"/>
    </row>
    <row r="50" spans="4:4" x14ac:dyDescent="0.35">
      <c r="D50" s="89"/>
    </row>
    <row r="51" spans="4:4" x14ac:dyDescent="0.35">
      <c r="D51" s="80"/>
    </row>
    <row r="52" spans="4:4" x14ac:dyDescent="0.35">
      <c r="D52" s="87"/>
    </row>
    <row r="53" spans="4:4" x14ac:dyDescent="0.35">
      <c r="D53" s="87"/>
    </row>
    <row r="54" spans="4:4" x14ac:dyDescent="0.35">
      <c r="D54" s="87"/>
    </row>
    <row r="55" spans="4:4" x14ac:dyDescent="0.35">
      <c r="D55" s="90"/>
    </row>
  </sheetData>
  <scenarios current="2" show="0">
    <scenario name="Default" locked="1" count="11" user="Melissa Whited" comment="Default assumptions_x000a_Modified by Melissa Whited on 7/15/2015">
      <inputCells r="D15" val="0.01" numFmtId="164"/>
      <inputCells r="D16" val="0" numFmtId="164"/>
      <inputCells r="D23" val="0.005"/>
      <inputCells r="D26" val="0.005" numFmtId="164"/>
      <inputCells r="D27" val="10"/>
      <inputCells r="D29" val="56"/>
      <inputCells r="D30" val="14"/>
      <inputCells r="D31" val="11"/>
      <inputCells r="D32" val="0" numFmtId="6"/>
      <inputCells r="D33" val="9"/>
      <inputCells r="D34" val="0" numFmtId="6"/>
    </scenario>
    <scenario name="Low_Avoided_Energy" count="11" user="Melissa Whited" comment="Created by Melissa Whited on 7/15/2015_x000a_Modified by Melissa Whited on 7/15/2015">
      <inputCells r="D15" val="0.01" numFmtId="164"/>
      <inputCells r="D16" val="0" numFmtId="164"/>
      <inputCells r="D23" val="0.005"/>
      <inputCells r="D26" val="0.005" numFmtId="164"/>
      <inputCells r="D27" val="10"/>
      <inputCells r="D29" val="25"/>
      <inputCells r="D30" val="14"/>
      <inputCells r="D31" val="11"/>
      <inputCells r="D32" val="0" numFmtId="6"/>
      <inputCells r="D33" val="9"/>
      <inputCells r="D34" val="0" numFmtId="6"/>
    </scenario>
    <scenario name="Low_Avoided_Costs_High_Usage_Growth" count="11" user="Melissa Whited" comment="Usage growth of 3% per year per customer. $20/MWh energy avoided costs, $5/MWh avoided generation, $5/MWh transmission avoided costs.">
      <inputCells r="D15" val="0.01" numFmtId="164"/>
      <inputCells r="D16" val="0.03" numFmtId="164"/>
      <inputCells r="D23" val="0.005"/>
      <inputCells r="D26" val="0.005" numFmtId="164"/>
      <inputCells r="D27" val="10"/>
      <inputCells r="D29" val="20"/>
      <inputCells r="D30" val="5"/>
      <inputCells r="D31" val="5"/>
      <inputCells r="D32" val="0" numFmtId="6"/>
      <inputCells r="D33" val="0"/>
      <inputCells r="D34" val="0" numFmtId="6"/>
    </scenario>
    <scenario name="Low_Avoided_Costs_Low_Usage_Growth" locked="1" count="11" user="Melissa Whited" comment="Usage Growth Rate of 0%, $20/MWh avoided energy, $5/MWh avoided gen, $5/MWh avoided Tx. No other avoided costs.">
      <inputCells r="D15" val="0.01" numFmtId="164"/>
      <inputCells r="D16" val="0" numFmtId="164"/>
      <inputCells r="D23" val="0.005"/>
      <inputCells r="D26" val="0.005" numFmtId="164"/>
      <inputCells r="D27" val="10"/>
      <inputCells r="D29" val="20" numFmtId="6"/>
      <inputCells r="D30" val="5" numFmtId="6"/>
      <inputCells r="D31" val="5" numFmtId="6"/>
      <inputCells r="D32" val="0" numFmtId="6"/>
      <inputCells r="D33" val="0" numFmtId="6"/>
      <inputCells r="D34" val="0" numFmtId="6"/>
    </scenario>
  </scenarios>
  <mergeCells count="1">
    <mergeCell ref="G24:L27"/>
  </mergeCells>
  <phoneticPr fontId="0" type="noConversion"/>
  <conditionalFormatting sqref="G24">
    <cfRule type="expression" dxfId="0" priority="1">
      <formula>$D$25&gt;$D$14</formula>
    </cfRule>
  </conditionalFormatting>
  <printOptions gridLines="1"/>
  <pageMargins left="0.5" right="0.5" top="0.5" bottom="0.5" header="0.25" footer="0.25"/>
  <pageSetup scale="62" orientation="landscape" r:id="rId1"/>
  <headerFooter alignWithMargins="0">
    <oddHeader xml:space="preserve">&amp;RDocket 14-035-114
Exhibit TW -5
</oddHeader>
    <oddFooter>&amp;R&amp;A Page &amp;P/&amp;N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105"/>
  <sheetViews>
    <sheetView showGridLines="0" tabSelected="1" view="pageLayout" zoomScale="70" zoomScaleNormal="70" zoomScaleSheetLayoutView="115" zoomScalePageLayoutView="70" workbookViewId="0">
      <selection activeCell="E4" sqref="E4"/>
    </sheetView>
  </sheetViews>
  <sheetFormatPr defaultColWidth="9.140625" defaultRowHeight="17.25" x14ac:dyDescent="0.35"/>
  <cols>
    <col min="1" max="1" width="3.5703125" style="86" customWidth="1"/>
    <col min="2" max="2" width="39.7109375" style="86" hidden="1" customWidth="1"/>
    <col min="3" max="3" width="5.42578125" style="86" customWidth="1"/>
    <col min="4" max="4" width="44.42578125" style="86" customWidth="1"/>
    <col min="5" max="5" width="19.42578125" style="68" bestFit="1" customWidth="1"/>
    <col min="6" max="24" width="19.28515625" style="68" bestFit="1" customWidth="1"/>
    <col min="25" max="25" width="13.28515625" style="66" customWidth="1"/>
    <col min="26" max="26" width="12.140625" style="66" customWidth="1"/>
    <col min="27" max="16384" width="9.140625" style="66"/>
  </cols>
  <sheetData>
    <row r="1" spans="1:31" x14ac:dyDescent="0.35">
      <c r="A1" s="98"/>
      <c r="B1" s="99" t="s">
        <v>71</v>
      </c>
      <c r="C1" s="98"/>
      <c r="D1" s="98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  <c r="Z1" s="101"/>
      <c r="AA1" s="101"/>
      <c r="AB1" s="101"/>
      <c r="AC1" s="101"/>
      <c r="AD1" s="101"/>
      <c r="AE1" s="101"/>
    </row>
    <row r="2" spans="1:31" s="104" customFormat="1" x14ac:dyDescent="0.35">
      <c r="A2" s="102"/>
      <c r="B2" s="102"/>
      <c r="C2" s="102"/>
      <c r="D2" s="102"/>
      <c r="E2" s="134">
        <v>2015</v>
      </c>
      <c r="F2" s="135">
        <v>2016</v>
      </c>
      <c r="G2" s="135">
        <v>2017</v>
      </c>
      <c r="H2" s="135">
        <v>2018</v>
      </c>
      <c r="I2" s="135">
        <v>2019</v>
      </c>
      <c r="J2" s="135">
        <v>2020</v>
      </c>
      <c r="K2" s="135">
        <v>2021</v>
      </c>
      <c r="L2" s="135">
        <v>2022</v>
      </c>
      <c r="M2" s="135">
        <v>2023</v>
      </c>
      <c r="N2" s="135">
        <v>2024</v>
      </c>
      <c r="O2" s="135">
        <v>2025</v>
      </c>
      <c r="P2" s="135">
        <v>2026</v>
      </c>
      <c r="Q2" s="135">
        <v>2027</v>
      </c>
      <c r="R2" s="135">
        <v>2028</v>
      </c>
      <c r="S2" s="135">
        <v>2029</v>
      </c>
      <c r="T2" s="135">
        <v>2030</v>
      </c>
      <c r="U2" s="135">
        <v>2031</v>
      </c>
      <c r="V2" s="135">
        <v>2032</v>
      </c>
      <c r="W2" s="135">
        <v>2033</v>
      </c>
      <c r="X2" s="136">
        <v>2034</v>
      </c>
      <c r="Y2" s="103"/>
      <c r="Z2" s="103"/>
      <c r="AA2" s="103"/>
      <c r="AB2" s="103"/>
      <c r="AC2" s="103"/>
      <c r="AD2" s="103"/>
      <c r="AE2" s="103"/>
    </row>
    <row r="3" spans="1:31" s="104" customFormat="1" x14ac:dyDescent="0.35">
      <c r="A3" s="102"/>
      <c r="B3" s="102"/>
      <c r="C3" s="19" t="s">
        <v>125</v>
      </c>
      <c r="D3" s="20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3"/>
      <c r="Z3" s="103"/>
      <c r="AA3" s="103"/>
      <c r="AB3" s="103"/>
      <c r="AC3" s="103"/>
      <c r="AD3" s="103"/>
      <c r="AE3" s="103"/>
    </row>
    <row r="4" spans="1:31" x14ac:dyDescent="0.35">
      <c r="A4" s="98"/>
      <c r="B4" s="98" t="s">
        <v>33</v>
      </c>
      <c r="C4" s="99"/>
      <c r="D4" s="98" t="s">
        <v>27</v>
      </c>
      <c r="E4" s="106">
        <f>Inputs!$D$13</f>
        <v>733917</v>
      </c>
      <c r="F4" s="106">
        <f>E4*(1+Inputs!$D$15)</f>
        <v>741256.17</v>
      </c>
      <c r="G4" s="106">
        <f>F4*(1+Inputs!$D$15)</f>
        <v>748668.7317</v>
      </c>
      <c r="H4" s="106">
        <f>G4*(1+Inputs!$D$15)</f>
        <v>756155.41901700001</v>
      </c>
      <c r="I4" s="106">
        <f>H4*(1+Inputs!$D$15)</f>
        <v>763716.97320717003</v>
      </c>
      <c r="J4" s="106">
        <f>I4*(1+Inputs!$D$15)</f>
        <v>771354.14293924172</v>
      </c>
      <c r="K4" s="106">
        <f>J4*(1+Inputs!$D$15)</f>
        <v>779067.68436863413</v>
      </c>
      <c r="L4" s="106">
        <f>K4*(1+Inputs!$D$15)</f>
        <v>786858.36121232051</v>
      </c>
      <c r="M4" s="106">
        <f>L4*(1+Inputs!$D$15)</f>
        <v>794726.94482444366</v>
      </c>
      <c r="N4" s="106">
        <f>M4*(1+Inputs!$D$15)</f>
        <v>802674.21427268814</v>
      </c>
      <c r="O4" s="106">
        <f>N4*(1+Inputs!$D$15)</f>
        <v>810700.95641541504</v>
      </c>
      <c r="P4" s="106">
        <f>O4*(1+Inputs!$D$15)</f>
        <v>818807.96597956924</v>
      </c>
      <c r="Q4" s="106">
        <f>P4*(1+Inputs!$D$15)</f>
        <v>826996.04563936498</v>
      </c>
      <c r="R4" s="106">
        <f>Q4*(1+Inputs!$D$15)</f>
        <v>835266.00609575864</v>
      </c>
      <c r="S4" s="106">
        <f>R4*(1+Inputs!$D$15)</f>
        <v>843618.66615671618</v>
      </c>
      <c r="T4" s="106">
        <f>S4*(1+Inputs!$D$15)</f>
        <v>852054.85281828337</v>
      </c>
      <c r="U4" s="106">
        <f>T4*(1+Inputs!$D$15)</f>
        <v>860575.40134646615</v>
      </c>
      <c r="V4" s="106">
        <f>U4*(1+Inputs!$D$15)</f>
        <v>869181.15535993082</v>
      </c>
      <c r="W4" s="106">
        <f>V4*(1+Inputs!$D$15)</f>
        <v>877872.96691353014</v>
      </c>
      <c r="X4" s="106">
        <f>W4*(1+Inputs!$D$15)</f>
        <v>886651.69658266543</v>
      </c>
      <c r="Y4" s="101"/>
      <c r="Z4" s="101"/>
      <c r="AA4" s="101"/>
      <c r="AB4" s="101"/>
      <c r="AC4" s="101"/>
      <c r="AD4" s="101"/>
      <c r="AE4" s="101"/>
    </row>
    <row r="5" spans="1:31" x14ac:dyDescent="0.35">
      <c r="A5" s="98"/>
      <c r="B5" s="98" t="s">
        <v>32</v>
      </c>
      <c r="C5" s="99"/>
      <c r="D5" s="98" t="s">
        <v>187</v>
      </c>
      <c r="E5" s="107">
        <f>Inputs!$D$14</f>
        <v>9.5061948421960523</v>
      </c>
      <c r="F5" s="107">
        <f>E5*(1+Inputs!$D$16)</f>
        <v>9.5061948421960523</v>
      </c>
      <c r="G5" s="107">
        <f>F5*(1+Inputs!$D$16)</f>
        <v>9.5061948421960523</v>
      </c>
      <c r="H5" s="107">
        <f>G5*(1+Inputs!$D$16)</f>
        <v>9.5061948421960523</v>
      </c>
      <c r="I5" s="107">
        <f>H5*(1+Inputs!$D$16)</f>
        <v>9.5061948421960523</v>
      </c>
      <c r="J5" s="107">
        <f>I5*(1+Inputs!$D$16)</f>
        <v>9.5061948421960523</v>
      </c>
      <c r="K5" s="107">
        <f>J5*(1+Inputs!$D$16)</f>
        <v>9.5061948421960523</v>
      </c>
      <c r="L5" s="107">
        <f>K5*(1+Inputs!$D$16)</f>
        <v>9.5061948421960523</v>
      </c>
      <c r="M5" s="107">
        <f>L5*(1+Inputs!$D$16)</f>
        <v>9.5061948421960523</v>
      </c>
      <c r="N5" s="107">
        <f>M5*(1+Inputs!$D$16)</f>
        <v>9.5061948421960523</v>
      </c>
      <c r="O5" s="107">
        <f>N5*(1+Inputs!$D$16)</f>
        <v>9.5061948421960523</v>
      </c>
      <c r="P5" s="107">
        <f>O5*(1+Inputs!$D$16)</f>
        <v>9.5061948421960523</v>
      </c>
      <c r="Q5" s="107">
        <f>P5*(1+Inputs!$D$16)</f>
        <v>9.5061948421960523</v>
      </c>
      <c r="R5" s="107">
        <f>Q5*(1+Inputs!$D$16)</f>
        <v>9.5061948421960523</v>
      </c>
      <c r="S5" s="107">
        <f>R5*(1+Inputs!$D$16)</f>
        <v>9.5061948421960523</v>
      </c>
      <c r="T5" s="107">
        <f>S5*(1+Inputs!$D$16)</f>
        <v>9.5061948421960523</v>
      </c>
      <c r="U5" s="107">
        <f>T5*(1+Inputs!$D$16)</f>
        <v>9.5061948421960523</v>
      </c>
      <c r="V5" s="107">
        <f>U5*(1+Inputs!$D$16)</f>
        <v>9.5061948421960523</v>
      </c>
      <c r="W5" s="107">
        <f>V5*(1+Inputs!$D$16)</f>
        <v>9.5061948421960523</v>
      </c>
      <c r="X5" s="107">
        <f>W5*(1+Inputs!$D$16)</f>
        <v>9.5061948421960523</v>
      </c>
      <c r="Y5" s="101"/>
      <c r="Z5" s="101"/>
      <c r="AA5" s="101"/>
      <c r="AB5" s="101"/>
      <c r="AC5" s="101"/>
      <c r="AD5" s="101"/>
      <c r="AE5" s="101"/>
    </row>
    <row r="6" spans="1:31" x14ac:dyDescent="0.35">
      <c r="A6" s="98"/>
      <c r="B6" s="98"/>
      <c r="C6" s="99"/>
      <c r="D6" s="98" t="s">
        <v>186</v>
      </c>
      <c r="E6" s="106">
        <f>E5*E4</f>
        <v>6976758</v>
      </c>
      <c r="F6" s="106">
        <f>F5*F4</f>
        <v>7046525.5800000001</v>
      </c>
      <c r="G6" s="106">
        <f t="shared" ref="G6:X6" si="0">G5*G4</f>
        <v>7116990.8358000005</v>
      </c>
      <c r="H6" s="106">
        <f t="shared" si="0"/>
        <v>7188160.7441579998</v>
      </c>
      <c r="I6" s="106">
        <f t="shared" si="0"/>
        <v>7260042.3515995806</v>
      </c>
      <c r="J6" s="106">
        <f t="shared" si="0"/>
        <v>7332642.7751155756</v>
      </c>
      <c r="K6" s="106">
        <f t="shared" si="0"/>
        <v>7405969.2028667321</v>
      </c>
      <c r="L6" s="106">
        <f t="shared" si="0"/>
        <v>7480028.8948953999</v>
      </c>
      <c r="M6" s="106">
        <f t="shared" si="0"/>
        <v>7554829.1838443531</v>
      </c>
      <c r="N6" s="106">
        <f t="shared" si="0"/>
        <v>7630377.4756827969</v>
      </c>
      <c r="O6" s="106">
        <f t="shared" si="0"/>
        <v>7706681.2504396252</v>
      </c>
      <c r="P6" s="106">
        <f t="shared" si="0"/>
        <v>7783748.062944022</v>
      </c>
      <c r="Q6" s="106">
        <f t="shared" si="0"/>
        <v>7861585.5435734624</v>
      </c>
      <c r="R6" s="106">
        <f t="shared" si="0"/>
        <v>7940201.399009197</v>
      </c>
      <c r="S6" s="106">
        <f t="shared" si="0"/>
        <v>8019603.4129992891</v>
      </c>
      <c r="T6" s="106">
        <f t="shared" si="0"/>
        <v>8099799.4471292822</v>
      </c>
      <c r="U6" s="106">
        <f t="shared" si="0"/>
        <v>8180797.4416005742</v>
      </c>
      <c r="V6" s="106">
        <f t="shared" si="0"/>
        <v>8262605.4160165796</v>
      </c>
      <c r="W6" s="106">
        <f t="shared" si="0"/>
        <v>8345231.4701767461</v>
      </c>
      <c r="X6" s="106">
        <f t="shared" si="0"/>
        <v>8428683.7848785128</v>
      </c>
      <c r="Y6" s="101"/>
      <c r="Z6" s="101"/>
      <c r="AA6" s="101"/>
      <c r="AB6" s="101"/>
      <c r="AC6" s="101"/>
      <c r="AD6" s="101"/>
      <c r="AE6" s="101"/>
    </row>
    <row r="7" spans="1:31" s="104" customFormat="1" x14ac:dyDescent="0.35">
      <c r="A7" s="102"/>
      <c r="B7" s="102"/>
      <c r="C7" s="102"/>
      <c r="D7" s="102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3"/>
      <c r="Z7" s="103"/>
      <c r="AA7" s="103"/>
      <c r="AB7" s="103"/>
      <c r="AC7" s="103"/>
      <c r="AD7" s="103"/>
      <c r="AE7" s="103"/>
    </row>
    <row r="8" spans="1:31" x14ac:dyDescent="0.35">
      <c r="A8" s="98"/>
      <c r="B8" s="108" t="s">
        <v>29</v>
      </c>
      <c r="C8" s="19" t="s">
        <v>30</v>
      </c>
      <c r="D8" s="2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  <c r="Z8" s="101"/>
      <c r="AA8" s="101"/>
      <c r="AB8" s="101"/>
      <c r="AC8" s="101"/>
      <c r="AD8" s="101"/>
      <c r="AE8" s="101"/>
    </row>
    <row r="9" spans="1:31" x14ac:dyDescent="0.35">
      <c r="A9" s="98"/>
      <c r="B9" s="109" t="s">
        <v>31</v>
      </c>
      <c r="C9" s="99" t="s">
        <v>55</v>
      </c>
      <c r="D9" s="9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  <c r="Z9" s="101"/>
      <c r="AA9" s="101"/>
      <c r="AB9" s="101"/>
      <c r="AC9" s="101"/>
      <c r="AD9" s="101"/>
      <c r="AE9" s="101"/>
    </row>
    <row r="10" spans="1:31" x14ac:dyDescent="0.35">
      <c r="A10" s="98"/>
      <c r="B10" s="98" t="s">
        <v>34</v>
      </c>
      <c r="C10" s="98"/>
      <c r="D10" s="98" t="s">
        <v>146</v>
      </c>
      <c r="E10" s="106">
        <f>E6</f>
        <v>6976758</v>
      </c>
      <c r="F10" s="106">
        <f t="shared" ref="F10:X10" si="1">F6</f>
        <v>7046525.5800000001</v>
      </c>
      <c r="G10" s="106">
        <f t="shared" si="1"/>
        <v>7116990.8358000005</v>
      </c>
      <c r="H10" s="106">
        <f t="shared" si="1"/>
        <v>7188160.7441579998</v>
      </c>
      <c r="I10" s="106">
        <f t="shared" si="1"/>
        <v>7260042.3515995806</v>
      </c>
      <c r="J10" s="106">
        <f t="shared" si="1"/>
        <v>7332642.7751155756</v>
      </c>
      <c r="K10" s="106">
        <f t="shared" si="1"/>
        <v>7405969.2028667321</v>
      </c>
      <c r="L10" s="106">
        <f t="shared" si="1"/>
        <v>7480028.8948953999</v>
      </c>
      <c r="M10" s="106">
        <f t="shared" si="1"/>
        <v>7554829.1838443531</v>
      </c>
      <c r="N10" s="106">
        <f t="shared" si="1"/>
        <v>7630377.4756827969</v>
      </c>
      <c r="O10" s="106">
        <f t="shared" si="1"/>
        <v>7706681.2504396252</v>
      </c>
      <c r="P10" s="106">
        <f t="shared" si="1"/>
        <v>7783748.062944022</v>
      </c>
      <c r="Q10" s="106">
        <f t="shared" si="1"/>
        <v>7861585.5435734624</v>
      </c>
      <c r="R10" s="106">
        <f t="shared" si="1"/>
        <v>7940201.399009197</v>
      </c>
      <c r="S10" s="106">
        <f t="shared" si="1"/>
        <v>8019603.4129992891</v>
      </c>
      <c r="T10" s="106">
        <f t="shared" si="1"/>
        <v>8099799.4471292822</v>
      </c>
      <c r="U10" s="106">
        <f t="shared" si="1"/>
        <v>8180797.4416005742</v>
      </c>
      <c r="V10" s="106">
        <f t="shared" si="1"/>
        <v>8262605.4160165796</v>
      </c>
      <c r="W10" s="106">
        <f t="shared" si="1"/>
        <v>8345231.4701767461</v>
      </c>
      <c r="X10" s="106">
        <f t="shared" si="1"/>
        <v>8428683.7848785128</v>
      </c>
      <c r="Y10" s="101"/>
      <c r="Z10" s="101"/>
      <c r="AA10" s="101"/>
      <c r="AB10" s="101"/>
      <c r="AC10" s="101"/>
      <c r="AD10" s="101"/>
      <c r="AE10" s="101"/>
    </row>
    <row r="11" spans="1:31" x14ac:dyDescent="0.35">
      <c r="A11" s="98"/>
      <c r="B11" s="98"/>
      <c r="C11" s="99" t="s">
        <v>8</v>
      </c>
      <c r="D11" s="98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  <c r="Z11" s="101"/>
      <c r="AA11" s="101"/>
      <c r="AB11" s="101"/>
      <c r="AC11" s="101"/>
      <c r="AD11" s="101"/>
      <c r="AE11" s="101"/>
    </row>
    <row r="12" spans="1:31" x14ac:dyDescent="0.35">
      <c r="A12" s="98"/>
      <c r="B12" s="98" t="s">
        <v>60</v>
      </c>
      <c r="C12" s="98"/>
      <c r="D12" s="98" t="s">
        <v>147</v>
      </c>
      <c r="E12" s="110">
        <f>Inputs!$D$18*(1-Inputs!$D$21)</f>
        <v>32.796808049999996</v>
      </c>
      <c r="F12" s="110">
        <f>Inputs!$D$18*(1-Inputs!$D$21)</f>
        <v>32.796808049999996</v>
      </c>
      <c r="G12" s="110">
        <f>Inputs!$D$18*(1-Inputs!$D$21)</f>
        <v>32.796808049999996</v>
      </c>
      <c r="H12" s="110">
        <f>Inputs!$D$18*(1-Inputs!$D$21)</f>
        <v>32.796808049999996</v>
      </c>
      <c r="I12" s="110">
        <f>Inputs!$D$18*(1-Inputs!$D$21)</f>
        <v>32.796808049999996</v>
      </c>
      <c r="J12" s="110">
        <f>Inputs!$D$18*(1-Inputs!$D$21)</f>
        <v>32.796808049999996</v>
      </c>
      <c r="K12" s="110">
        <f>Inputs!$D$18*(1-Inputs!$D$21)</f>
        <v>32.796808049999996</v>
      </c>
      <c r="L12" s="110">
        <f>Inputs!$D$18*(1-Inputs!$D$21)</f>
        <v>32.796808049999996</v>
      </c>
      <c r="M12" s="110">
        <f>Inputs!$D$18*(1-Inputs!$D$21)</f>
        <v>32.796808049999996</v>
      </c>
      <c r="N12" s="110">
        <f>Inputs!$D$18*(1-Inputs!$D$21)</f>
        <v>32.796808049999996</v>
      </c>
      <c r="O12" s="110">
        <f>Inputs!$D$18*(1-Inputs!$D$21)</f>
        <v>32.796808049999996</v>
      </c>
      <c r="P12" s="110">
        <f>Inputs!$D$18*(1-Inputs!$D$21)</f>
        <v>32.796808049999996</v>
      </c>
      <c r="Q12" s="110">
        <f>Inputs!$D$18*(1-Inputs!$D$21)</f>
        <v>32.796808049999996</v>
      </c>
      <c r="R12" s="110">
        <f>Inputs!$D$18*(1-Inputs!$D$21)</f>
        <v>32.796808049999996</v>
      </c>
      <c r="S12" s="110">
        <f>Inputs!$D$18*(1-Inputs!$D$21)</f>
        <v>32.796808049999996</v>
      </c>
      <c r="T12" s="110">
        <f>Inputs!$D$18*(1-Inputs!$D$21)</f>
        <v>32.796808049999996</v>
      </c>
      <c r="U12" s="110">
        <f>Inputs!$D$18*(1-Inputs!$D$21)</f>
        <v>32.796808049999996</v>
      </c>
      <c r="V12" s="110">
        <f>Inputs!$D$18*(1-Inputs!$D$21)</f>
        <v>32.796808049999996</v>
      </c>
      <c r="W12" s="110">
        <f>Inputs!$D$18*(1-Inputs!$D$21)</f>
        <v>32.796808049999996</v>
      </c>
      <c r="X12" s="110">
        <f>Inputs!$D$18*(1-Inputs!$D$21)</f>
        <v>32.796808049999996</v>
      </c>
      <c r="Y12" s="101"/>
      <c r="Z12" s="101"/>
      <c r="AA12" s="101"/>
      <c r="AB12" s="101"/>
      <c r="AC12" s="101"/>
      <c r="AD12" s="101"/>
      <c r="AE12" s="101"/>
    </row>
    <row r="13" spans="1:31" x14ac:dyDescent="0.35">
      <c r="A13" s="98"/>
      <c r="B13" s="98" t="s">
        <v>62</v>
      </c>
      <c r="C13" s="98"/>
      <c r="D13" s="98" t="s">
        <v>148</v>
      </c>
      <c r="E13" s="110">
        <f>Inputs!$D$18*(Inputs!$D$21)</f>
        <v>65.573941949999991</v>
      </c>
      <c r="F13" s="110">
        <f>Inputs!$D$18*(Inputs!$D$21)</f>
        <v>65.573941949999991</v>
      </c>
      <c r="G13" s="110">
        <f>Inputs!$D$18*(Inputs!$D$21)</f>
        <v>65.573941949999991</v>
      </c>
      <c r="H13" s="110">
        <f>Inputs!$D$18*(Inputs!$D$21)</f>
        <v>65.573941949999991</v>
      </c>
      <c r="I13" s="110">
        <f>Inputs!$D$18*(Inputs!$D$21)</f>
        <v>65.573941949999991</v>
      </c>
      <c r="J13" s="110">
        <f>Inputs!$D$18*(Inputs!$D$21)</f>
        <v>65.573941949999991</v>
      </c>
      <c r="K13" s="110">
        <f>Inputs!$D$18*(Inputs!$D$21)</f>
        <v>65.573941949999991</v>
      </c>
      <c r="L13" s="110">
        <f>Inputs!$D$18*(Inputs!$D$21)</f>
        <v>65.573941949999991</v>
      </c>
      <c r="M13" s="110">
        <f>Inputs!$D$18*(Inputs!$D$21)</f>
        <v>65.573941949999991</v>
      </c>
      <c r="N13" s="110">
        <f>Inputs!$D$18*(Inputs!$D$21)</f>
        <v>65.573941949999991</v>
      </c>
      <c r="O13" s="110">
        <f>Inputs!$D$18*(Inputs!$D$21)</f>
        <v>65.573941949999991</v>
      </c>
      <c r="P13" s="110">
        <f>Inputs!$D$18*(Inputs!$D$21)</f>
        <v>65.573941949999991</v>
      </c>
      <c r="Q13" s="110">
        <f>Inputs!$D$18*(Inputs!$D$21)</f>
        <v>65.573941949999991</v>
      </c>
      <c r="R13" s="110">
        <f>Inputs!$D$18*(Inputs!$D$21)</f>
        <v>65.573941949999991</v>
      </c>
      <c r="S13" s="110">
        <f>Inputs!$D$18*(Inputs!$D$21)</f>
        <v>65.573941949999991</v>
      </c>
      <c r="T13" s="110">
        <f>Inputs!$D$18*(Inputs!$D$21)</f>
        <v>65.573941949999991</v>
      </c>
      <c r="U13" s="110">
        <f>Inputs!$D$18*(Inputs!$D$21)</f>
        <v>65.573941949999991</v>
      </c>
      <c r="V13" s="110">
        <f>Inputs!$D$18*(Inputs!$D$21)</f>
        <v>65.573941949999991</v>
      </c>
      <c r="W13" s="110">
        <f>Inputs!$D$18*(Inputs!$D$21)</f>
        <v>65.573941949999991</v>
      </c>
      <c r="X13" s="110">
        <f>Inputs!$D$18*(Inputs!$D$21)</f>
        <v>65.573941949999991</v>
      </c>
      <c r="Y13" s="101"/>
      <c r="Z13" s="101"/>
      <c r="AA13" s="101"/>
      <c r="AB13" s="101"/>
      <c r="AC13" s="101"/>
      <c r="AD13" s="101"/>
      <c r="AE13" s="101"/>
    </row>
    <row r="14" spans="1:31" x14ac:dyDescent="0.35">
      <c r="A14" s="98"/>
      <c r="B14" s="98" t="s">
        <v>63</v>
      </c>
      <c r="C14" s="98"/>
      <c r="D14" s="98" t="s">
        <v>149</v>
      </c>
      <c r="E14" s="110">
        <f>E12+E13</f>
        <v>98.370749999999987</v>
      </c>
      <c r="F14" s="110">
        <f t="shared" ref="F14:X14" si="2">F12+F13</f>
        <v>98.370749999999987</v>
      </c>
      <c r="G14" s="110">
        <f t="shared" si="2"/>
        <v>98.370749999999987</v>
      </c>
      <c r="H14" s="110">
        <f t="shared" si="2"/>
        <v>98.370749999999987</v>
      </c>
      <c r="I14" s="110">
        <f t="shared" si="2"/>
        <v>98.370749999999987</v>
      </c>
      <c r="J14" s="110">
        <f t="shared" si="2"/>
        <v>98.370749999999987</v>
      </c>
      <c r="K14" s="110">
        <f t="shared" si="2"/>
        <v>98.370749999999987</v>
      </c>
      <c r="L14" s="110">
        <f t="shared" si="2"/>
        <v>98.370749999999987</v>
      </c>
      <c r="M14" s="110">
        <f t="shared" si="2"/>
        <v>98.370749999999987</v>
      </c>
      <c r="N14" s="110">
        <f t="shared" si="2"/>
        <v>98.370749999999987</v>
      </c>
      <c r="O14" s="110">
        <f t="shared" si="2"/>
        <v>98.370749999999987</v>
      </c>
      <c r="P14" s="110">
        <f t="shared" si="2"/>
        <v>98.370749999999987</v>
      </c>
      <c r="Q14" s="110">
        <f t="shared" si="2"/>
        <v>98.370749999999987</v>
      </c>
      <c r="R14" s="110">
        <f t="shared" si="2"/>
        <v>98.370749999999987</v>
      </c>
      <c r="S14" s="110">
        <f t="shared" si="2"/>
        <v>98.370749999999987</v>
      </c>
      <c r="T14" s="110">
        <f t="shared" si="2"/>
        <v>98.370749999999987</v>
      </c>
      <c r="U14" s="110">
        <f t="shared" si="2"/>
        <v>98.370749999999987</v>
      </c>
      <c r="V14" s="110">
        <f t="shared" si="2"/>
        <v>98.370749999999987</v>
      </c>
      <c r="W14" s="110">
        <f t="shared" si="2"/>
        <v>98.370749999999987</v>
      </c>
      <c r="X14" s="110">
        <f t="shared" si="2"/>
        <v>98.370749999999987</v>
      </c>
      <c r="Y14" s="101"/>
      <c r="Z14" s="101"/>
      <c r="AA14" s="101"/>
      <c r="AB14" s="101"/>
      <c r="AC14" s="101"/>
      <c r="AD14" s="101"/>
      <c r="AE14" s="101"/>
    </row>
    <row r="15" spans="1:31" x14ac:dyDescent="0.35">
      <c r="A15" s="98"/>
      <c r="B15" s="98" t="s">
        <v>40</v>
      </c>
      <c r="C15" s="98"/>
      <c r="D15" s="98" t="s">
        <v>3</v>
      </c>
      <c r="E15" s="111">
        <f>Ref_Sheet!$C$6</f>
        <v>6</v>
      </c>
      <c r="F15" s="111">
        <f>Ref_Sheet!$C$6</f>
        <v>6</v>
      </c>
      <c r="G15" s="111">
        <f>Ref_Sheet!$C$6</f>
        <v>6</v>
      </c>
      <c r="H15" s="111">
        <f>Ref_Sheet!$C$6</f>
        <v>6</v>
      </c>
      <c r="I15" s="111">
        <f>Ref_Sheet!$C$6</f>
        <v>6</v>
      </c>
      <c r="J15" s="111">
        <f>Ref_Sheet!$C$6</f>
        <v>6</v>
      </c>
      <c r="K15" s="111">
        <f>Ref_Sheet!$C$6</f>
        <v>6</v>
      </c>
      <c r="L15" s="111">
        <f>Ref_Sheet!$C$6</f>
        <v>6</v>
      </c>
      <c r="M15" s="111">
        <f>Ref_Sheet!$C$6</f>
        <v>6</v>
      </c>
      <c r="N15" s="111">
        <f>Ref_Sheet!$C$6</f>
        <v>6</v>
      </c>
      <c r="O15" s="111">
        <f>Ref_Sheet!$C$6</f>
        <v>6</v>
      </c>
      <c r="P15" s="111">
        <f>Ref_Sheet!$C$6</f>
        <v>6</v>
      </c>
      <c r="Q15" s="111">
        <f>Ref_Sheet!$C$6</f>
        <v>6</v>
      </c>
      <c r="R15" s="111">
        <f>Ref_Sheet!$C$6</f>
        <v>6</v>
      </c>
      <c r="S15" s="111">
        <f>Ref_Sheet!$C$6</f>
        <v>6</v>
      </c>
      <c r="T15" s="111">
        <f>Ref_Sheet!$C$6</f>
        <v>6</v>
      </c>
      <c r="U15" s="111">
        <f>Ref_Sheet!$C$6</f>
        <v>6</v>
      </c>
      <c r="V15" s="111">
        <f>Ref_Sheet!$C$6</f>
        <v>6</v>
      </c>
      <c r="W15" s="111">
        <f>Ref_Sheet!$C$6</f>
        <v>6</v>
      </c>
      <c r="X15" s="111">
        <f>Ref_Sheet!$C$6</f>
        <v>6</v>
      </c>
      <c r="Y15" s="101"/>
      <c r="Z15" s="101"/>
      <c r="AA15" s="101"/>
      <c r="AB15" s="101"/>
      <c r="AC15" s="101"/>
      <c r="AD15" s="101"/>
      <c r="AE15" s="101"/>
    </row>
    <row r="16" spans="1:31" x14ac:dyDescent="0.35">
      <c r="A16" s="98"/>
      <c r="B16" s="98" t="s">
        <v>41</v>
      </c>
      <c r="C16" s="98"/>
      <c r="D16" s="98" t="s">
        <v>28</v>
      </c>
      <c r="E16" s="111">
        <f>Ref_Sheet!$C$22</f>
        <v>8</v>
      </c>
      <c r="F16" s="111">
        <f>Ref_Sheet!$C$22</f>
        <v>8</v>
      </c>
      <c r="G16" s="111">
        <f>Ref_Sheet!$C$22</f>
        <v>8</v>
      </c>
      <c r="H16" s="111">
        <f>Ref_Sheet!$C$22</f>
        <v>8</v>
      </c>
      <c r="I16" s="111">
        <f>Ref_Sheet!$C$22</f>
        <v>8</v>
      </c>
      <c r="J16" s="111">
        <f>Ref_Sheet!$C$22</f>
        <v>8</v>
      </c>
      <c r="K16" s="111">
        <f>Ref_Sheet!$C$22</f>
        <v>8</v>
      </c>
      <c r="L16" s="111">
        <f>Ref_Sheet!$C$22</f>
        <v>8</v>
      </c>
      <c r="M16" s="111">
        <f>Ref_Sheet!$C$22</f>
        <v>8</v>
      </c>
      <c r="N16" s="111">
        <f>Ref_Sheet!$C$22</f>
        <v>8</v>
      </c>
      <c r="O16" s="111">
        <f>Ref_Sheet!$C$22</f>
        <v>8</v>
      </c>
      <c r="P16" s="111">
        <f>Ref_Sheet!$C$22</f>
        <v>8</v>
      </c>
      <c r="Q16" s="111">
        <f>Ref_Sheet!$C$22</f>
        <v>8</v>
      </c>
      <c r="R16" s="111">
        <f>Ref_Sheet!$C$22</f>
        <v>8</v>
      </c>
      <c r="S16" s="111">
        <f>Ref_Sheet!$C$22</f>
        <v>8</v>
      </c>
      <c r="T16" s="111">
        <f>Ref_Sheet!$C$22</f>
        <v>8</v>
      </c>
      <c r="U16" s="111">
        <f>Ref_Sheet!$C$22</f>
        <v>8</v>
      </c>
      <c r="V16" s="111">
        <f>Ref_Sheet!$C$22</f>
        <v>8</v>
      </c>
      <c r="W16" s="111">
        <f>Ref_Sheet!$C$22</f>
        <v>8</v>
      </c>
      <c r="X16" s="111">
        <f>Ref_Sheet!$C$22</f>
        <v>8</v>
      </c>
      <c r="Y16" s="101"/>
      <c r="Z16" s="101"/>
      <c r="AA16" s="101"/>
      <c r="AB16" s="101"/>
      <c r="AC16" s="101"/>
      <c r="AD16" s="101"/>
      <c r="AE16" s="101"/>
    </row>
    <row r="17" spans="1:31" x14ac:dyDescent="0.35">
      <c r="A17" s="98"/>
      <c r="B17" s="98" t="s">
        <v>38</v>
      </c>
      <c r="C17" s="99" t="s">
        <v>188</v>
      </c>
      <c r="D17" s="98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1"/>
      <c r="Z17" s="101"/>
      <c r="AA17" s="101"/>
      <c r="AB17" s="101"/>
      <c r="AC17" s="101"/>
      <c r="AD17" s="101"/>
      <c r="AE17" s="101"/>
    </row>
    <row r="18" spans="1:31" x14ac:dyDescent="0.35">
      <c r="A18" s="98"/>
      <c r="B18" s="98" t="s">
        <v>45</v>
      </c>
      <c r="C18" s="98"/>
      <c r="D18" s="98" t="s">
        <v>168</v>
      </c>
      <c r="E18" s="112">
        <f t="shared" ref="E18:X18" si="3">(E12)*E10</f>
        <v>228815392.93730187</v>
      </c>
      <c r="F18" s="112">
        <f t="shared" si="3"/>
        <v>231103546.8666749</v>
      </c>
      <c r="G18" s="112">
        <f t="shared" si="3"/>
        <v>233414582.33534166</v>
      </c>
      <c r="H18" s="112">
        <f t="shared" si="3"/>
        <v>235748728.15869504</v>
      </c>
      <c r="I18" s="112">
        <f t="shared" si="3"/>
        <v>238106215.44028202</v>
      </c>
      <c r="J18" s="112">
        <f t="shared" si="3"/>
        <v>240487277.59468481</v>
      </c>
      <c r="K18" s="112">
        <f t="shared" si="3"/>
        <v>242892150.37063169</v>
      </c>
      <c r="L18" s="112">
        <f t="shared" si="3"/>
        <v>245321071.87433803</v>
      </c>
      <c r="M18" s="112">
        <f t="shared" si="3"/>
        <v>247774282.59308138</v>
      </c>
      <c r="N18" s="112">
        <f t="shared" si="3"/>
        <v>250252025.41901219</v>
      </c>
      <c r="O18" s="112">
        <f t="shared" si="3"/>
        <v>252754545.67320234</v>
      </c>
      <c r="P18" s="112">
        <f t="shared" si="3"/>
        <v>255282091.12993437</v>
      </c>
      <c r="Q18" s="112">
        <f t="shared" si="3"/>
        <v>257834912.04123372</v>
      </c>
      <c r="R18" s="112">
        <f>(R12)*R10</f>
        <v>260413261.16164607</v>
      </c>
      <c r="S18" s="112">
        <f t="shared" si="3"/>
        <v>263017393.77326253</v>
      </c>
      <c r="T18" s="112">
        <f t="shared" si="3"/>
        <v>265647567.71099517</v>
      </c>
      <c r="U18" s="112">
        <f t="shared" si="3"/>
        <v>268304043.38810509</v>
      </c>
      <c r="V18" s="112">
        <f t="shared" si="3"/>
        <v>270987083.82198614</v>
      </c>
      <c r="W18" s="112">
        <f t="shared" si="3"/>
        <v>273696954.66020602</v>
      </c>
      <c r="X18" s="112">
        <f t="shared" si="3"/>
        <v>276433924.20680803</v>
      </c>
      <c r="Y18" s="101"/>
      <c r="Z18" s="101"/>
      <c r="AA18" s="101"/>
      <c r="AB18" s="101"/>
      <c r="AC18" s="101"/>
      <c r="AD18" s="101"/>
      <c r="AE18" s="101"/>
    </row>
    <row r="19" spans="1:31" x14ac:dyDescent="0.35">
      <c r="A19" s="98"/>
      <c r="B19" s="98" t="s">
        <v>44</v>
      </c>
      <c r="C19" s="98"/>
      <c r="D19" s="98" t="s">
        <v>169</v>
      </c>
      <c r="E19" s="112">
        <f t="shared" ref="E19:X19" si="4">(E13)*E10</f>
        <v>457493524.09119803</v>
      </c>
      <c r="F19" s="112">
        <f t="shared" si="4"/>
        <v>462068459.33211005</v>
      </c>
      <c r="G19" s="112">
        <f t="shared" si="4"/>
        <v>466689143.92543113</v>
      </c>
      <c r="H19" s="112">
        <f t="shared" si="4"/>
        <v>471356035.36468542</v>
      </c>
      <c r="I19" s="112">
        <f t="shared" si="4"/>
        <v>476069595.71833235</v>
      </c>
      <c r="J19" s="112">
        <f t="shared" si="4"/>
        <v>480830291.67551559</v>
      </c>
      <c r="K19" s="112">
        <f t="shared" si="4"/>
        <v>485638594.59227079</v>
      </c>
      <c r="L19" s="112">
        <f t="shared" si="4"/>
        <v>490494980.53819352</v>
      </c>
      <c r="M19" s="112">
        <f t="shared" si="4"/>
        <v>495399930.34357542</v>
      </c>
      <c r="N19" s="112">
        <f t="shared" si="4"/>
        <v>500353929.64701122</v>
      </c>
      <c r="O19" s="112">
        <f t="shared" si="4"/>
        <v>505357468.94348133</v>
      </c>
      <c r="P19" s="112">
        <f t="shared" si="4"/>
        <v>510411043.63291615</v>
      </c>
      <c r="Q19" s="112">
        <f t="shared" si="4"/>
        <v>515515154.06924534</v>
      </c>
      <c r="R19" s="112">
        <f>(R13)*R10</f>
        <v>520670305.60993779</v>
      </c>
      <c r="S19" s="112">
        <f t="shared" si="4"/>
        <v>525877008.6660372</v>
      </c>
      <c r="T19" s="112">
        <f t="shared" si="4"/>
        <v>531135778.75269759</v>
      </c>
      <c r="U19" s="112">
        <f t="shared" si="4"/>
        <v>536447136.54022449</v>
      </c>
      <c r="V19" s="112">
        <f t="shared" si="4"/>
        <v>541811607.90562677</v>
      </c>
      <c r="W19" s="112">
        <f t="shared" si="4"/>
        <v>547229723.98468304</v>
      </c>
      <c r="X19" s="112">
        <f t="shared" si="4"/>
        <v>552702021.22452986</v>
      </c>
      <c r="Y19" s="101"/>
      <c r="Z19" s="101"/>
      <c r="AA19" s="101"/>
      <c r="AB19" s="101"/>
      <c r="AC19" s="101"/>
      <c r="AD19" s="101"/>
      <c r="AE19" s="101"/>
    </row>
    <row r="20" spans="1:31" x14ac:dyDescent="0.35">
      <c r="A20" s="98"/>
      <c r="B20" s="98" t="s">
        <v>58</v>
      </c>
      <c r="C20" s="98"/>
      <c r="D20" s="98" t="s">
        <v>170</v>
      </c>
      <c r="E20" s="112">
        <f>E18+E19</f>
        <v>686308917.02849984</v>
      </c>
      <c r="F20" s="112">
        <f t="shared" ref="F20:X20" si="5">F18+F19</f>
        <v>693172006.19878495</v>
      </c>
      <c r="G20" s="112">
        <f>G18+G19</f>
        <v>700103726.26077282</v>
      </c>
      <c r="H20" s="112">
        <f t="shared" si="5"/>
        <v>707104763.52338052</v>
      </c>
      <c r="I20" s="112">
        <f t="shared" si="5"/>
        <v>714175811.1586144</v>
      </c>
      <c r="J20" s="112">
        <f t="shared" si="5"/>
        <v>721317569.27020037</v>
      </c>
      <c r="K20" s="112">
        <f t="shared" si="5"/>
        <v>728530744.96290255</v>
      </c>
      <c r="L20" s="112">
        <f t="shared" si="5"/>
        <v>735816052.41253161</v>
      </c>
      <c r="M20" s="112">
        <f t="shared" si="5"/>
        <v>743174212.93665683</v>
      </c>
      <c r="N20" s="112">
        <f t="shared" si="5"/>
        <v>750605955.06602335</v>
      </c>
      <c r="O20" s="112">
        <f t="shared" si="5"/>
        <v>758112014.61668372</v>
      </c>
      <c r="P20" s="112">
        <f t="shared" si="5"/>
        <v>765693134.76285052</v>
      </c>
      <c r="Q20" s="112">
        <f t="shared" si="5"/>
        <v>773350066.11047912</v>
      </c>
      <c r="R20" s="112">
        <f>R18+R19</f>
        <v>781083566.7715838</v>
      </c>
      <c r="S20" s="112">
        <f t="shared" si="5"/>
        <v>788894402.4392997</v>
      </c>
      <c r="T20" s="112">
        <f t="shared" si="5"/>
        <v>796783346.46369278</v>
      </c>
      <c r="U20" s="112">
        <f t="shared" si="5"/>
        <v>804751179.92832959</v>
      </c>
      <c r="V20" s="112">
        <f t="shared" si="5"/>
        <v>812798691.72761297</v>
      </c>
      <c r="W20" s="112">
        <f t="shared" si="5"/>
        <v>820926678.64488912</v>
      </c>
      <c r="X20" s="112">
        <f t="shared" si="5"/>
        <v>829135945.43133783</v>
      </c>
      <c r="Y20" s="101"/>
      <c r="Z20" s="101"/>
      <c r="AA20" s="101"/>
      <c r="AB20" s="101"/>
      <c r="AC20" s="101"/>
      <c r="AD20" s="101"/>
      <c r="AE20" s="101"/>
    </row>
    <row r="21" spans="1:31" x14ac:dyDescent="0.35">
      <c r="A21" s="98"/>
      <c r="B21" s="98" t="s">
        <v>39</v>
      </c>
      <c r="C21" s="98"/>
      <c r="D21" s="98" t="s">
        <v>171</v>
      </c>
      <c r="E21" s="113">
        <f>E15*E4*12</f>
        <v>52842024</v>
      </c>
      <c r="F21" s="113">
        <f t="shared" ref="F21:X21" si="6">F15*F4*12</f>
        <v>53370444.24000001</v>
      </c>
      <c r="G21" s="113">
        <f t="shared" si="6"/>
        <v>53904148.682400003</v>
      </c>
      <c r="H21" s="113">
        <f t="shared" si="6"/>
        <v>54443190.169223994</v>
      </c>
      <c r="I21" s="113">
        <f t="shared" si="6"/>
        <v>54987622.070916235</v>
      </c>
      <c r="J21" s="113">
        <f t="shared" si="6"/>
        <v>55537498.29162541</v>
      </c>
      <c r="K21" s="113">
        <f t="shared" si="6"/>
        <v>56092873.274541661</v>
      </c>
      <c r="L21" s="113">
        <f t="shared" si="6"/>
        <v>56653802.00728707</v>
      </c>
      <c r="M21" s="113">
        <f t="shared" si="6"/>
        <v>57220340.027359948</v>
      </c>
      <c r="N21" s="113">
        <f t="shared" si="6"/>
        <v>57792543.427633546</v>
      </c>
      <c r="O21" s="113">
        <f t="shared" si="6"/>
        <v>58370468.861909889</v>
      </c>
      <c r="P21" s="113">
        <f t="shared" si="6"/>
        <v>58954173.550528988</v>
      </c>
      <c r="Q21" s="113">
        <f t="shared" si="6"/>
        <v>59543715.286034279</v>
      </c>
      <c r="R21" s="113">
        <f>R15*R4*12</f>
        <v>60139152.438894622</v>
      </c>
      <c r="S21" s="113">
        <f t="shared" si="6"/>
        <v>60740543.963283569</v>
      </c>
      <c r="T21" s="113">
        <f t="shared" si="6"/>
        <v>61347949.402916402</v>
      </c>
      <c r="U21" s="113">
        <f t="shared" si="6"/>
        <v>61961428.896945566</v>
      </c>
      <c r="V21" s="113">
        <f t="shared" si="6"/>
        <v>62581043.185915023</v>
      </c>
      <c r="W21" s="113">
        <f t="shared" si="6"/>
        <v>63206853.617774174</v>
      </c>
      <c r="X21" s="113">
        <f t="shared" si="6"/>
        <v>63838922.153951906</v>
      </c>
      <c r="Y21" s="101"/>
      <c r="Z21" s="101"/>
      <c r="AA21" s="101"/>
      <c r="AB21" s="101"/>
      <c r="AC21" s="101"/>
      <c r="AD21" s="101"/>
      <c r="AE21" s="101"/>
    </row>
    <row r="22" spans="1:31" x14ac:dyDescent="0.35">
      <c r="A22" s="98"/>
      <c r="B22" s="98" t="s">
        <v>59</v>
      </c>
      <c r="C22" s="98"/>
      <c r="D22" s="98" t="s">
        <v>172</v>
      </c>
      <c r="E22" s="112">
        <f>E20+E21</f>
        <v>739150941.02849984</v>
      </c>
      <c r="F22" s="112">
        <f t="shared" ref="F22:X22" si="7">F20+F21</f>
        <v>746542450.43878496</v>
      </c>
      <c r="G22" s="112">
        <f t="shared" si="7"/>
        <v>754007874.94317281</v>
      </c>
      <c r="H22" s="112">
        <f t="shared" si="7"/>
        <v>761547953.69260454</v>
      </c>
      <c r="I22" s="112">
        <f t="shared" si="7"/>
        <v>769163433.22953057</v>
      </c>
      <c r="J22" s="112">
        <f t="shared" si="7"/>
        <v>776855067.56182575</v>
      </c>
      <c r="K22" s="112">
        <f t="shared" si="7"/>
        <v>784623618.23744416</v>
      </c>
      <c r="L22" s="112">
        <f t="shared" si="7"/>
        <v>792469854.41981864</v>
      </c>
      <c r="M22" s="112">
        <f t="shared" si="7"/>
        <v>800394552.9640168</v>
      </c>
      <c r="N22" s="112">
        <f t="shared" si="7"/>
        <v>808398498.49365687</v>
      </c>
      <c r="O22" s="112">
        <f t="shared" si="7"/>
        <v>816482483.47859359</v>
      </c>
      <c r="P22" s="112">
        <f t="shared" si="7"/>
        <v>824647308.31337953</v>
      </c>
      <c r="Q22" s="112">
        <f t="shared" si="7"/>
        <v>832893781.39651334</v>
      </c>
      <c r="R22" s="112">
        <f>R20+R21</f>
        <v>841222719.21047843</v>
      </c>
      <c r="S22" s="112">
        <f t="shared" si="7"/>
        <v>849634946.40258324</v>
      </c>
      <c r="T22" s="112">
        <f t="shared" si="7"/>
        <v>858131295.86660922</v>
      </c>
      <c r="U22" s="112">
        <f t="shared" si="7"/>
        <v>866712608.82527518</v>
      </c>
      <c r="V22" s="112">
        <f t="shared" si="7"/>
        <v>875379734.91352797</v>
      </c>
      <c r="W22" s="112">
        <f t="shared" si="7"/>
        <v>884133532.26266325</v>
      </c>
      <c r="X22" s="112">
        <f t="shared" si="7"/>
        <v>892974867.58528972</v>
      </c>
      <c r="Y22" s="101"/>
      <c r="Z22" s="101"/>
      <c r="AA22" s="101"/>
      <c r="AB22" s="101"/>
      <c r="AC22" s="101"/>
      <c r="AD22" s="101"/>
      <c r="AE22" s="101"/>
    </row>
    <row r="23" spans="1:31" x14ac:dyDescent="0.35">
      <c r="A23" s="98"/>
      <c r="B23" s="98"/>
      <c r="C23" s="98"/>
      <c r="D23" s="98" t="s">
        <v>190</v>
      </c>
      <c r="E23" s="114">
        <f>(E19+E21)/E22</f>
        <v>0.69043482158202485</v>
      </c>
      <c r="F23" s="114">
        <f t="shared" ref="F23" si="8">(F19+F21)/F22</f>
        <v>0.69043482158202474</v>
      </c>
      <c r="G23" s="114">
        <f t="shared" ref="G23" si="9">(G19+G21)/G22</f>
        <v>0.69043482158202474</v>
      </c>
      <c r="H23" s="114">
        <f t="shared" ref="H23" si="10">(H19+H21)/H22</f>
        <v>0.69043482158202474</v>
      </c>
      <c r="I23" s="114">
        <f t="shared" ref="I23" si="11">(I19+I21)/I22</f>
        <v>0.69043482158202485</v>
      </c>
      <c r="J23" s="114">
        <f t="shared" ref="J23" si="12">(J19+J21)/J22</f>
        <v>0.69043482158202485</v>
      </c>
      <c r="K23" s="114">
        <f t="shared" ref="K23" si="13">(K19+K21)/K22</f>
        <v>0.69043482158202474</v>
      </c>
      <c r="L23" s="114">
        <f t="shared" ref="L23" si="14">(L19+L21)/L22</f>
        <v>0.69043482158202474</v>
      </c>
      <c r="M23" s="114">
        <f t="shared" ref="M23" si="15">(M19+M21)/M22</f>
        <v>0.69043482158202463</v>
      </c>
      <c r="N23" s="114">
        <f t="shared" ref="N23" si="16">(N19+N21)/N22</f>
        <v>0.69043482158202485</v>
      </c>
      <c r="O23" s="114">
        <f t="shared" ref="O23" si="17">(O19+O21)/O22</f>
        <v>0.69043482158202474</v>
      </c>
      <c r="P23" s="114">
        <f t="shared" ref="P23" si="18">(P19+P21)/P22</f>
        <v>0.69043482158202474</v>
      </c>
      <c r="Q23" s="114">
        <f t="shared" ref="Q23" si="19">(Q19+Q21)/Q22</f>
        <v>0.69043482158202474</v>
      </c>
      <c r="R23" s="114">
        <f t="shared" ref="R23" si="20">(R19+R21)/R22</f>
        <v>0.69043482158202485</v>
      </c>
      <c r="S23" s="114">
        <f t="shared" ref="S23" si="21">(S19+S21)/S22</f>
        <v>0.69043482158202474</v>
      </c>
      <c r="T23" s="114">
        <f t="shared" ref="T23" si="22">(T19+T21)/T22</f>
        <v>0.69043482158202474</v>
      </c>
      <c r="U23" s="114">
        <f t="shared" ref="U23" si="23">(U19+U21)/U22</f>
        <v>0.69043482158202474</v>
      </c>
      <c r="V23" s="114">
        <f t="shared" ref="V23" si="24">(V19+V21)/V22</f>
        <v>0.69043482158202474</v>
      </c>
      <c r="W23" s="114">
        <f t="shared" ref="W23" si="25">(W19+W21)/W22</f>
        <v>0.69043482158202474</v>
      </c>
      <c r="X23" s="114">
        <f t="shared" ref="X23" si="26">(X19+X21)/X22</f>
        <v>0.69043482158202485</v>
      </c>
      <c r="Y23" s="101"/>
      <c r="Z23" s="101"/>
      <c r="AA23" s="101"/>
      <c r="AB23" s="101"/>
      <c r="AC23" s="101"/>
      <c r="AD23" s="101"/>
      <c r="AE23" s="101"/>
    </row>
    <row r="24" spans="1:31" x14ac:dyDescent="0.35">
      <c r="A24" s="98"/>
      <c r="B24" s="98"/>
      <c r="C24" s="98"/>
      <c r="D24" s="9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01"/>
      <c r="Z24" s="101"/>
      <c r="AA24" s="101"/>
      <c r="AB24" s="101"/>
      <c r="AC24" s="101"/>
      <c r="AD24" s="101"/>
      <c r="AE24" s="101"/>
    </row>
    <row r="25" spans="1:31" x14ac:dyDescent="0.35">
      <c r="A25" s="98"/>
      <c r="B25" s="98"/>
      <c r="C25" s="19" t="s">
        <v>42</v>
      </c>
      <c r="D25" s="2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1"/>
      <c r="Z25" s="101"/>
      <c r="AA25" s="101"/>
      <c r="AB25" s="101"/>
      <c r="AC25" s="101"/>
      <c r="AD25" s="101"/>
      <c r="AE25" s="101"/>
    </row>
    <row r="26" spans="1:31" x14ac:dyDescent="0.35">
      <c r="A26" s="98"/>
      <c r="B26" s="109" t="s">
        <v>31</v>
      </c>
      <c r="C26" s="99" t="s">
        <v>55</v>
      </c>
      <c r="D26" s="98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1"/>
      <c r="Z26" s="101"/>
      <c r="AA26" s="101"/>
      <c r="AB26" s="101"/>
      <c r="AC26" s="101"/>
      <c r="AD26" s="101"/>
      <c r="AE26" s="101"/>
    </row>
    <row r="27" spans="1:31" x14ac:dyDescent="0.35">
      <c r="A27" s="98"/>
      <c r="B27" s="98" t="s">
        <v>36</v>
      </c>
      <c r="C27" s="98"/>
      <c r="D27" s="98" t="s">
        <v>35</v>
      </c>
      <c r="E27" s="115">
        <f>Inputs!D26</f>
        <v>0.01</v>
      </c>
      <c r="F27" s="115">
        <f>MIN(E27+Inputs!$D$26,Inputs!$D$26*Inputs!$D$27)</f>
        <v>0.02</v>
      </c>
      <c r="G27" s="115">
        <f>MIN(F27+Inputs!$D$26,Inputs!$D$26*Inputs!$D$27)</f>
        <v>0.03</v>
      </c>
      <c r="H27" s="115">
        <f>MIN(G27+Inputs!$D$26,Inputs!$D$26*Inputs!$D$27)</f>
        <v>0.04</v>
      </c>
      <c r="I27" s="115">
        <f>MIN(H27+Inputs!$D$26,Inputs!$D$26*Inputs!$D$27)</f>
        <v>0.05</v>
      </c>
      <c r="J27" s="115">
        <f>MIN(I27+Inputs!$D$26,Inputs!$D$26*Inputs!$D$27)</f>
        <v>6.0000000000000005E-2</v>
      </c>
      <c r="K27" s="115">
        <f>MIN(J27+Inputs!$D$26,Inputs!$D$26*Inputs!$D$27)</f>
        <v>7.0000000000000007E-2</v>
      </c>
      <c r="L27" s="115">
        <f>MIN(K27+Inputs!$D$26,Inputs!$D$26*Inputs!$D$27)</f>
        <v>0.08</v>
      </c>
      <c r="M27" s="115">
        <f>MIN(L27+Inputs!$D$26,Inputs!$D$26*Inputs!$D$27)</f>
        <v>0.09</v>
      </c>
      <c r="N27" s="115">
        <f>MIN(M27+Inputs!$D$26,Inputs!$D$26*Inputs!$D$27)</f>
        <v>9.9999999999999992E-2</v>
      </c>
      <c r="O27" s="115">
        <f>MIN(N27+Inputs!$D$26,Inputs!$D$26*Inputs!$D$27)</f>
        <v>0.1</v>
      </c>
      <c r="P27" s="115">
        <f>MIN(O27+Inputs!$D$26,Inputs!$D$26*Inputs!$D$27)</f>
        <v>0.1</v>
      </c>
      <c r="Q27" s="115">
        <f>MIN(P27+Inputs!$D$26,Inputs!$D$26*Inputs!$D$27)</f>
        <v>0.1</v>
      </c>
      <c r="R27" s="115">
        <f>MIN(Q27+Inputs!$D$26,Inputs!$D$26*Inputs!$D$27)</f>
        <v>0.1</v>
      </c>
      <c r="S27" s="115">
        <f>MIN(R27+Inputs!$D$26,Inputs!$D$26*Inputs!$D$27)</f>
        <v>0.1</v>
      </c>
      <c r="T27" s="115">
        <f>MIN(S27+Inputs!$D$26,Inputs!$D$26*Inputs!$D$27)</f>
        <v>0.1</v>
      </c>
      <c r="U27" s="115">
        <f>MIN(T27+Inputs!$D$26,Inputs!$D$26*Inputs!$D$27)</f>
        <v>0.1</v>
      </c>
      <c r="V27" s="115">
        <f>MIN(U27+Inputs!$D$26,Inputs!$D$26*Inputs!$D$27)</f>
        <v>0.1</v>
      </c>
      <c r="W27" s="115">
        <f>MIN(V27+Inputs!$D$26,Inputs!$D$26*Inputs!$D$27)</f>
        <v>0.1</v>
      </c>
      <c r="X27" s="115">
        <f>MIN(W27+Inputs!$D$26,Inputs!$D$26*Inputs!$D$27)</f>
        <v>0.1</v>
      </c>
      <c r="Y27" s="101"/>
      <c r="Z27" s="101"/>
      <c r="AA27" s="101"/>
      <c r="AB27" s="101"/>
      <c r="AC27" s="101"/>
      <c r="AD27" s="101"/>
      <c r="AE27" s="101"/>
    </row>
    <row r="28" spans="1:31" x14ac:dyDescent="0.35">
      <c r="A28" s="98"/>
      <c r="B28" s="98" t="s">
        <v>37</v>
      </c>
      <c r="C28" s="98"/>
      <c r="D28" s="98" t="s">
        <v>150</v>
      </c>
      <c r="E28" s="106">
        <f>E4*E27*Inputs!$D$25</f>
        <v>54245.95069001559</v>
      </c>
      <c r="F28" s="106">
        <f>F4*F27*Inputs!$D$25</f>
        <v>109576.8203938315</v>
      </c>
      <c r="G28" s="106">
        <f>G4*G27*Inputs!$D$25</f>
        <v>166008.88289665472</v>
      </c>
      <c r="H28" s="106">
        <f>H4*H27*Inputs!$D$25</f>
        <v>223558.62896749499</v>
      </c>
      <c r="I28" s="106">
        <f>I4*I27*Inputs!$D$25</f>
        <v>282242.76907146245</v>
      </c>
      <c r="J28" s="106">
        <f>J4*J27*Inputs!$D$25</f>
        <v>342078.23611461249</v>
      </c>
      <c r="K28" s="106">
        <f>K4*K27*Inputs!$D$25</f>
        <v>403082.18822171842</v>
      </c>
      <c r="L28" s="106">
        <f>L4*L27*Inputs!$D$25</f>
        <v>465272.01154735498</v>
      </c>
      <c r="M28" s="106">
        <f>M4*M27*Inputs!$D$25</f>
        <v>528665.32312068203</v>
      </c>
      <c r="N28" s="106">
        <f>N4*N27*Inputs!$D$25</f>
        <v>593279.973724321</v>
      </c>
      <c r="O28" s="106">
        <f>O4*O27*Inputs!$D$25</f>
        <v>599212.77346156421</v>
      </c>
      <c r="P28" s="106">
        <f>P4*P27*Inputs!$D$25</f>
        <v>605204.90119617991</v>
      </c>
      <c r="Q28" s="106">
        <f>Q4*Q27*Inputs!$D$25</f>
        <v>611256.9502081417</v>
      </c>
      <c r="R28" s="106">
        <f>R4*R27*Inputs!$D$25</f>
        <v>617369.51971022319</v>
      </c>
      <c r="S28" s="106">
        <f>S4*S27*Inputs!$D$25</f>
        <v>623543.21490732534</v>
      </c>
      <c r="T28" s="106">
        <f>T4*T27*Inputs!$D$25</f>
        <v>629778.64705639868</v>
      </c>
      <c r="U28" s="106">
        <f>U4*U27*Inputs!$D$25</f>
        <v>636076.43352696265</v>
      </c>
      <c r="V28" s="106">
        <f>V4*V27*Inputs!$D$25</f>
        <v>642437.19786223222</v>
      </c>
      <c r="W28" s="106">
        <f>W4*W27*Inputs!$D$25</f>
        <v>648861.56984085462</v>
      </c>
      <c r="X28" s="106">
        <f>X4*X27*Inputs!$D$25</f>
        <v>655350.18553926307</v>
      </c>
      <c r="Y28" s="101"/>
      <c r="Z28" s="101"/>
      <c r="AA28" s="101"/>
      <c r="AB28" s="101"/>
      <c r="AC28" s="101"/>
      <c r="AD28" s="101"/>
      <c r="AE28" s="101"/>
    </row>
    <row r="29" spans="1:31" x14ac:dyDescent="0.35">
      <c r="A29" s="98"/>
      <c r="B29" s="98" t="s">
        <v>50</v>
      </c>
      <c r="C29" s="98"/>
      <c r="D29" s="98" t="s">
        <v>151</v>
      </c>
      <c r="E29" s="106">
        <f t="shared" ref="E29:X29" si="27">E6-E28</f>
        <v>6922512.0493099848</v>
      </c>
      <c r="F29" s="106">
        <f t="shared" si="27"/>
        <v>6936948.7596061686</v>
      </c>
      <c r="G29" s="106">
        <f t="shared" si="27"/>
        <v>6950981.9529033462</v>
      </c>
      <c r="H29" s="106">
        <f t="shared" si="27"/>
        <v>6964602.1151905051</v>
      </c>
      <c r="I29" s="106">
        <f t="shared" si="27"/>
        <v>6977799.582528118</v>
      </c>
      <c r="J29" s="106">
        <f t="shared" si="27"/>
        <v>6990564.5390009629</v>
      </c>
      <c r="K29" s="106">
        <f t="shared" si="27"/>
        <v>7002887.014645014</v>
      </c>
      <c r="L29" s="106">
        <f t="shared" si="27"/>
        <v>7014756.8833480449</v>
      </c>
      <c r="M29" s="106">
        <f t="shared" si="27"/>
        <v>7026163.8607236706</v>
      </c>
      <c r="N29" s="106">
        <f t="shared" si="27"/>
        <v>7037097.5019584764</v>
      </c>
      <c r="O29" s="106">
        <f t="shared" si="27"/>
        <v>7107468.4769780608</v>
      </c>
      <c r="P29" s="106">
        <f t="shared" si="27"/>
        <v>7178543.1617478421</v>
      </c>
      <c r="Q29" s="106">
        <f t="shared" si="27"/>
        <v>7250328.5933653209</v>
      </c>
      <c r="R29" s="106">
        <f t="shared" si="27"/>
        <v>7322831.8792989738</v>
      </c>
      <c r="S29" s="106">
        <f t="shared" si="27"/>
        <v>7396060.1980919633</v>
      </c>
      <c r="T29" s="106">
        <f t="shared" si="27"/>
        <v>7470020.8000728833</v>
      </c>
      <c r="U29" s="106">
        <f t="shared" si="27"/>
        <v>7544721.0080736112</v>
      </c>
      <c r="V29" s="106">
        <f t="shared" si="27"/>
        <v>7620168.2181543475</v>
      </c>
      <c r="W29" s="106">
        <f t="shared" si="27"/>
        <v>7696369.9003358912</v>
      </c>
      <c r="X29" s="106">
        <f t="shared" si="27"/>
        <v>7773333.5993392495</v>
      </c>
      <c r="Y29" s="101"/>
      <c r="Z29" s="101"/>
      <c r="AA29" s="101"/>
      <c r="AB29" s="101"/>
      <c r="AC29" s="101"/>
      <c r="AD29" s="101"/>
      <c r="AE29" s="101"/>
    </row>
    <row r="30" spans="1:31" x14ac:dyDescent="0.35">
      <c r="A30" s="98"/>
      <c r="B30" s="98"/>
      <c r="C30" s="98"/>
      <c r="D30" s="98" t="s">
        <v>166</v>
      </c>
      <c r="E30" s="106">
        <f>E27*E4*Inputs!$D$23</f>
        <v>36.69585</v>
      </c>
      <c r="F30" s="106">
        <f>F27*F4*Inputs!$D$23</f>
        <v>74.125617000000005</v>
      </c>
      <c r="G30" s="106">
        <f>G27*G4*Inputs!$D$23</f>
        <v>112.300309755</v>
      </c>
      <c r="H30" s="106">
        <f>H27*H4*Inputs!$D$23</f>
        <v>151.2310838034</v>
      </c>
      <c r="I30" s="106">
        <f>I27*I4*Inputs!$D$23</f>
        <v>190.92924330179252</v>
      </c>
      <c r="J30" s="106">
        <f>J27*J4*Inputs!$D$23</f>
        <v>231.40624288177253</v>
      </c>
      <c r="K30" s="106">
        <f>K27*K4*Inputs!$D$23</f>
        <v>272.673689529022</v>
      </c>
      <c r="L30" s="106">
        <f>L27*L4*Inputs!$D$23</f>
        <v>314.74334448492823</v>
      </c>
      <c r="M30" s="106">
        <f>M27*M4*Inputs!$D$23</f>
        <v>357.62712517099965</v>
      </c>
      <c r="N30" s="106">
        <f>N27*N4*Inputs!$D$23</f>
        <v>401.33710713634406</v>
      </c>
      <c r="O30" s="106">
        <f>O27*O4*Inputs!$D$23</f>
        <v>405.35047820770757</v>
      </c>
      <c r="P30" s="106">
        <f>P27*P4*Inputs!$D$23</f>
        <v>409.40398298978465</v>
      </c>
      <c r="Q30" s="106">
        <f>Q27*Q4*Inputs!$D$23</f>
        <v>413.49802281968255</v>
      </c>
      <c r="R30" s="106">
        <f>R27*R4*Inputs!$D$23</f>
        <v>417.63300304787936</v>
      </c>
      <c r="S30" s="106">
        <f>S27*S4*Inputs!$D$23</f>
        <v>421.80933307835812</v>
      </c>
      <c r="T30" s="106">
        <f>T27*T4*Inputs!$D$23</f>
        <v>426.0274264091417</v>
      </c>
      <c r="U30" s="106">
        <f>U27*U4*Inputs!$D$23</f>
        <v>430.28770067323313</v>
      </c>
      <c r="V30" s="106">
        <f>V27*V4*Inputs!$D$23</f>
        <v>434.59057767996546</v>
      </c>
      <c r="W30" s="106">
        <f>W27*W4*Inputs!$D$23</f>
        <v>438.93648345676513</v>
      </c>
      <c r="X30" s="106">
        <f>X27*X4*Inputs!$D$23</f>
        <v>443.32584829133276</v>
      </c>
      <c r="Y30" s="101"/>
      <c r="Z30" s="101"/>
      <c r="AA30" s="101"/>
      <c r="AB30" s="101"/>
      <c r="AC30" s="101"/>
      <c r="AD30" s="101"/>
      <c r="AE30" s="101"/>
    </row>
    <row r="31" spans="1:31" x14ac:dyDescent="0.35">
      <c r="A31" s="98"/>
      <c r="B31" s="98"/>
      <c r="C31" s="99" t="s">
        <v>8</v>
      </c>
      <c r="D31" s="98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101"/>
      <c r="AA31" s="101"/>
      <c r="AB31" s="101"/>
      <c r="AC31" s="101"/>
      <c r="AD31" s="101"/>
      <c r="AE31" s="101"/>
    </row>
    <row r="32" spans="1:31" x14ac:dyDescent="0.35">
      <c r="A32" s="98"/>
      <c r="B32" s="98" t="s">
        <v>69</v>
      </c>
      <c r="C32" s="98"/>
      <c r="D32" s="98" t="s">
        <v>147</v>
      </c>
      <c r="E32" s="116">
        <f>E40/E29</f>
        <v>32.58363933340992</v>
      </c>
      <c r="F32" s="116">
        <f t="shared" ref="F32:X32" si="28">F40/F29</f>
        <v>32.367103379871615</v>
      </c>
      <c r="G32" s="116">
        <f t="shared" si="28"/>
        <v>32.147119770352468</v>
      </c>
      <c r="H32" s="116">
        <f t="shared" si="28"/>
        <v>31.923605504427837</v>
      </c>
      <c r="I32" s="116">
        <f t="shared" si="28"/>
        <v>31.69647489586708</v>
      </c>
      <c r="J32" s="116">
        <f t="shared" si="28"/>
        <v>31.465639463110286</v>
      </c>
      <c r="K32" s="116">
        <f t="shared" si="28"/>
        <v>31.231007814341435</v>
      </c>
      <c r="L32" s="116">
        <f t="shared" si="28"/>
        <v>30.992485526844447</v>
      </c>
      <c r="M32" s="116">
        <f t="shared" si="28"/>
        <v>30.749975020307541</v>
      </c>
      <c r="N32" s="116">
        <f t="shared" si="28"/>
        <v>30.503375423718769</v>
      </c>
      <c r="O32" s="116">
        <f t="shared" si="28"/>
        <v>30.503375423718772</v>
      </c>
      <c r="P32" s="116">
        <f t="shared" si="28"/>
        <v>30.503375423718772</v>
      </c>
      <c r="Q32" s="116">
        <f t="shared" si="28"/>
        <v>30.503375423718772</v>
      </c>
      <c r="R32" s="116">
        <f t="shared" si="28"/>
        <v>30.503375423718776</v>
      </c>
      <c r="S32" s="116">
        <f t="shared" si="28"/>
        <v>30.503375423718776</v>
      </c>
      <c r="T32" s="116">
        <f t="shared" si="28"/>
        <v>30.503375423718772</v>
      </c>
      <c r="U32" s="116">
        <f t="shared" si="28"/>
        <v>30.503375423718776</v>
      </c>
      <c r="V32" s="116">
        <f t="shared" si="28"/>
        <v>30.503375423718776</v>
      </c>
      <c r="W32" s="116">
        <f t="shared" si="28"/>
        <v>30.503375423718776</v>
      </c>
      <c r="X32" s="116">
        <f t="shared" si="28"/>
        <v>30.503375423718772</v>
      </c>
      <c r="Y32" s="101"/>
      <c r="Z32" s="101"/>
      <c r="AA32" s="101"/>
      <c r="AB32" s="101"/>
      <c r="AC32" s="101"/>
      <c r="AD32" s="101"/>
      <c r="AE32" s="101"/>
    </row>
    <row r="33" spans="1:31" x14ac:dyDescent="0.35">
      <c r="A33" s="98"/>
      <c r="B33" s="98" t="s">
        <v>70</v>
      </c>
      <c r="C33" s="98"/>
      <c r="D33" s="98" t="s">
        <v>148</v>
      </c>
      <c r="E33" s="116">
        <f t="shared" ref="E33:X33" si="29">E41/E29</f>
        <v>66.087790217252078</v>
      </c>
      <c r="F33" s="116">
        <f t="shared" si="29"/>
        <v>66.609755289347575</v>
      </c>
      <c r="G33" s="116">
        <f t="shared" si="29"/>
        <v>67.140031018279416</v>
      </c>
      <c r="H33" s="116">
        <f t="shared" si="29"/>
        <v>67.6788174785477</v>
      </c>
      <c r="I33" s="116">
        <f t="shared" si="29"/>
        <v>68.226321218851652</v>
      </c>
      <c r="J33" s="116">
        <f t="shared" si="29"/>
        <v>68.782755526098342</v>
      </c>
      <c r="K33" s="116">
        <f t="shared" si="29"/>
        <v>69.348340702436488</v>
      </c>
      <c r="L33" s="116">
        <f t="shared" si="29"/>
        <v>69.923304356071597</v>
      </c>
      <c r="M33" s="116">
        <f t="shared" si="29"/>
        <v>70.507881706668726</v>
      </c>
      <c r="N33" s="116">
        <f t="shared" si="29"/>
        <v>71.102315906204083</v>
      </c>
      <c r="O33" s="116">
        <f t="shared" si="29"/>
        <v>71.102315906204083</v>
      </c>
      <c r="P33" s="116">
        <f t="shared" si="29"/>
        <v>71.102315906204083</v>
      </c>
      <c r="Q33" s="116">
        <f t="shared" si="29"/>
        <v>71.102315906204083</v>
      </c>
      <c r="R33" s="116">
        <f t="shared" si="29"/>
        <v>71.102315906204083</v>
      </c>
      <c r="S33" s="116">
        <f t="shared" si="29"/>
        <v>71.102315906204097</v>
      </c>
      <c r="T33" s="116">
        <f t="shared" si="29"/>
        <v>71.102315906204097</v>
      </c>
      <c r="U33" s="116">
        <f t="shared" si="29"/>
        <v>71.102315906204097</v>
      </c>
      <c r="V33" s="116">
        <f t="shared" si="29"/>
        <v>71.102315906204097</v>
      </c>
      <c r="W33" s="116">
        <f t="shared" si="29"/>
        <v>71.102315906204097</v>
      </c>
      <c r="X33" s="116">
        <f t="shared" si="29"/>
        <v>71.102315906204097</v>
      </c>
      <c r="Y33" s="101"/>
      <c r="Z33" s="101"/>
      <c r="AA33" s="101"/>
      <c r="AB33" s="101"/>
      <c r="AC33" s="101"/>
      <c r="AD33" s="101"/>
      <c r="AE33" s="101"/>
    </row>
    <row r="34" spans="1:31" x14ac:dyDescent="0.35">
      <c r="A34" s="98"/>
      <c r="B34" s="98" t="s">
        <v>63</v>
      </c>
      <c r="C34" s="98"/>
      <c r="D34" s="98" t="s">
        <v>61</v>
      </c>
      <c r="E34" s="116">
        <f>E33+E32</f>
        <v>98.671429550661998</v>
      </c>
      <c r="F34" s="116">
        <f t="shared" ref="F34:X34" si="30">F33+F32</f>
        <v>98.976858669219183</v>
      </c>
      <c r="G34" s="116">
        <f t="shared" si="30"/>
        <v>99.287150788631891</v>
      </c>
      <c r="H34" s="116">
        <f t="shared" si="30"/>
        <v>99.60242298297554</v>
      </c>
      <c r="I34" s="116">
        <f t="shared" si="30"/>
        <v>99.922796114718736</v>
      </c>
      <c r="J34" s="116">
        <f t="shared" si="30"/>
        <v>100.24839498920863</v>
      </c>
      <c r="K34" s="116">
        <f t="shared" si="30"/>
        <v>100.57934851677793</v>
      </c>
      <c r="L34" s="116">
        <f t="shared" si="30"/>
        <v>100.91578988291604</v>
      </c>
      <c r="M34" s="116">
        <f t="shared" si="30"/>
        <v>101.25785672697627</v>
      </c>
      <c r="N34" s="116">
        <f t="shared" si="30"/>
        <v>101.60569132992285</v>
      </c>
      <c r="O34" s="116">
        <f t="shared" si="30"/>
        <v>101.60569132992285</v>
      </c>
      <c r="P34" s="116">
        <f t="shared" si="30"/>
        <v>101.60569132992285</v>
      </c>
      <c r="Q34" s="116">
        <f t="shared" si="30"/>
        <v>101.60569132992285</v>
      </c>
      <c r="R34" s="116">
        <f t="shared" si="30"/>
        <v>101.60569132992286</v>
      </c>
      <c r="S34" s="116">
        <f t="shared" si="30"/>
        <v>101.60569132992288</v>
      </c>
      <c r="T34" s="116">
        <f t="shared" si="30"/>
        <v>101.60569132992288</v>
      </c>
      <c r="U34" s="116">
        <f t="shared" si="30"/>
        <v>101.60569132992288</v>
      </c>
      <c r="V34" s="116">
        <f t="shared" si="30"/>
        <v>101.60569132992288</v>
      </c>
      <c r="W34" s="116">
        <f t="shared" si="30"/>
        <v>101.60569132992288</v>
      </c>
      <c r="X34" s="116">
        <f t="shared" si="30"/>
        <v>101.60569132992288</v>
      </c>
      <c r="Y34" s="101"/>
      <c r="Z34" s="101"/>
      <c r="AA34" s="101"/>
      <c r="AB34" s="101"/>
      <c r="AC34" s="101"/>
      <c r="AD34" s="101"/>
      <c r="AE34" s="101"/>
    </row>
    <row r="35" spans="1:31" x14ac:dyDescent="0.35">
      <c r="A35" s="98"/>
      <c r="B35" s="98" t="s">
        <v>57</v>
      </c>
      <c r="C35" s="98"/>
      <c r="D35" s="98" t="s">
        <v>3</v>
      </c>
      <c r="E35" s="117">
        <f>Inputs!$D$19</f>
        <v>6</v>
      </c>
      <c r="F35" s="111">
        <f>Inputs!$D$19</f>
        <v>6</v>
      </c>
      <c r="G35" s="111">
        <f>Inputs!$D$19</f>
        <v>6</v>
      </c>
      <c r="H35" s="111">
        <f>Inputs!$D$19</f>
        <v>6</v>
      </c>
      <c r="I35" s="111">
        <f>Inputs!$D$19</f>
        <v>6</v>
      </c>
      <c r="J35" s="111">
        <f>Inputs!$D$19</f>
        <v>6</v>
      </c>
      <c r="K35" s="111">
        <f>Inputs!$D$19</f>
        <v>6</v>
      </c>
      <c r="L35" s="111">
        <f>Inputs!$D$19</f>
        <v>6</v>
      </c>
      <c r="M35" s="111">
        <f>Inputs!$D$19</f>
        <v>6</v>
      </c>
      <c r="N35" s="111">
        <f>Inputs!$D$19</f>
        <v>6</v>
      </c>
      <c r="O35" s="111">
        <f>Inputs!$D$19</f>
        <v>6</v>
      </c>
      <c r="P35" s="111">
        <f>Inputs!$D$19</f>
        <v>6</v>
      </c>
      <c r="Q35" s="111">
        <f>Inputs!$D$19</f>
        <v>6</v>
      </c>
      <c r="R35" s="111">
        <f>Inputs!$D$19</f>
        <v>6</v>
      </c>
      <c r="S35" s="111">
        <f>Inputs!$D$19</f>
        <v>6</v>
      </c>
      <c r="T35" s="111">
        <f>Inputs!$D$19</f>
        <v>6</v>
      </c>
      <c r="U35" s="111">
        <f>Inputs!$D$19</f>
        <v>6</v>
      </c>
      <c r="V35" s="111">
        <f>Inputs!$D$19</f>
        <v>6</v>
      </c>
      <c r="W35" s="111">
        <f>Inputs!$D$19</f>
        <v>6</v>
      </c>
      <c r="X35" s="111">
        <f>Inputs!$D$19</f>
        <v>6</v>
      </c>
      <c r="Y35" s="101"/>
      <c r="Z35" s="101"/>
      <c r="AA35" s="101"/>
      <c r="AB35" s="101"/>
      <c r="AC35" s="101"/>
      <c r="AD35" s="101"/>
      <c r="AE35" s="101"/>
    </row>
    <row r="36" spans="1:31" x14ac:dyDescent="0.35">
      <c r="A36" s="98"/>
      <c r="B36" s="98" t="s">
        <v>57</v>
      </c>
      <c r="C36" s="98"/>
      <c r="D36" s="98" t="s">
        <v>28</v>
      </c>
      <c r="E36" s="117">
        <f>Inputs!$D$20</f>
        <v>8</v>
      </c>
      <c r="F36" s="111">
        <f>Inputs!$D$20</f>
        <v>8</v>
      </c>
      <c r="G36" s="111">
        <f>Inputs!$D$20</f>
        <v>8</v>
      </c>
      <c r="H36" s="111">
        <f>Inputs!$D$20</f>
        <v>8</v>
      </c>
      <c r="I36" s="111">
        <f>Inputs!$D$20</f>
        <v>8</v>
      </c>
      <c r="J36" s="111">
        <f>Inputs!$D$20</f>
        <v>8</v>
      </c>
      <c r="K36" s="111">
        <f>Inputs!$D$20</f>
        <v>8</v>
      </c>
      <c r="L36" s="111">
        <f>Inputs!$D$20</f>
        <v>8</v>
      </c>
      <c r="M36" s="111">
        <f>Inputs!$D$20</f>
        <v>8</v>
      </c>
      <c r="N36" s="111">
        <f>Inputs!$D$20</f>
        <v>8</v>
      </c>
      <c r="O36" s="111">
        <f>Inputs!$D$20</f>
        <v>8</v>
      </c>
      <c r="P36" s="111">
        <f>Inputs!$D$20</f>
        <v>8</v>
      </c>
      <c r="Q36" s="111">
        <f>Inputs!$D$20</f>
        <v>8</v>
      </c>
      <c r="R36" s="111">
        <f>Inputs!$D$20</f>
        <v>8</v>
      </c>
      <c r="S36" s="111">
        <f>Inputs!$D$20</f>
        <v>8</v>
      </c>
      <c r="T36" s="111">
        <f>Inputs!$D$20</f>
        <v>8</v>
      </c>
      <c r="U36" s="111">
        <f>Inputs!$D$20</f>
        <v>8</v>
      </c>
      <c r="V36" s="111">
        <f>Inputs!$D$20</f>
        <v>8</v>
      </c>
      <c r="W36" s="111">
        <f>Inputs!$D$20</f>
        <v>8</v>
      </c>
      <c r="X36" s="111">
        <f>Inputs!$D$20</f>
        <v>8</v>
      </c>
      <c r="Y36" s="101"/>
      <c r="Z36" s="101"/>
      <c r="AA36" s="101"/>
      <c r="AB36" s="101"/>
      <c r="AC36" s="101"/>
      <c r="AD36" s="101"/>
      <c r="AE36" s="101"/>
    </row>
    <row r="37" spans="1:31" x14ac:dyDescent="0.35">
      <c r="A37" s="98"/>
      <c r="B37" s="98" t="s">
        <v>51</v>
      </c>
      <c r="C37" s="99" t="s">
        <v>188</v>
      </c>
      <c r="D37" s="98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1"/>
      <c r="Z37" s="101"/>
      <c r="AA37" s="101"/>
      <c r="AB37" s="101"/>
      <c r="AC37" s="101"/>
      <c r="AD37" s="101"/>
      <c r="AE37" s="101"/>
    </row>
    <row r="38" spans="1:31" x14ac:dyDescent="0.35">
      <c r="A38" s="98"/>
      <c r="B38" s="98" t="s">
        <v>54</v>
      </c>
      <c r="C38" s="98"/>
      <c r="D38" s="98" t="s">
        <v>52</v>
      </c>
      <c r="E38" s="113">
        <f>(Inputs!$D$36)*E$28</f>
        <v>3254757.0414009355</v>
      </c>
      <c r="F38" s="113">
        <f>(Inputs!$D$36)*F$28</f>
        <v>6574609.22362989</v>
      </c>
      <c r="G38" s="113">
        <f>(Inputs!$D$36)*G$28</f>
        <v>9960532.9737992827</v>
      </c>
      <c r="H38" s="113">
        <f>(Inputs!$D$36)*H$28</f>
        <v>13413517.738049699</v>
      </c>
      <c r="I38" s="113">
        <f>(Inputs!$D$36)*I$28</f>
        <v>16934566.144287746</v>
      </c>
      <c r="J38" s="113">
        <f>(Inputs!$D$36)*J$28</f>
        <v>20524694.166876748</v>
      </c>
      <c r="K38" s="113">
        <f>(Inputs!$D$36)*K$28</f>
        <v>24184931.293303106</v>
      </c>
      <c r="L38" s="113">
        <f>(Inputs!$D$36)*L$28</f>
        <v>27916320.692841299</v>
      </c>
      <c r="M38" s="113">
        <f>(Inputs!$D$36)*M$28</f>
        <v>31719919.387240924</v>
      </c>
      <c r="N38" s="113">
        <f>(Inputs!$D$36)*N$28</f>
        <v>35596798.423459262</v>
      </c>
      <c r="O38" s="113">
        <f>(Inputs!$D$36)*O$28</f>
        <v>35952766.407693855</v>
      </c>
      <c r="P38" s="113">
        <f>(Inputs!$D$36)*P$28</f>
        <v>36312294.071770795</v>
      </c>
      <c r="Q38" s="113">
        <f>(Inputs!$D$36)*Q$28</f>
        <v>36675417.012488499</v>
      </c>
      <c r="R38" s="113">
        <f>(Inputs!$D$36)*R$28</f>
        <v>37042171.182613388</v>
      </c>
      <c r="S38" s="113">
        <f>(Inputs!$D$36)*S$28</f>
        <v>37412592.894439518</v>
      </c>
      <c r="T38" s="113">
        <f>(Inputs!$D$36)*T$28</f>
        <v>37786718.82338392</v>
      </c>
      <c r="U38" s="113">
        <f>(Inputs!$D$36)*U$28</f>
        <v>38164586.011617757</v>
      </c>
      <c r="V38" s="113">
        <f>(Inputs!$D$36)*V$28</f>
        <v>38546231.871733934</v>
      </c>
      <c r="W38" s="113">
        <f>(Inputs!$D$36)*W$28</f>
        <v>38931694.190451279</v>
      </c>
      <c r="X38" s="113">
        <f>(Inputs!$D$36)*X$28</f>
        <v>39321011.132355787</v>
      </c>
      <c r="Y38" s="101"/>
      <c r="Z38" s="101"/>
      <c r="AA38" s="101"/>
      <c r="AB38" s="101"/>
      <c r="AC38" s="101"/>
      <c r="AD38" s="101"/>
      <c r="AE38" s="101"/>
    </row>
    <row r="39" spans="1:31" x14ac:dyDescent="0.35">
      <c r="A39" s="98"/>
      <c r="B39" s="98" t="s">
        <v>54</v>
      </c>
      <c r="C39" s="98"/>
      <c r="D39" s="98" t="s">
        <v>53</v>
      </c>
      <c r="E39" s="113">
        <f>(Inputs!$D$37)*E$28</f>
        <v>0</v>
      </c>
      <c r="F39" s="113">
        <f>(Inputs!$D$37)*F$28</f>
        <v>0</v>
      </c>
      <c r="G39" s="113">
        <f>(Inputs!$D$37)*G$28</f>
        <v>0</v>
      </c>
      <c r="H39" s="113">
        <f>(Inputs!$D$37)*H$28</f>
        <v>0</v>
      </c>
      <c r="I39" s="113">
        <f>(Inputs!$D$37)*I$28</f>
        <v>0</v>
      </c>
      <c r="J39" s="113">
        <f>(Inputs!$D$37)*J$28</f>
        <v>0</v>
      </c>
      <c r="K39" s="113">
        <f>(Inputs!$D$37)*K$28</f>
        <v>0</v>
      </c>
      <c r="L39" s="113">
        <f>(Inputs!$D$37)*L$28</f>
        <v>0</v>
      </c>
      <c r="M39" s="113">
        <f>(Inputs!$D$37)*M$28</f>
        <v>0</v>
      </c>
      <c r="N39" s="113">
        <f>(Inputs!$D$37)*N$28</f>
        <v>0</v>
      </c>
      <c r="O39" s="113">
        <f>(Inputs!$D$37)*O$28</f>
        <v>0</v>
      </c>
      <c r="P39" s="113">
        <f>(Inputs!$D$37)*P$28</f>
        <v>0</v>
      </c>
      <c r="Q39" s="113">
        <f>(Inputs!$D$37)*Q$28</f>
        <v>0</v>
      </c>
      <c r="R39" s="113">
        <f>(Inputs!$D$37)*R$28</f>
        <v>0</v>
      </c>
      <c r="S39" s="113">
        <f>(Inputs!$D$37)*S$28</f>
        <v>0</v>
      </c>
      <c r="T39" s="113">
        <f>(Inputs!$D$37)*T$28</f>
        <v>0</v>
      </c>
      <c r="U39" s="113">
        <f>(Inputs!$D$37)*U$28</f>
        <v>0</v>
      </c>
      <c r="V39" s="113">
        <f>(Inputs!$D$37)*V$28</f>
        <v>0</v>
      </c>
      <c r="W39" s="113">
        <f>(Inputs!$D$37)*W$28</f>
        <v>0</v>
      </c>
      <c r="X39" s="113">
        <f>(Inputs!$D$37)*X$28</f>
        <v>0</v>
      </c>
      <c r="Y39" s="101"/>
      <c r="Z39" s="101"/>
      <c r="AA39" s="101"/>
      <c r="AB39" s="101"/>
      <c r="AC39" s="101"/>
      <c r="AD39" s="101"/>
      <c r="AE39" s="101"/>
    </row>
    <row r="40" spans="1:31" x14ac:dyDescent="0.35">
      <c r="A40" s="98"/>
      <c r="B40" s="98" t="s">
        <v>56</v>
      </c>
      <c r="C40" s="98"/>
      <c r="D40" s="98" t="s">
        <v>168</v>
      </c>
      <c r="E40" s="113">
        <f t="shared" ref="E40:X40" si="31">E18-E38</f>
        <v>225560635.89590093</v>
      </c>
      <c r="F40" s="113">
        <f t="shared" si="31"/>
        <v>224528937.64304501</v>
      </c>
      <c r="G40" s="113">
        <f t="shared" si="31"/>
        <v>223454049.36154237</v>
      </c>
      <c r="H40" s="113">
        <f t="shared" si="31"/>
        <v>222335210.42064536</v>
      </c>
      <c r="I40" s="113">
        <f t="shared" si="31"/>
        <v>221171649.29599428</v>
      </c>
      <c r="J40" s="113">
        <f t="shared" si="31"/>
        <v>219962583.42780805</v>
      </c>
      <c r="K40" s="113">
        <f t="shared" si="31"/>
        <v>218707219.07732859</v>
      </c>
      <c r="L40" s="113">
        <f t="shared" si="31"/>
        <v>217404751.18149674</v>
      </c>
      <c r="M40" s="113">
        <f t="shared" si="31"/>
        <v>216054363.20584047</v>
      </c>
      <c r="N40" s="113">
        <f t="shared" si="31"/>
        <v>214655226.99555293</v>
      </c>
      <c r="O40" s="113">
        <f t="shared" si="31"/>
        <v>216801779.26550847</v>
      </c>
      <c r="P40" s="113">
        <f t="shared" si="31"/>
        <v>218969797.05816358</v>
      </c>
      <c r="Q40" s="113">
        <f t="shared" si="31"/>
        <v>221159495.02874523</v>
      </c>
      <c r="R40" s="113">
        <f t="shared" si="31"/>
        <v>223371089.9790327</v>
      </c>
      <c r="S40" s="113">
        <f t="shared" si="31"/>
        <v>225604800.87882301</v>
      </c>
      <c r="T40" s="113">
        <f t="shared" si="31"/>
        <v>227860848.88761124</v>
      </c>
      <c r="U40" s="113">
        <f t="shared" si="31"/>
        <v>230139457.37648734</v>
      </c>
      <c r="V40" s="113">
        <f t="shared" si="31"/>
        <v>232440851.95025221</v>
      </c>
      <c r="W40" s="113">
        <f t="shared" si="31"/>
        <v>234765260.46975476</v>
      </c>
      <c r="X40" s="113">
        <f t="shared" si="31"/>
        <v>237112913.07445225</v>
      </c>
      <c r="Y40" s="101"/>
      <c r="Z40" s="101"/>
      <c r="AA40" s="101"/>
      <c r="AB40" s="101"/>
      <c r="AC40" s="101"/>
      <c r="AD40" s="101"/>
      <c r="AE40" s="101"/>
    </row>
    <row r="41" spans="1:31" x14ac:dyDescent="0.35">
      <c r="A41" s="98"/>
      <c r="B41" s="98" t="s">
        <v>56</v>
      </c>
      <c r="C41" s="98"/>
      <c r="D41" s="98" t="s">
        <v>169</v>
      </c>
      <c r="E41" s="113">
        <f t="shared" ref="E41:X41" si="32">E19-E39</f>
        <v>457493524.09119803</v>
      </c>
      <c r="F41" s="113">
        <f t="shared" si="32"/>
        <v>462068459.33211005</v>
      </c>
      <c r="G41" s="113">
        <f t="shared" si="32"/>
        <v>466689143.92543113</v>
      </c>
      <c r="H41" s="113">
        <f t="shared" si="32"/>
        <v>471356035.36468542</v>
      </c>
      <c r="I41" s="113">
        <f t="shared" si="32"/>
        <v>476069595.71833235</v>
      </c>
      <c r="J41" s="113">
        <f t="shared" si="32"/>
        <v>480830291.67551559</v>
      </c>
      <c r="K41" s="113">
        <f t="shared" si="32"/>
        <v>485638594.59227079</v>
      </c>
      <c r="L41" s="113">
        <f t="shared" si="32"/>
        <v>490494980.53819352</v>
      </c>
      <c r="M41" s="113">
        <f t="shared" si="32"/>
        <v>495399930.34357542</v>
      </c>
      <c r="N41" s="113">
        <f t="shared" si="32"/>
        <v>500353929.64701122</v>
      </c>
      <c r="O41" s="113">
        <f t="shared" si="32"/>
        <v>505357468.94348133</v>
      </c>
      <c r="P41" s="113">
        <f t="shared" si="32"/>
        <v>510411043.63291615</v>
      </c>
      <c r="Q41" s="113">
        <f t="shared" si="32"/>
        <v>515515154.06924534</v>
      </c>
      <c r="R41" s="113">
        <f t="shared" si="32"/>
        <v>520670305.60993779</v>
      </c>
      <c r="S41" s="113">
        <f t="shared" si="32"/>
        <v>525877008.6660372</v>
      </c>
      <c r="T41" s="113">
        <f t="shared" si="32"/>
        <v>531135778.75269759</v>
      </c>
      <c r="U41" s="113">
        <f t="shared" si="32"/>
        <v>536447136.54022449</v>
      </c>
      <c r="V41" s="113">
        <f t="shared" si="32"/>
        <v>541811607.90562677</v>
      </c>
      <c r="W41" s="113">
        <f t="shared" si="32"/>
        <v>547229723.98468304</v>
      </c>
      <c r="X41" s="113">
        <f t="shared" si="32"/>
        <v>552702021.22452986</v>
      </c>
      <c r="Y41" s="101"/>
      <c r="Z41" s="101"/>
      <c r="AA41" s="101"/>
      <c r="AB41" s="101"/>
      <c r="AC41" s="101"/>
      <c r="AD41" s="101"/>
      <c r="AE41" s="101"/>
    </row>
    <row r="42" spans="1:31" x14ac:dyDescent="0.35">
      <c r="A42" s="98"/>
      <c r="B42" s="98" t="s">
        <v>58</v>
      </c>
      <c r="C42" s="98"/>
      <c r="D42" s="98" t="s">
        <v>170</v>
      </c>
      <c r="E42" s="112">
        <f>E40+E41</f>
        <v>683054159.98709893</v>
      </c>
      <c r="F42" s="112">
        <f t="shared" ref="F42:X42" si="33">F40+F41</f>
        <v>686597396.97515512</v>
      </c>
      <c r="G42" s="112">
        <f t="shared" si="33"/>
        <v>690143193.28697348</v>
      </c>
      <c r="H42" s="112">
        <f t="shared" si="33"/>
        <v>693691245.78533077</v>
      </c>
      <c r="I42" s="112">
        <f t="shared" si="33"/>
        <v>697241245.01432657</v>
      </c>
      <c r="J42" s="112">
        <f t="shared" si="33"/>
        <v>700792875.1033237</v>
      </c>
      <c r="K42" s="112">
        <f t="shared" si="33"/>
        <v>704345813.66959941</v>
      </c>
      <c r="L42" s="112">
        <f t="shared" si="33"/>
        <v>707899731.71969032</v>
      </c>
      <c r="M42" s="112">
        <f t="shared" si="33"/>
        <v>711454293.54941583</v>
      </c>
      <c r="N42" s="112">
        <f t="shared" si="33"/>
        <v>715009156.64256418</v>
      </c>
      <c r="O42" s="112">
        <f t="shared" si="33"/>
        <v>722159248.20898986</v>
      </c>
      <c r="P42" s="112">
        <f t="shared" si="33"/>
        <v>729380840.69107974</v>
      </c>
      <c r="Q42" s="112">
        <f t="shared" si="33"/>
        <v>736674649.09799051</v>
      </c>
      <c r="R42" s="112">
        <f t="shared" si="33"/>
        <v>744041395.58897042</v>
      </c>
      <c r="S42" s="112">
        <f t="shared" si="33"/>
        <v>751481809.54486024</v>
      </c>
      <c r="T42" s="112">
        <f t="shared" si="33"/>
        <v>758996627.64030886</v>
      </c>
      <c r="U42" s="112">
        <f t="shared" si="33"/>
        <v>766586593.91671181</v>
      </c>
      <c r="V42" s="112">
        <f t="shared" si="33"/>
        <v>774252459.85587895</v>
      </c>
      <c r="W42" s="112">
        <f t="shared" si="33"/>
        <v>781994984.45443773</v>
      </c>
      <c r="X42" s="112">
        <f t="shared" si="33"/>
        <v>789814934.29898214</v>
      </c>
      <c r="Y42" s="101"/>
      <c r="Z42" s="101"/>
      <c r="AA42" s="101"/>
      <c r="AB42" s="101"/>
      <c r="AC42" s="101"/>
      <c r="AD42" s="101"/>
      <c r="AE42" s="101"/>
    </row>
    <row r="43" spans="1:31" x14ac:dyDescent="0.35">
      <c r="A43" s="98"/>
      <c r="B43" s="98" t="s">
        <v>57</v>
      </c>
      <c r="C43" s="98"/>
      <c r="D43" s="98" t="s">
        <v>171</v>
      </c>
      <c r="E43" s="113">
        <f t="shared" ref="E43:X43" si="34">E21</f>
        <v>52842024</v>
      </c>
      <c r="F43" s="113">
        <f t="shared" si="34"/>
        <v>53370444.24000001</v>
      </c>
      <c r="G43" s="113">
        <f t="shared" si="34"/>
        <v>53904148.682400003</v>
      </c>
      <c r="H43" s="113">
        <f t="shared" si="34"/>
        <v>54443190.169223994</v>
      </c>
      <c r="I43" s="113">
        <f t="shared" si="34"/>
        <v>54987622.070916235</v>
      </c>
      <c r="J43" s="113">
        <f t="shared" si="34"/>
        <v>55537498.29162541</v>
      </c>
      <c r="K43" s="113">
        <f t="shared" si="34"/>
        <v>56092873.274541661</v>
      </c>
      <c r="L43" s="113">
        <f t="shared" si="34"/>
        <v>56653802.00728707</v>
      </c>
      <c r="M43" s="113">
        <f t="shared" si="34"/>
        <v>57220340.027359948</v>
      </c>
      <c r="N43" s="113">
        <f t="shared" si="34"/>
        <v>57792543.427633546</v>
      </c>
      <c r="O43" s="113">
        <f t="shared" si="34"/>
        <v>58370468.861909889</v>
      </c>
      <c r="P43" s="113">
        <f t="shared" si="34"/>
        <v>58954173.550528988</v>
      </c>
      <c r="Q43" s="113">
        <f t="shared" si="34"/>
        <v>59543715.286034279</v>
      </c>
      <c r="R43" s="113">
        <f t="shared" si="34"/>
        <v>60139152.438894622</v>
      </c>
      <c r="S43" s="113">
        <f t="shared" si="34"/>
        <v>60740543.963283569</v>
      </c>
      <c r="T43" s="113">
        <f t="shared" si="34"/>
        <v>61347949.402916402</v>
      </c>
      <c r="U43" s="113">
        <f t="shared" si="34"/>
        <v>61961428.896945566</v>
      </c>
      <c r="V43" s="113">
        <f t="shared" si="34"/>
        <v>62581043.185915023</v>
      </c>
      <c r="W43" s="113">
        <f t="shared" si="34"/>
        <v>63206853.617774174</v>
      </c>
      <c r="X43" s="113">
        <f t="shared" si="34"/>
        <v>63838922.153951906</v>
      </c>
      <c r="Y43" s="101"/>
      <c r="Z43" s="101"/>
      <c r="AA43" s="101"/>
      <c r="AB43" s="101"/>
      <c r="AC43" s="101"/>
      <c r="AD43" s="101"/>
      <c r="AE43" s="101"/>
    </row>
    <row r="44" spans="1:31" x14ac:dyDescent="0.35">
      <c r="A44" s="98"/>
      <c r="B44" s="98" t="s">
        <v>59</v>
      </c>
      <c r="C44" s="98"/>
      <c r="D44" s="98" t="s">
        <v>172</v>
      </c>
      <c r="E44" s="113">
        <f>E42+E43</f>
        <v>735896183.98709893</v>
      </c>
      <c r="F44" s="113">
        <f t="shared" ref="F44:X44" si="35">F42+F43</f>
        <v>739967841.21515512</v>
      </c>
      <c r="G44" s="113">
        <f t="shared" si="35"/>
        <v>744047341.96937346</v>
      </c>
      <c r="H44" s="113">
        <f t="shared" si="35"/>
        <v>748134435.9545548</v>
      </c>
      <c r="I44" s="113">
        <f t="shared" si="35"/>
        <v>752228867.08524275</v>
      </c>
      <c r="J44" s="113">
        <f t="shared" si="35"/>
        <v>756330373.39494908</v>
      </c>
      <c r="K44" s="113">
        <f t="shared" si="35"/>
        <v>760438686.94414103</v>
      </c>
      <c r="L44" s="113">
        <f t="shared" si="35"/>
        <v>764553533.72697735</v>
      </c>
      <c r="M44" s="113">
        <f t="shared" si="35"/>
        <v>768674633.57677579</v>
      </c>
      <c r="N44" s="113">
        <f t="shared" si="35"/>
        <v>772801700.0701977</v>
      </c>
      <c r="O44" s="113">
        <f t="shared" si="35"/>
        <v>780529717.07089972</v>
      </c>
      <c r="P44" s="113">
        <f t="shared" si="35"/>
        <v>788335014.24160874</v>
      </c>
      <c r="Q44" s="113">
        <f t="shared" si="35"/>
        <v>796218364.38402474</v>
      </c>
      <c r="R44" s="113">
        <f t="shared" si="35"/>
        <v>804180548.02786505</v>
      </c>
      <c r="S44" s="113">
        <f t="shared" si="35"/>
        <v>812222353.50814378</v>
      </c>
      <c r="T44" s="113">
        <f t="shared" si="35"/>
        <v>820344577.04322529</v>
      </c>
      <c r="U44" s="113">
        <f t="shared" si="35"/>
        <v>828548022.8136574</v>
      </c>
      <c r="V44" s="113">
        <f t="shared" si="35"/>
        <v>836833503.04179394</v>
      </c>
      <c r="W44" s="113">
        <f t="shared" si="35"/>
        <v>845201838.07221186</v>
      </c>
      <c r="X44" s="113">
        <f t="shared" si="35"/>
        <v>853653856.45293403</v>
      </c>
      <c r="Y44" s="101"/>
      <c r="Z44" s="101"/>
      <c r="AA44" s="101"/>
      <c r="AB44" s="101"/>
      <c r="AC44" s="101"/>
      <c r="AD44" s="101"/>
      <c r="AE44" s="101"/>
    </row>
    <row r="45" spans="1:31" x14ac:dyDescent="0.35">
      <c r="A45" s="98"/>
      <c r="B45" s="98"/>
      <c r="C45" s="98"/>
      <c r="D45" s="98" t="s">
        <v>190</v>
      </c>
      <c r="E45" s="114">
        <f>(E41+E43)/E44</f>
        <v>0.69348850992294964</v>
      </c>
      <c r="F45" s="114">
        <f t="shared" ref="F45:X45" si="36">(F41+F43)/F44</f>
        <v>0.69656933026396151</v>
      </c>
      <c r="G45" s="114">
        <f t="shared" si="36"/>
        <v>0.69967764582009595</v>
      </c>
      <c r="H45" s="114">
        <f t="shared" si="36"/>
        <v>0.70281382631857481</v>
      </c>
      <c r="I45" s="114">
        <f t="shared" si="36"/>
        <v>0.70597824814541321</v>
      </c>
      <c r="J45" s="114">
        <f t="shared" si="36"/>
        <v>0.70917129449600258</v>
      </c>
      <c r="K45" s="114">
        <f t="shared" si="36"/>
        <v>0.71239335552980099</v>
      </c>
      <c r="L45" s="114">
        <f t="shared" si="36"/>
        <v>0.71564482852925748</v>
      </c>
      <c r="M45" s="114">
        <f t="shared" si="36"/>
        <v>0.71892611806311046</v>
      </c>
      <c r="N45" s="114">
        <f t="shared" si="36"/>
        <v>0.72223763615419767</v>
      </c>
      <c r="O45" s="114">
        <f t="shared" si="36"/>
        <v>0.72223763615419745</v>
      </c>
      <c r="P45" s="114">
        <f t="shared" si="36"/>
        <v>0.72223763615419745</v>
      </c>
      <c r="Q45" s="114">
        <f t="shared" si="36"/>
        <v>0.72223763615419756</v>
      </c>
      <c r="R45" s="114">
        <f t="shared" si="36"/>
        <v>0.72223763615419756</v>
      </c>
      <c r="S45" s="114">
        <f t="shared" si="36"/>
        <v>0.72223763615419756</v>
      </c>
      <c r="T45" s="114">
        <f t="shared" si="36"/>
        <v>0.72223763615419756</v>
      </c>
      <c r="U45" s="114">
        <f t="shared" si="36"/>
        <v>0.72223763615419756</v>
      </c>
      <c r="V45" s="114">
        <f t="shared" si="36"/>
        <v>0.72223763615419756</v>
      </c>
      <c r="W45" s="114">
        <f t="shared" si="36"/>
        <v>0.72223763615419756</v>
      </c>
      <c r="X45" s="114">
        <f t="shared" si="36"/>
        <v>0.72223763615419756</v>
      </c>
      <c r="Y45" s="101"/>
      <c r="Z45" s="101"/>
      <c r="AA45" s="101"/>
      <c r="AB45" s="101"/>
      <c r="AC45" s="101"/>
      <c r="AD45" s="101"/>
      <c r="AE45" s="101"/>
    </row>
    <row r="46" spans="1:31" x14ac:dyDescent="0.35">
      <c r="A46" s="98"/>
      <c r="B46" s="98"/>
      <c r="C46" s="98"/>
      <c r="D46" s="98"/>
      <c r="E46" s="114"/>
      <c r="F46" s="114"/>
      <c r="G46" s="114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1"/>
      <c r="Z46" s="101"/>
      <c r="AA46" s="101"/>
      <c r="AB46" s="101"/>
      <c r="AC46" s="101"/>
      <c r="AD46" s="101"/>
      <c r="AE46" s="101"/>
    </row>
    <row r="47" spans="1:31" x14ac:dyDescent="0.35">
      <c r="A47" s="98"/>
      <c r="B47" s="98"/>
      <c r="C47" s="19" t="s">
        <v>64</v>
      </c>
      <c r="D47" s="20"/>
      <c r="E47" s="6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1"/>
      <c r="Z47" s="101"/>
      <c r="AA47" s="101"/>
      <c r="AB47" s="101"/>
      <c r="AC47" s="101"/>
      <c r="AD47" s="101"/>
      <c r="AE47" s="101"/>
    </row>
    <row r="48" spans="1:31" x14ac:dyDescent="0.35">
      <c r="A48" s="98"/>
      <c r="B48" s="98"/>
      <c r="C48" s="99" t="s">
        <v>8</v>
      </c>
      <c r="D48" s="99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AA48" s="101"/>
      <c r="AB48" s="101"/>
      <c r="AC48" s="101"/>
      <c r="AD48" s="101"/>
      <c r="AE48" s="101"/>
    </row>
    <row r="49" spans="1:31" x14ac:dyDescent="0.35">
      <c r="A49" s="98"/>
      <c r="B49" s="98"/>
      <c r="C49" s="98"/>
      <c r="D49" s="98" t="s">
        <v>174</v>
      </c>
      <c r="E49" s="118">
        <f t="shared" ref="E49:X49" si="37">E32-E12</f>
        <v>-0.21316871659007575</v>
      </c>
      <c r="F49" s="118">
        <f t="shared" si="37"/>
        <v>-0.42970467012838043</v>
      </c>
      <c r="G49" s="118">
        <f t="shared" si="37"/>
        <v>-0.64968827964752762</v>
      </c>
      <c r="H49" s="118">
        <f t="shared" si="37"/>
        <v>-0.87320254557215904</v>
      </c>
      <c r="I49" s="118">
        <f t="shared" si="37"/>
        <v>-1.1003331541329153</v>
      </c>
      <c r="J49" s="118">
        <f t="shared" si="37"/>
        <v>-1.3311685868897101</v>
      </c>
      <c r="K49" s="118">
        <f t="shared" si="37"/>
        <v>-1.5658002356585605</v>
      </c>
      <c r="L49" s="118">
        <f t="shared" si="37"/>
        <v>-1.8043225231555482</v>
      </c>
      <c r="M49" s="118">
        <f t="shared" si="37"/>
        <v>-2.0468330296924542</v>
      </c>
      <c r="N49" s="118">
        <f t="shared" si="37"/>
        <v>-2.293432626281227</v>
      </c>
      <c r="O49" s="118">
        <f t="shared" si="37"/>
        <v>-2.2934326262812235</v>
      </c>
      <c r="P49" s="118">
        <f t="shared" si="37"/>
        <v>-2.2934326262812235</v>
      </c>
      <c r="Q49" s="118">
        <f t="shared" si="37"/>
        <v>-2.2934326262812235</v>
      </c>
      <c r="R49" s="118">
        <f t="shared" si="37"/>
        <v>-2.2934326262812199</v>
      </c>
      <c r="S49" s="118">
        <f t="shared" si="37"/>
        <v>-2.2934326262812199</v>
      </c>
      <c r="T49" s="118">
        <f t="shared" si="37"/>
        <v>-2.2934326262812235</v>
      </c>
      <c r="U49" s="118">
        <f t="shared" si="37"/>
        <v>-2.2934326262812199</v>
      </c>
      <c r="V49" s="118">
        <f t="shared" si="37"/>
        <v>-2.2934326262812199</v>
      </c>
      <c r="W49" s="118">
        <f t="shared" si="37"/>
        <v>-2.2934326262812199</v>
      </c>
      <c r="X49" s="118">
        <f t="shared" si="37"/>
        <v>-2.2934326262812235</v>
      </c>
      <c r="AA49" s="101"/>
      <c r="AB49" s="101"/>
      <c r="AC49" s="101"/>
      <c r="AD49" s="101"/>
      <c r="AE49" s="101"/>
    </row>
    <row r="50" spans="1:31" x14ac:dyDescent="0.35">
      <c r="A50" s="98"/>
      <c r="B50" s="98"/>
      <c r="C50" s="98"/>
      <c r="D50" s="98" t="s">
        <v>175</v>
      </c>
      <c r="E50" s="118">
        <f t="shared" ref="E50:X50" si="38">E33-E13</f>
        <v>0.51384826725208654</v>
      </c>
      <c r="F50" s="118">
        <f t="shared" si="38"/>
        <v>1.0358133393475839</v>
      </c>
      <c r="G50" s="118">
        <f t="shared" si="38"/>
        <v>1.5660890682794246</v>
      </c>
      <c r="H50" s="118">
        <f t="shared" si="38"/>
        <v>2.1048755285477085</v>
      </c>
      <c r="I50" s="118">
        <f t="shared" si="38"/>
        <v>2.6523792688516608</v>
      </c>
      <c r="J50" s="118">
        <f t="shared" si="38"/>
        <v>3.2088135760983505</v>
      </c>
      <c r="K50" s="118">
        <f t="shared" si="38"/>
        <v>3.7743987524364968</v>
      </c>
      <c r="L50" s="118">
        <f t="shared" si="38"/>
        <v>4.3493624060716058</v>
      </c>
      <c r="M50" s="118">
        <f t="shared" si="38"/>
        <v>4.9339397566687353</v>
      </c>
      <c r="N50" s="118">
        <f t="shared" si="38"/>
        <v>5.5283739562040921</v>
      </c>
      <c r="O50" s="118">
        <f t="shared" si="38"/>
        <v>5.5283739562040921</v>
      </c>
      <c r="P50" s="118">
        <f t="shared" si="38"/>
        <v>5.5283739562040921</v>
      </c>
      <c r="Q50" s="118">
        <f t="shared" si="38"/>
        <v>5.5283739562040921</v>
      </c>
      <c r="R50" s="118">
        <f t="shared" si="38"/>
        <v>5.5283739562040921</v>
      </c>
      <c r="S50" s="118">
        <f t="shared" si="38"/>
        <v>5.5283739562041063</v>
      </c>
      <c r="T50" s="118">
        <f t="shared" si="38"/>
        <v>5.5283739562041063</v>
      </c>
      <c r="U50" s="118">
        <f t="shared" si="38"/>
        <v>5.5283739562041063</v>
      </c>
      <c r="V50" s="118">
        <f t="shared" si="38"/>
        <v>5.5283739562041063</v>
      </c>
      <c r="W50" s="118">
        <f t="shared" si="38"/>
        <v>5.5283739562041063</v>
      </c>
      <c r="X50" s="118">
        <f t="shared" si="38"/>
        <v>5.5283739562041063</v>
      </c>
      <c r="AA50" s="101"/>
      <c r="AB50" s="101"/>
      <c r="AC50" s="101"/>
      <c r="AD50" s="101"/>
      <c r="AE50" s="101"/>
    </row>
    <row r="51" spans="1:31" x14ac:dyDescent="0.35">
      <c r="A51" s="98"/>
      <c r="B51" s="66"/>
      <c r="C51" s="98"/>
      <c r="D51" s="98" t="s">
        <v>176</v>
      </c>
      <c r="E51" s="118">
        <f t="shared" ref="E51:X51" si="39">E34-E14</f>
        <v>0.3006795506620108</v>
      </c>
      <c r="F51" s="118">
        <f t="shared" si="39"/>
        <v>0.60610866921919637</v>
      </c>
      <c r="G51" s="118">
        <f t="shared" si="39"/>
        <v>0.91640078863190411</v>
      </c>
      <c r="H51" s="118">
        <f t="shared" si="39"/>
        <v>1.2316729829755531</v>
      </c>
      <c r="I51" s="118">
        <f t="shared" si="39"/>
        <v>1.552046114718749</v>
      </c>
      <c r="J51" s="118">
        <f t="shared" si="39"/>
        <v>1.8776449892086475</v>
      </c>
      <c r="K51" s="118">
        <f t="shared" si="39"/>
        <v>2.2085985167779398</v>
      </c>
      <c r="L51" s="118">
        <f t="shared" si="39"/>
        <v>2.5450398829160576</v>
      </c>
      <c r="M51" s="118">
        <f t="shared" si="39"/>
        <v>2.8871067269762847</v>
      </c>
      <c r="N51" s="118">
        <f t="shared" si="39"/>
        <v>3.2349413299228615</v>
      </c>
      <c r="O51" s="118">
        <f t="shared" si="39"/>
        <v>3.2349413299228615</v>
      </c>
      <c r="P51" s="118">
        <f t="shared" si="39"/>
        <v>3.2349413299228615</v>
      </c>
      <c r="Q51" s="118">
        <f t="shared" si="39"/>
        <v>3.2349413299228615</v>
      </c>
      <c r="R51" s="118">
        <f t="shared" si="39"/>
        <v>3.2349413299228758</v>
      </c>
      <c r="S51" s="118">
        <f t="shared" si="39"/>
        <v>3.23494132992289</v>
      </c>
      <c r="T51" s="118">
        <f t="shared" si="39"/>
        <v>3.23494132992289</v>
      </c>
      <c r="U51" s="118">
        <f t="shared" si="39"/>
        <v>3.23494132992289</v>
      </c>
      <c r="V51" s="118">
        <f t="shared" si="39"/>
        <v>3.23494132992289</v>
      </c>
      <c r="W51" s="118">
        <f t="shared" si="39"/>
        <v>3.23494132992289</v>
      </c>
      <c r="X51" s="118">
        <f t="shared" si="39"/>
        <v>3.23494132992289</v>
      </c>
      <c r="Y51" s="119" t="s">
        <v>191</v>
      </c>
      <c r="Z51" s="120"/>
      <c r="AA51" s="101"/>
      <c r="AB51" s="101"/>
      <c r="AC51" s="101"/>
      <c r="AD51" s="101"/>
      <c r="AE51" s="101"/>
    </row>
    <row r="52" spans="1:31" x14ac:dyDescent="0.35">
      <c r="A52" s="98"/>
      <c r="B52" s="66"/>
      <c r="C52" s="98"/>
      <c r="D52" s="98" t="s">
        <v>177</v>
      </c>
      <c r="E52" s="118">
        <f t="shared" ref="E52:X52" si="40">E35-E15</f>
        <v>0</v>
      </c>
      <c r="F52" s="118">
        <f t="shared" si="40"/>
        <v>0</v>
      </c>
      <c r="G52" s="118">
        <f t="shared" si="40"/>
        <v>0</v>
      </c>
      <c r="H52" s="118">
        <f t="shared" si="40"/>
        <v>0</v>
      </c>
      <c r="I52" s="118">
        <f t="shared" si="40"/>
        <v>0</v>
      </c>
      <c r="J52" s="118">
        <f t="shared" si="40"/>
        <v>0</v>
      </c>
      <c r="K52" s="118">
        <f t="shared" si="40"/>
        <v>0</v>
      </c>
      <c r="L52" s="118">
        <f t="shared" si="40"/>
        <v>0</v>
      </c>
      <c r="M52" s="118">
        <f t="shared" si="40"/>
        <v>0</v>
      </c>
      <c r="N52" s="118">
        <f t="shared" si="40"/>
        <v>0</v>
      </c>
      <c r="O52" s="118">
        <f t="shared" si="40"/>
        <v>0</v>
      </c>
      <c r="P52" s="118">
        <f t="shared" si="40"/>
        <v>0</v>
      </c>
      <c r="Q52" s="118">
        <f t="shared" si="40"/>
        <v>0</v>
      </c>
      <c r="R52" s="118">
        <f t="shared" si="40"/>
        <v>0</v>
      </c>
      <c r="S52" s="118">
        <f t="shared" si="40"/>
        <v>0</v>
      </c>
      <c r="T52" s="118">
        <f t="shared" si="40"/>
        <v>0</v>
      </c>
      <c r="U52" s="118">
        <f t="shared" si="40"/>
        <v>0</v>
      </c>
      <c r="V52" s="118">
        <f t="shared" si="40"/>
        <v>0</v>
      </c>
      <c r="W52" s="118">
        <f t="shared" si="40"/>
        <v>0</v>
      </c>
      <c r="X52" s="118">
        <f t="shared" si="40"/>
        <v>0</v>
      </c>
      <c r="AA52" s="101"/>
      <c r="AB52" s="101"/>
      <c r="AC52" s="101"/>
      <c r="AD52" s="101"/>
      <c r="AE52" s="101"/>
    </row>
    <row r="53" spans="1:31" x14ac:dyDescent="0.35">
      <c r="A53" s="98"/>
      <c r="B53" s="98"/>
      <c r="C53" s="98"/>
      <c r="D53" s="98" t="s">
        <v>178</v>
      </c>
      <c r="E53" s="118">
        <f t="shared" ref="E53:X53" si="41">E36-E16</f>
        <v>0</v>
      </c>
      <c r="F53" s="118">
        <f t="shared" si="41"/>
        <v>0</v>
      </c>
      <c r="G53" s="118">
        <f t="shared" si="41"/>
        <v>0</v>
      </c>
      <c r="H53" s="118">
        <f t="shared" si="41"/>
        <v>0</v>
      </c>
      <c r="I53" s="118">
        <f t="shared" si="41"/>
        <v>0</v>
      </c>
      <c r="J53" s="118">
        <f t="shared" si="41"/>
        <v>0</v>
      </c>
      <c r="K53" s="118">
        <f t="shared" si="41"/>
        <v>0</v>
      </c>
      <c r="L53" s="118">
        <f t="shared" si="41"/>
        <v>0</v>
      </c>
      <c r="M53" s="118">
        <f t="shared" si="41"/>
        <v>0</v>
      </c>
      <c r="N53" s="118">
        <f t="shared" si="41"/>
        <v>0</v>
      </c>
      <c r="O53" s="118">
        <f t="shared" si="41"/>
        <v>0</v>
      </c>
      <c r="P53" s="118">
        <f t="shared" si="41"/>
        <v>0</v>
      </c>
      <c r="Q53" s="118">
        <f t="shared" si="41"/>
        <v>0</v>
      </c>
      <c r="R53" s="118">
        <f t="shared" si="41"/>
        <v>0</v>
      </c>
      <c r="S53" s="118">
        <f t="shared" si="41"/>
        <v>0</v>
      </c>
      <c r="T53" s="118">
        <f t="shared" si="41"/>
        <v>0</v>
      </c>
      <c r="U53" s="118">
        <f t="shared" si="41"/>
        <v>0</v>
      </c>
      <c r="V53" s="118">
        <f t="shared" si="41"/>
        <v>0</v>
      </c>
      <c r="W53" s="118">
        <f t="shared" si="41"/>
        <v>0</v>
      </c>
      <c r="X53" s="118">
        <f t="shared" si="41"/>
        <v>0</v>
      </c>
      <c r="AA53" s="101"/>
      <c r="AB53" s="101"/>
      <c r="AC53" s="101"/>
      <c r="AD53" s="101"/>
      <c r="AE53" s="101"/>
    </row>
    <row r="54" spans="1:31" x14ac:dyDescent="0.35">
      <c r="A54" s="98"/>
      <c r="B54" s="98"/>
      <c r="C54" s="98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AA54" s="101"/>
      <c r="AB54" s="101"/>
      <c r="AC54" s="101"/>
      <c r="AD54" s="101"/>
      <c r="AE54" s="101"/>
    </row>
    <row r="55" spans="1:31" x14ac:dyDescent="0.35">
      <c r="A55" s="98"/>
      <c r="B55" s="98"/>
      <c r="C55" s="98"/>
      <c r="D55" s="98" t="s">
        <v>179</v>
      </c>
      <c r="E55" s="121">
        <f t="shared" ref="E55:X55" si="42">E32/E12-1</f>
        <v>-6.4996787573075032E-3</v>
      </c>
      <c r="F55" s="121">
        <f t="shared" si="42"/>
        <v>-1.3102027169024422E-2</v>
      </c>
      <c r="G55" s="121">
        <f t="shared" si="42"/>
        <v>-1.9809497273547305E-2</v>
      </c>
      <c r="H55" s="121">
        <f t="shared" si="42"/>
        <v>-2.6624619817908091E-2</v>
      </c>
      <c r="I55" s="121">
        <f t="shared" si="42"/>
        <v>-3.3550007441438101E-2</v>
      </c>
      <c r="J55" s="121">
        <f t="shared" si="42"/>
        <v>-4.0588358015215764E-2</v>
      </c>
      <c r="K55" s="121">
        <f t="shared" si="42"/>
        <v>-4.7742458146275646E-2</v>
      </c>
      <c r="L55" s="121">
        <f t="shared" si="42"/>
        <v>-5.5015186856135156E-2</v>
      </c>
      <c r="M55" s="121">
        <f t="shared" si="42"/>
        <v>-6.2409519443842765E-2</v>
      </c>
      <c r="N55" s="121">
        <f t="shared" si="42"/>
        <v>-6.9928531544435679E-2</v>
      </c>
      <c r="O55" s="121">
        <f t="shared" si="42"/>
        <v>-6.9928531544435568E-2</v>
      </c>
      <c r="P55" s="121">
        <f t="shared" si="42"/>
        <v>-6.9928531544435568E-2</v>
      </c>
      <c r="Q55" s="121">
        <f t="shared" si="42"/>
        <v>-6.9928531544435568E-2</v>
      </c>
      <c r="R55" s="121">
        <f t="shared" si="42"/>
        <v>-6.9928531544435457E-2</v>
      </c>
      <c r="S55" s="121">
        <f t="shared" si="42"/>
        <v>-6.9928531544435457E-2</v>
      </c>
      <c r="T55" s="121">
        <f t="shared" si="42"/>
        <v>-6.9928531544435568E-2</v>
      </c>
      <c r="U55" s="121">
        <f t="shared" si="42"/>
        <v>-6.9928531544435457E-2</v>
      </c>
      <c r="V55" s="121">
        <f t="shared" si="42"/>
        <v>-6.9928531544435457E-2</v>
      </c>
      <c r="W55" s="121">
        <f t="shared" si="42"/>
        <v>-6.9928531544435457E-2</v>
      </c>
      <c r="X55" s="121">
        <f t="shared" si="42"/>
        <v>-6.9928531544435568E-2</v>
      </c>
      <c r="AA55" s="101"/>
      <c r="AB55" s="101"/>
      <c r="AC55" s="101"/>
      <c r="AD55" s="101"/>
      <c r="AE55" s="101"/>
    </row>
    <row r="56" spans="1:31" x14ac:dyDescent="0.35">
      <c r="A56" s="98"/>
      <c r="B56" s="98"/>
      <c r="C56" s="98"/>
      <c r="D56" s="98" t="s">
        <v>180</v>
      </c>
      <c r="E56" s="121">
        <f t="shared" ref="E56:X56" si="43">E33/E13-1</f>
        <v>7.8361655860783586E-3</v>
      </c>
      <c r="F56" s="121">
        <f t="shared" si="43"/>
        <v>1.5796112122363981E-2</v>
      </c>
      <c r="G56" s="121">
        <f t="shared" si="43"/>
        <v>2.3882795844019311E-2</v>
      </c>
      <c r="H56" s="121">
        <f t="shared" si="43"/>
        <v>3.209926787919315E-2</v>
      </c>
      <c r="I56" s="121">
        <f t="shared" si="43"/>
        <v>4.044867808731234E-2</v>
      </c>
      <c r="J56" s="121">
        <f t="shared" si="43"/>
        <v>4.8934279085205201E-2</v>
      </c>
      <c r="K56" s="121">
        <f t="shared" si="43"/>
        <v>5.7559430471855189E-2</v>
      </c>
      <c r="L56" s="121">
        <f t="shared" si="43"/>
        <v>6.6327603263320434E-2</v>
      </c>
      <c r="M56" s="121">
        <f t="shared" si="43"/>
        <v>7.5242384550113783E-2</v>
      </c>
      <c r="N56" s="121">
        <f t="shared" si="43"/>
        <v>8.4307482390176602E-2</v>
      </c>
      <c r="O56" s="121">
        <f t="shared" si="43"/>
        <v>8.4307482390176602E-2</v>
      </c>
      <c r="P56" s="121">
        <f t="shared" si="43"/>
        <v>8.4307482390176602E-2</v>
      </c>
      <c r="Q56" s="121">
        <f t="shared" si="43"/>
        <v>8.4307482390176602E-2</v>
      </c>
      <c r="R56" s="121">
        <f t="shared" si="43"/>
        <v>8.4307482390176602E-2</v>
      </c>
      <c r="S56" s="121">
        <f t="shared" si="43"/>
        <v>8.4307482390176824E-2</v>
      </c>
      <c r="T56" s="121">
        <f t="shared" si="43"/>
        <v>8.4307482390176824E-2</v>
      </c>
      <c r="U56" s="121">
        <f t="shared" si="43"/>
        <v>8.4307482390176824E-2</v>
      </c>
      <c r="V56" s="121">
        <f t="shared" si="43"/>
        <v>8.4307482390176824E-2</v>
      </c>
      <c r="W56" s="121">
        <f t="shared" si="43"/>
        <v>8.4307482390176824E-2</v>
      </c>
      <c r="X56" s="121">
        <f t="shared" si="43"/>
        <v>8.4307482390176824E-2</v>
      </c>
      <c r="AA56" s="101"/>
      <c r="AB56" s="101"/>
      <c r="AC56" s="101"/>
      <c r="AD56" s="101"/>
      <c r="AE56" s="101"/>
    </row>
    <row r="57" spans="1:31" x14ac:dyDescent="0.35">
      <c r="A57" s="98"/>
      <c r="B57" s="98"/>
      <c r="C57" s="98"/>
      <c r="D57" s="98" t="s">
        <v>181</v>
      </c>
      <c r="E57" s="121">
        <f t="shared" ref="E57:X57" si="44">E34/E14-1</f>
        <v>3.0565950819934073E-3</v>
      </c>
      <c r="F57" s="121">
        <f t="shared" si="44"/>
        <v>6.1614724826148937E-3</v>
      </c>
      <c r="G57" s="121">
        <f t="shared" si="44"/>
        <v>9.3157853186227602E-3</v>
      </c>
      <c r="H57" s="121">
        <f t="shared" si="44"/>
        <v>1.2520723720979676E-2</v>
      </c>
      <c r="I57" s="121">
        <f t="shared" si="44"/>
        <v>1.5777516332027064E-2</v>
      </c>
      <c r="J57" s="121">
        <f t="shared" si="44"/>
        <v>1.9087431875924876E-2</v>
      </c>
      <c r="K57" s="121">
        <f t="shared" si="44"/>
        <v>2.2451780806570509E-2</v>
      </c>
      <c r="L57" s="121">
        <f t="shared" si="44"/>
        <v>2.5871917037493919E-2</v>
      </c>
      <c r="M57" s="121">
        <f t="shared" si="44"/>
        <v>2.9349239758528656E-2</v>
      </c>
      <c r="N57" s="121">
        <f t="shared" si="44"/>
        <v>3.288519534437695E-2</v>
      </c>
      <c r="O57" s="121">
        <f t="shared" si="44"/>
        <v>3.288519534437695E-2</v>
      </c>
      <c r="P57" s="121">
        <f t="shared" si="44"/>
        <v>3.288519534437695E-2</v>
      </c>
      <c r="Q57" s="121">
        <f t="shared" si="44"/>
        <v>3.288519534437695E-2</v>
      </c>
      <c r="R57" s="121">
        <f t="shared" si="44"/>
        <v>3.288519534437695E-2</v>
      </c>
      <c r="S57" s="121">
        <f t="shared" si="44"/>
        <v>3.2885195344377172E-2</v>
      </c>
      <c r="T57" s="121">
        <f t="shared" si="44"/>
        <v>3.2885195344377172E-2</v>
      </c>
      <c r="U57" s="121">
        <f t="shared" si="44"/>
        <v>3.2885195344377172E-2</v>
      </c>
      <c r="V57" s="121">
        <f t="shared" si="44"/>
        <v>3.2885195344377172E-2</v>
      </c>
      <c r="W57" s="121">
        <f t="shared" si="44"/>
        <v>3.2885195344377172E-2</v>
      </c>
      <c r="X57" s="121">
        <f t="shared" si="44"/>
        <v>3.2885195344377172E-2</v>
      </c>
      <c r="AA57" s="101"/>
      <c r="AB57" s="101"/>
      <c r="AC57" s="101"/>
      <c r="AD57" s="101"/>
      <c r="AE57" s="101"/>
    </row>
    <row r="58" spans="1:31" x14ac:dyDescent="0.35">
      <c r="A58" s="98"/>
      <c r="B58" s="98"/>
      <c r="C58" s="98"/>
      <c r="D58" s="98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AA58" s="101"/>
      <c r="AB58" s="101"/>
      <c r="AC58" s="101"/>
      <c r="AD58" s="101"/>
      <c r="AE58" s="101"/>
    </row>
    <row r="59" spans="1:31" x14ac:dyDescent="0.35">
      <c r="A59" s="98"/>
      <c r="B59" s="98" t="s">
        <v>72</v>
      </c>
      <c r="C59" s="98"/>
      <c r="D59" s="98" t="s">
        <v>153</v>
      </c>
      <c r="E59" s="122">
        <f>(E42/E10-E14)*(Ref_Sheet!$C$72/Ref_Sheet!$C$71)</f>
        <v>-4.6651425223592474E-2</v>
      </c>
      <c r="F59" s="122">
        <f>(F42/F10-F14)*(Ref_Sheet!$C$72/Ref_Sheet!$C$71)</f>
        <v>-9.3302850447182104E-2</v>
      </c>
      <c r="G59" s="122">
        <f>(G42/G10-G14)*(Ref_Sheet!$C$72/Ref_Sheet!$C$71)</f>
        <v>-0.13995427567077456</v>
      </c>
      <c r="H59" s="122">
        <f>(H42/H10-H14)*(Ref_Sheet!$C$72/Ref_Sheet!$C$71)</f>
        <v>-0.18660570089436562</v>
      </c>
      <c r="I59" s="122">
        <f>(I42/I10-I14)*(Ref_Sheet!$C$72/Ref_Sheet!$C$71)</f>
        <v>-0.2332571261179581</v>
      </c>
      <c r="J59" s="122">
        <f>(J42/J10-J14)*(Ref_Sheet!$C$72/Ref_Sheet!$C$71)</f>
        <v>-0.27990855134154774</v>
      </c>
      <c r="K59" s="122">
        <f>(K42/K10-K14)*(Ref_Sheet!$C$72/Ref_Sheet!$C$71)</f>
        <v>-0.32655997656514019</v>
      </c>
      <c r="L59" s="122">
        <f>(L42/L10-L14)*(Ref_Sheet!$C$72/Ref_Sheet!$C$71)</f>
        <v>-0.37321140178873125</v>
      </c>
      <c r="M59" s="122">
        <f>(M42/M10-M14)*(Ref_Sheet!$C$72/Ref_Sheet!$C$71)</f>
        <v>-0.41986282701232369</v>
      </c>
      <c r="N59" s="122">
        <f>(N42/N10-N14)*(Ref_Sheet!$C$72/Ref_Sheet!$C$71)</f>
        <v>-0.46651425223591475</v>
      </c>
      <c r="O59" s="122">
        <f>(O42/O10-O14)*(Ref_Sheet!$C$72/Ref_Sheet!$C$71)</f>
        <v>-0.46651425223591336</v>
      </c>
      <c r="P59" s="122">
        <f>(P42/P10-P14)*(Ref_Sheet!$C$72/Ref_Sheet!$C$71)</f>
        <v>-0.46651425223591475</v>
      </c>
      <c r="Q59" s="122">
        <f>(Q42/Q10-Q14)*(Ref_Sheet!$C$72/Ref_Sheet!$C$71)</f>
        <v>-0.46651425223591475</v>
      </c>
      <c r="R59" s="122">
        <f>(R42/R10-R14)*(Ref_Sheet!$C$72/Ref_Sheet!$C$71)</f>
        <v>-0.46651425223591475</v>
      </c>
      <c r="S59" s="122">
        <f>(S42/S10-S14)*(Ref_Sheet!$C$72/Ref_Sheet!$C$71)</f>
        <v>-0.46651425223591336</v>
      </c>
      <c r="T59" s="122">
        <f>(T42/T10-T14)*(Ref_Sheet!$C$72/Ref_Sheet!$C$71)</f>
        <v>-0.46651425223591475</v>
      </c>
      <c r="U59" s="122">
        <f>(U42/U10-U14)*(Ref_Sheet!$C$72/Ref_Sheet!$C$71)</f>
        <v>-0.46651425223591475</v>
      </c>
      <c r="V59" s="122">
        <f>(V42/V10-V14)*(Ref_Sheet!$C$72/Ref_Sheet!$C$71)</f>
        <v>-0.46651425223591475</v>
      </c>
      <c r="W59" s="122">
        <f>(W42/W10-W14)*(Ref_Sheet!$C$72/Ref_Sheet!$C$71)</f>
        <v>-0.46651425223591475</v>
      </c>
      <c r="X59" s="122">
        <f>(X42/X10-X14)*(Ref_Sheet!$C$72/Ref_Sheet!$C$71)</f>
        <v>-0.46651425223591336</v>
      </c>
      <c r="AA59" s="101"/>
      <c r="AB59" s="101"/>
      <c r="AC59" s="101"/>
      <c r="AD59" s="101"/>
      <c r="AE59" s="101"/>
    </row>
    <row r="60" spans="1:31" x14ac:dyDescent="0.35">
      <c r="A60" s="98"/>
      <c r="B60" s="98" t="s">
        <v>73</v>
      </c>
      <c r="C60" s="98"/>
      <c r="D60" s="98" t="s">
        <v>173</v>
      </c>
      <c r="E60" s="122">
        <f>E61-E59</f>
        <v>7.6719380289793554E-2</v>
      </c>
      <c r="F60" s="122">
        <f>F61-F59</f>
        <v>0.15391371736910175</v>
      </c>
      <c r="G60" s="122">
        <f t="shared" ref="G60:X60" si="45">G61-G59</f>
        <v>0.23159435453396499</v>
      </c>
      <c r="H60" s="122">
        <f t="shared" si="45"/>
        <v>0.30977299919192092</v>
      </c>
      <c r="I60" s="122">
        <f t="shared" si="45"/>
        <v>0.38846173758983299</v>
      </c>
      <c r="J60" s="122">
        <f t="shared" si="45"/>
        <v>0.46767305026241246</v>
      </c>
      <c r="K60" s="122">
        <f t="shared" si="45"/>
        <v>0.54741982824293411</v>
      </c>
      <c r="L60" s="122">
        <f t="shared" si="45"/>
        <v>0.62771539008033694</v>
      </c>
      <c r="M60" s="122">
        <f t="shared" si="45"/>
        <v>0.7085734997099522</v>
      </c>
      <c r="N60" s="122">
        <f t="shared" si="45"/>
        <v>0.79000838522820094</v>
      </c>
      <c r="O60" s="122">
        <f t="shared" si="45"/>
        <v>0.79000838522819949</v>
      </c>
      <c r="P60" s="122">
        <f t="shared" si="45"/>
        <v>0.79000838522820094</v>
      </c>
      <c r="Q60" s="122">
        <f t="shared" si="45"/>
        <v>0.79000838522820094</v>
      </c>
      <c r="R60" s="122">
        <f t="shared" si="45"/>
        <v>0.79000838522820227</v>
      </c>
      <c r="S60" s="122">
        <f t="shared" si="45"/>
        <v>0.79000838522820238</v>
      </c>
      <c r="T60" s="122">
        <f t="shared" si="45"/>
        <v>0.79000838522820382</v>
      </c>
      <c r="U60" s="122">
        <f t="shared" si="45"/>
        <v>0.79000838522820382</v>
      </c>
      <c r="V60" s="122">
        <f t="shared" si="45"/>
        <v>0.79000838522820382</v>
      </c>
      <c r="W60" s="122">
        <f t="shared" si="45"/>
        <v>0.79000838522820382</v>
      </c>
      <c r="X60" s="122">
        <f t="shared" si="45"/>
        <v>0.79000838522820238</v>
      </c>
      <c r="AA60" s="101"/>
      <c r="AB60" s="101"/>
      <c r="AC60" s="101"/>
      <c r="AD60" s="101"/>
      <c r="AE60" s="101"/>
    </row>
    <row r="61" spans="1:31" x14ac:dyDescent="0.35">
      <c r="A61" s="98"/>
      <c r="B61" s="98" t="s">
        <v>74</v>
      </c>
      <c r="C61" s="98"/>
      <c r="D61" s="98" t="s">
        <v>182</v>
      </c>
      <c r="E61" s="122">
        <f>E51/10</f>
        <v>3.006795506620108E-2</v>
      </c>
      <c r="F61" s="122">
        <f>F51/10</f>
        <v>6.0610866921919637E-2</v>
      </c>
      <c r="G61" s="122">
        <f t="shared" ref="G61:X61" si="46">G51/10</f>
        <v>9.1640078863190408E-2</v>
      </c>
      <c r="H61" s="122">
        <f t="shared" si="46"/>
        <v>0.12316729829755531</v>
      </c>
      <c r="I61" s="122">
        <f t="shared" si="46"/>
        <v>0.15520461147187489</v>
      </c>
      <c r="J61" s="122">
        <f t="shared" si="46"/>
        <v>0.18776449892086475</v>
      </c>
      <c r="K61" s="122">
        <f t="shared" si="46"/>
        <v>0.22085985167779398</v>
      </c>
      <c r="L61" s="122">
        <f t="shared" si="46"/>
        <v>0.25450398829160575</v>
      </c>
      <c r="M61" s="122">
        <f t="shared" si="46"/>
        <v>0.28871067269762846</v>
      </c>
      <c r="N61" s="122">
        <f t="shared" si="46"/>
        <v>0.32349413299228613</v>
      </c>
      <c r="O61" s="122">
        <f t="shared" si="46"/>
        <v>0.32349413299228613</v>
      </c>
      <c r="P61" s="122">
        <f t="shared" si="46"/>
        <v>0.32349413299228613</v>
      </c>
      <c r="Q61" s="122">
        <f t="shared" si="46"/>
        <v>0.32349413299228613</v>
      </c>
      <c r="R61" s="122">
        <f t="shared" si="46"/>
        <v>0.32349413299228758</v>
      </c>
      <c r="S61" s="122">
        <f t="shared" si="46"/>
        <v>0.32349413299228902</v>
      </c>
      <c r="T61" s="122">
        <f t="shared" si="46"/>
        <v>0.32349413299228902</v>
      </c>
      <c r="U61" s="122">
        <f t="shared" si="46"/>
        <v>0.32349413299228902</v>
      </c>
      <c r="V61" s="122">
        <f t="shared" si="46"/>
        <v>0.32349413299228902</v>
      </c>
      <c r="W61" s="122">
        <f t="shared" si="46"/>
        <v>0.32349413299228902</v>
      </c>
      <c r="X61" s="122">
        <f t="shared" si="46"/>
        <v>0.32349413299228902</v>
      </c>
      <c r="AA61" s="101"/>
      <c r="AB61" s="101"/>
      <c r="AC61" s="101"/>
      <c r="AD61" s="101"/>
      <c r="AE61" s="101"/>
    </row>
    <row r="62" spans="1:31" x14ac:dyDescent="0.35">
      <c r="A62" s="98"/>
      <c r="B62" s="98"/>
      <c r="C62" s="98"/>
      <c r="D62" s="98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01"/>
      <c r="Z62" s="101"/>
      <c r="AA62" s="101"/>
      <c r="AB62" s="101"/>
      <c r="AC62" s="101"/>
      <c r="AD62" s="101"/>
      <c r="AE62" s="101"/>
    </row>
    <row r="63" spans="1:31" x14ac:dyDescent="0.35">
      <c r="A63" s="98"/>
      <c r="B63" s="98"/>
      <c r="C63" s="98"/>
      <c r="D63" s="98"/>
      <c r="E63" s="138" t="s">
        <v>78</v>
      </c>
      <c r="F63" s="139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01"/>
      <c r="Z63" s="101"/>
      <c r="AA63" s="101"/>
      <c r="AB63" s="101"/>
      <c r="AC63" s="101"/>
      <c r="AD63" s="101"/>
      <c r="AE63" s="101"/>
    </row>
    <row r="64" spans="1:31" x14ac:dyDescent="0.35">
      <c r="A64" s="98"/>
      <c r="B64" s="98"/>
      <c r="C64" s="98"/>
      <c r="E64" s="123" t="s">
        <v>76</v>
      </c>
      <c r="F64" s="124" t="s">
        <v>77</v>
      </c>
      <c r="G64" s="121"/>
      <c r="H64" s="121"/>
      <c r="I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01"/>
      <c r="Z64" s="101"/>
      <c r="AA64" s="101"/>
      <c r="AB64" s="101"/>
      <c r="AC64" s="101"/>
      <c r="AD64" s="101"/>
      <c r="AE64" s="101"/>
    </row>
    <row r="65" spans="1:31" x14ac:dyDescent="0.35">
      <c r="A65" s="98"/>
      <c r="B65" s="98"/>
      <c r="C65" s="98"/>
      <c r="D65" s="98" t="s">
        <v>174</v>
      </c>
      <c r="E65" s="125">
        <f>AVERAGE(E49:N49)</f>
        <v>-1.2307654367748557</v>
      </c>
      <c r="F65" s="126">
        <f>AVERAGE(E49:X49)</f>
        <v>-1.7620990315280387</v>
      </c>
      <c r="G65" s="121"/>
      <c r="H65" s="121"/>
      <c r="I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01"/>
      <c r="Z65" s="101"/>
      <c r="AA65" s="101"/>
      <c r="AB65" s="101"/>
      <c r="AC65" s="101"/>
      <c r="AD65" s="101"/>
      <c r="AE65" s="101"/>
    </row>
    <row r="66" spans="1:31" x14ac:dyDescent="0.35">
      <c r="A66" s="98"/>
      <c r="B66" s="98"/>
      <c r="C66" s="98"/>
      <c r="D66" s="98" t="s">
        <v>175</v>
      </c>
      <c r="E66" s="125">
        <f>AVERAGE(E50:N50)</f>
        <v>2.9667893919757744</v>
      </c>
      <c r="F66" s="126">
        <f>AVERAGE(E50:X50)</f>
        <v>4.2475816740899379</v>
      </c>
      <c r="G66" s="121"/>
      <c r="H66" s="121"/>
      <c r="I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01"/>
      <c r="Z66" s="101"/>
      <c r="AA66" s="101"/>
      <c r="AB66" s="101"/>
      <c r="AC66" s="101"/>
      <c r="AD66" s="101"/>
      <c r="AE66" s="101"/>
    </row>
    <row r="67" spans="1:31" x14ac:dyDescent="0.35">
      <c r="A67" s="98"/>
      <c r="B67" s="98"/>
      <c r="C67" s="98"/>
      <c r="D67" s="98" t="s">
        <v>176</v>
      </c>
      <c r="E67" s="125">
        <f>AVERAGE(E51:N51)</f>
        <v>1.7360239552009205</v>
      </c>
      <c r="F67" s="126">
        <f>AVERAGE(E51:X51)</f>
        <v>2.4854826425619003</v>
      </c>
      <c r="G67" s="121"/>
      <c r="H67" s="121"/>
      <c r="I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01"/>
      <c r="Z67" s="101"/>
      <c r="AA67" s="101"/>
      <c r="AB67" s="101"/>
      <c r="AC67" s="101"/>
      <c r="AD67" s="101"/>
      <c r="AE67" s="101"/>
    </row>
    <row r="68" spans="1:31" x14ac:dyDescent="0.35">
      <c r="A68" s="98"/>
      <c r="B68" s="98"/>
      <c r="C68" s="98"/>
      <c r="D68" s="98" t="s">
        <v>3</v>
      </c>
      <c r="E68" s="125">
        <f>AVERAGE(E52:N52)</f>
        <v>0</v>
      </c>
      <c r="F68" s="126">
        <f>AVERAGE(E52:X52)</f>
        <v>0</v>
      </c>
      <c r="G68" s="121"/>
      <c r="H68" s="121"/>
      <c r="I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7"/>
      <c r="Y68" s="101"/>
      <c r="Z68" s="101"/>
      <c r="AA68" s="101"/>
      <c r="AB68" s="101"/>
      <c r="AC68" s="101"/>
      <c r="AD68" s="101"/>
      <c r="AE68" s="101"/>
    </row>
    <row r="69" spans="1:31" x14ac:dyDescent="0.35">
      <c r="A69" s="98"/>
      <c r="B69" s="98"/>
      <c r="C69" s="98"/>
      <c r="D69" s="98" t="s">
        <v>28</v>
      </c>
      <c r="E69" s="125">
        <f>AVERAGE(E53:N53)</f>
        <v>0</v>
      </c>
      <c r="F69" s="126">
        <f>AVERAGE(E53:X53)</f>
        <v>0</v>
      </c>
      <c r="G69" s="121"/>
      <c r="H69" s="121"/>
      <c r="I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7"/>
      <c r="Y69" s="101"/>
      <c r="Z69" s="101"/>
      <c r="AA69" s="101"/>
      <c r="AB69" s="101"/>
      <c r="AC69" s="101"/>
      <c r="AD69" s="101"/>
      <c r="AE69" s="101"/>
    </row>
    <row r="70" spans="1:31" x14ac:dyDescent="0.35">
      <c r="A70" s="98"/>
      <c r="B70" s="98"/>
      <c r="C70" s="98"/>
      <c r="D70" s="66"/>
      <c r="E70" s="128"/>
      <c r="F70" s="129"/>
      <c r="G70" s="121"/>
      <c r="H70" s="121"/>
      <c r="I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01"/>
      <c r="Z70" s="101"/>
      <c r="AA70" s="101"/>
      <c r="AB70" s="101"/>
      <c r="AC70" s="101"/>
      <c r="AD70" s="101"/>
      <c r="AE70" s="101"/>
    </row>
    <row r="71" spans="1:31" x14ac:dyDescent="0.35">
      <c r="A71" s="98"/>
      <c r="B71" s="98"/>
      <c r="C71" s="98"/>
      <c r="D71" s="98" t="s">
        <v>179</v>
      </c>
      <c r="E71" s="130">
        <f>AVERAGE(E55:N55)</f>
        <v>-3.7526988446513046E-2</v>
      </c>
      <c r="F71" s="131">
        <f>AVERAGE(E55:X55)</f>
        <v>-5.3727759995474279E-2</v>
      </c>
      <c r="G71" s="121"/>
      <c r="H71" s="121"/>
      <c r="I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01"/>
      <c r="Z71" s="101"/>
      <c r="AA71" s="101"/>
      <c r="AB71" s="101"/>
      <c r="AC71" s="101"/>
      <c r="AD71" s="101"/>
      <c r="AE71" s="101"/>
    </row>
    <row r="72" spans="1:31" x14ac:dyDescent="0.35">
      <c r="A72" s="98"/>
      <c r="B72" s="98"/>
      <c r="C72" s="98"/>
      <c r="D72" s="98" t="s">
        <v>180</v>
      </c>
      <c r="E72" s="130">
        <f>AVERAGE(E56:N56)</f>
        <v>4.5243419927963838E-2</v>
      </c>
      <c r="F72" s="131">
        <f>AVERAGE(E56:X56)</f>
        <v>6.4775451159070283E-2</v>
      </c>
      <c r="G72" s="121"/>
      <c r="H72" s="121"/>
      <c r="I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01"/>
      <c r="Z72" s="101"/>
      <c r="AA72" s="101"/>
      <c r="AB72" s="101"/>
      <c r="AC72" s="101"/>
      <c r="AD72" s="101"/>
      <c r="AE72" s="101"/>
    </row>
    <row r="73" spans="1:31" x14ac:dyDescent="0.35">
      <c r="A73" s="98"/>
      <c r="B73" s="98"/>
      <c r="C73" s="98"/>
      <c r="D73" s="98" t="s">
        <v>67</v>
      </c>
      <c r="E73" s="128"/>
      <c r="F73" s="129"/>
      <c r="G73" s="121"/>
      <c r="H73" s="121"/>
      <c r="I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01"/>
      <c r="Z73" s="101"/>
      <c r="AA73" s="101"/>
      <c r="AB73" s="101"/>
      <c r="AC73" s="101"/>
      <c r="AD73" s="101"/>
      <c r="AE73" s="101"/>
    </row>
    <row r="74" spans="1:31" x14ac:dyDescent="0.35">
      <c r="A74" s="98"/>
      <c r="B74" s="98"/>
      <c r="C74" s="98"/>
      <c r="D74" s="98"/>
      <c r="E74" s="128"/>
      <c r="F74" s="129"/>
      <c r="G74" s="121"/>
      <c r="H74" s="121"/>
      <c r="I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01"/>
      <c r="Z74" s="101"/>
      <c r="AA74" s="101"/>
      <c r="AB74" s="101"/>
      <c r="AC74" s="101"/>
      <c r="AD74" s="101"/>
      <c r="AE74" s="101"/>
    </row>
    <row r="75" spans="1:31" x14ac:dyDescent="0.35">
      <c r="A75" s="98"/>
      <c r="B75" s="98"/>
      <c r="C75" s="98"/>
      <c r="D75" s="98" t="s">
        <v>153</v>
      </c>
      <c r="E75" s="132">
        <f>AVERAGE(E59:N59)</f>
        <v>-0.25658283872975307</v>
      </c>
      <c r="F75" s="132">
        <f>AVERAGE(E59:X59)</f>
        <v>-0.36154854548283372</v>
      </c>
      <c r="G75" s="121"/>
      <c r="H75" s="121"/>
      <c r="I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01"/>
      <c r="Z75" s="101"/>
      <c r="AA75" s="101"/>
      <c r="AB75" s="101"/>
      <c r="AC75" s="101"/>
      <c r="AD75" s="101"/>
      <c r="AE75" s="101"/>
    </row>
    <row r="76" spans="1:31" x14ac:dyDescent="0.35">
      <c r="A76" s="98"/>
      <c r="B76" s="98"/>
      <c r="C76" s="98"/>
      <c r="D76" s="98" t="s">
        <v>152</v>
      </c>
      <c r="E76" s="132">
        <f>AVERAGE(E60:N60)</f>
        <v>0.43018523424984501</v>
      </c>
      <c r="F76" s="132">
        <f>AVERAGE(E60:X60)</f>
        <v>0.61009680973902358</v>
      </c>
      <c r="G76" s="121"/>
      <c r="H76" s="121"/>
      <c r="I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01"/>
      <c r="Z76" s="101"/>
      <c r="AA76" s="101"/>
      <c r="AB76" s="101"/>
      <c r="AC76" s="101"/>
      <c r="AD76" s="101"/>
      <c r="AE76" s="101"/>
    </row>
    <row r="77" spans="1:31" x14ac:dyDescent="0.35">
      <c r="A77" s="98"/>
      <c r="B77" s="98"/>
      <c r="C77" s="98"/>
      <c r="D77" s="98" t="s">
        <v>182</v>
      </c>
      <c r="E77" s="132">
        <f>AVERAGE(E61:N61)</f>
        <v>0.17360239552009205</v>
      </c>
      <c r="F77" s="132">
        <f>AVERAGE(E61:X61)</f>
        <v>0.24854826425619009</v>
      </c>
      <c r="G77" s="121"/>
      <c r="H77" s="121"/>
      <c r="I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01"/>
      <c r="Z77" s="101"/>
      <c r="AA77" s="101"/>
      <c r="AB77" s="101"/>
      <c r="AC77" s="101"/>
      <c r="AD77" s="101"/>
      <c r="AE77" s="101"/>
    </row>
    <row r="78" spans="1:31" x14ac:dyDescent="0.35">
      <c r="A78" s="98"/>
      <c r="B78" s="98"/>
      <c r="C78" s="98"/>
      <c r="D78" s="98"/>
      <c r="E78" s="133"/>
      <c r="F78" s="133"/>
      <c r="G78" s="121"/>
      <c r="H78" s="121"/>
      <c r="I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01"/>
      <c r="Z78" s="101"/>
      <c r="AA78" s="101"/>
      <c r="AB78" s="101"/>
      <c r="AC78" s="101"/>
      <c r="AD78" s="101"/>
      <c r="AE78" s="101"/>
    </row>
    <row r="79" spans="1:31" x14ac:dyDescent="0.35">
      <c r="A79" s="98"/>
      <c r="B79" s="98"/>
      <c r="C79" s="98"/>
      <c r="D79" s="98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01"/>
      <c r="Z79" s="101"/>
      <c r="AA79" s="101"/>
      <c r="AB79" s="101"/>
      <c r="AC79" s="101"/>
      <c r="AD79" s="101"/>
      <c r="AE79" s="101"/>
    </row>
    <row r="80" spans="1:31" x14ac:dyDescent="0.35">
      <c r="A80" s="98"/>
      <c r="B80" s="98"/>
      <c r="C80" s="98"/>
      <c r="D80" s="98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01"/>
      <c r="Z80" s="101"/>
      <c r="AA80" s="101"/>
      <c r="AB80" s="101"/>
      <c r="AC80" s="101"/>
      <c r="AD80" s="101"/>
      <c r="AE80" s="101"/>
    </row>
    <row r="81" spans="1:31" x14ac:dyDescent="0.35">
      <c r="A81" s="98"/>
      <c r="B81" s="98"/>
      <c r="C81" s="98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101"/>
      <c r="Z81" s="101"/>
      <c r="AA81" s="101"/>
      <c r="AB81" s="101"/>
      <c r="AC81" s="101"/>
      <c r="AD81" s="101"/>
      <c r="AE81" s="101"/>
    </row>
    <row r="82" spans="1:31" x14ac:dyDescent="0.35">
      <c r="A82" s="98"/>
      <c r="B82" s="98"/>
      <c r="C82" s="98"/>
      <c r="D82" s="98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101"/>
      <c r="AA82" s="101"/>
      <c r="AB82" s="101"/>
      <c r="AC82" s="101"/>
      <c r="AD82" s="101"/>
      <c r="AE82" s="101"/>
    </row>
    <row r="83" spans="1:31" x14ac:dyDescent="0.35">
      <c r="A83" s="98"/>
      <c r="B83" s="98"/>
      <c r="C83" s="98"/>
      <c r="D83" s="98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1"/>
      <c r="AA83" s="101"/>
      <c r="AB83" s="101"/>
      <c r="AC83" s="101"/>
      <c r="AD83" s="101"/>
      <c r="AE83" s="101"/>
    </row>
    <row r="84" spans="1:31" x14ac:dyDescent="0.35">
      <c r="A84" s="98"/>
      <c r="B84" s="98"/>
      <c r="C84" s="98"/>
      <c r="D84" s="98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101"/>
      <c r="AA84" s="101"/>
      <c r="AB84" s="101"/>
      <c r="AC84" s="101"/>
      <c r="AD84" s="101"/>
      <c r="AE84" s="101"/>
    </row>
    <row r="85" spans="1:31" x14ac:dyDescent="0.35">
      <c r="A85" s="98"/>
      <c r="B85" s="98"/>
      <c r="C85" s="98"/>
      <c r="D85" s="98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101"/>
      <c r="AA85" s="101"/>
      <c r="AB85" s="101"/>
      <c r="AC85" s="101"/>
      <c r="AD85" s="101"/>
      <c r="AE85" s="101"/>
    </row>
    <row r="86" spans="1:31" x14ac:dyDescent="0.35">
      <c r="A86" s="98"/>
      <c r="B86" s="98"/>
      <c r="C86" s="98"/>
      <c r="D86" s="98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101"/>
      <c r="AA86" s="101"/>
      <c r="AB86" s="101"/>
      <c r="AC86" s="101"/>
      <c r="AD86" s="101"/>
      <c r="AE86" s="101"/>
    </row>
    <row r="87" spans="1:31" x14ac:dyDescent="0.35">
      <c r="A87" s="98"/>
      <c r="B87" s="98"/>
      <c r="C87" s="98"/>
      <c r="D87" s="98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1"/>
      <c r="Z87" s="101"/>
      <c r="AA87" s="101"/>
      <c r="AB87" s="101"/>
      <c r="AC87" s="101"/>
      <c r="AD87" s="101"/>
      <c r="AE87" s="101"/>
    </row>
    <row r="88" spans="1:31" x14ac:dyDescent="0.35">
      <c r="A88" s="98"/>
      <c r="B88" s="98"/>
      <c r="C88" s="98"/>
      <c r="D88" s="98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101"/>
      <c r="AA88" s="101"/>
      <c r="AB88" s="101"/>
      <c r="AC88" s="101"/>
      <c r="AD88" s="101"/>
      <c r="AE88" s="101"/>
    </row>
    <row r="89" spans="1:31" x14ac:dyDescent="0.35">
      <c r="A89" s="98"/>
      <c r="B89" s="98"/>
      <c r="C89" s="98"/>
      <c r="D89" s="98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101"/>
      <c r="AA89" s="101"/>
      <c r="AB89" s="101"/>
      <c r="AC89" s="101"/>
      <c r="AD89" s="101"/>
      <c r="AE89" s="101"/>
    </row>
    <row r="90" spans="1:31" x14ac:dyDescent="0.35">
      <c r="A90" s="98"/>
      <c r="B90" s="98"/>
      <c r="C90" s="98"/>
      <c r="D90" s="98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1"/>
      <c r="Z90" s="101"/>
      <c r="AA90" s="101"/>
      <c r="AB90" s="101"/>
      <c r="AC90" s="101"/>
      <c r="AD90" s="101"/>
      <c r="AE90" s="101"/>
    </row>
    <row r="91" spans="1:31" x14ac:dyDescent="0.35">
      <c r="A91" s="98"/>
      <c r="B91" s="98"/>
      <c r="C91" s="98"/>
      <c r="D91" s="98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  <c r="Z91" s="101"/>
      <c r="AA91" s="101"/>
      <c r="AB91" s="101"/>
      <c r="AC91" s="101"/>
      <c r="AD91" s="101"/>
      <c r="AE91" s="101"/>
    </row>
    <row r="92" spans="1:31" x14ac:dyDescent="0.35">
      <c r="A92" s="98"/>
      <c r="B92" s="98"/>
      <c r="C92" s="98"/>
      <c r="D92" s="98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1"/>
      <c r="Z92" s="101"/>
      <c r="AA92" s="101"/>
      <c r="AB92" s="101"/>
      <c r="AC92" s="101"/>
      <c r="AD92" s="101"/>
      <c r="AE92" s="101"/>
    </row>
    <row r="93" spans="1:31" x14ac:dyDescent="0.35">
      <c r="A93" s="98"/>
      <c r="B93" s="98"/>
      <c r="C93" s="98"/>
      <c r="D93" s="98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1"/>
      <c r="Z93" s="101"/>
      <c r="AA93" s="101"/>
      <c r="AB93" s="101"/>
      <c r="AC93" s="101"/>
      <c r="AD93" s="101"/>
      <c r="AE93" s="101"/>
    </row>
    <row r="94" spans="1:31" x14ac:dyDescent="0.35">
      <c r="A94" s="98"/>
      <c r="B94" s="98"/>
      <c r="C94" s="98"/>
      <c r="D94" s="98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1"/>
      <c r="Z94" s="101"/>
      <c r="AA94" s="101"/>
      <c r="AB94" s="101"/>
      <c r="AC94" s="101"/>
      <c r="AD94" s="101"/>
      <c r="AE94" s="101"/>
    </row>
    <row r="95" spans="1:31" x14ac:dyDescent="0.35">
      <c r="A95" s="98"/>
      <c r="B95" s="98"/>
      <c r="C95" s="98"/>
      <c r="D95" s="98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101"/>
      <c r="AA95" s="101"/>
      <c r="AB95" s="101"/>
      <c r="AC95" s="101"/>
      <c r="AD95" s="101"/>
      <c r="AE95" s="101"/>
    </row>
    <row r="96" spans="1:31" x14ac:dyDescent="0.35">
      <c r="A96" s="98"/>
      <c r="B96" s="98"/>
      <c r="C96" s="98"/>
      <c r="D96" s="98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1"/>
      <c r="Z96" s="101"/>
      <c r="AA96" s="101"/>
      <c r="AB96" s="101"/>
      <c r="AC96" s="101"/>
      <c r="AD96" s="101"/>
      <c r="AE96" s="101"/>
    </row>
    <row r="97" spans="1:31" x14ac:dyDescent="0.35">
      <c r="A97" s="98"/>
      <c r="B97" s="98"/>
      <c r="C97" s="98"/>
      <c r="D97" s="98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1"/>
      <c r="Z97" s="101"/>
      <c r="AA97" s="101"/>
      <c r="AB97" s="101"/>
      <c r="AC97" s="101"/>
      <c r="AD97" s="101"/>
      <c r="AE97" s="101"/>
    </row>
    <row r="98" spans="1:31" x14ac:dyDescent="0.35">
      <c r="A98" s="98"/>
      <c r="B98" s="98"/>
      <c r="C98" s="98"/>
      <c r="D98" s="98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1"/>
      <c r="Z98" s="101"/>
      <c r="AA98" s="101"/>
      <c r="AB98" s="101"/>
      <c r="AC98" s="101"/>
      <c r="AD98" s="101"/>
      <c r="AE98" s="101"/>
    </row>
    <row r="99" spans="1:31" x14ac:dyDescent="0.35">
      <c r="A99" s="98"/>
      <c r="B99" s="98"/>
      <c r="C99" s="98"/>
      <c r="D99" s="98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1"/>
      <c r="Z99" s="101"/>
      <c r="AA99" s="101"/>
      <c r="AB99" s="101"/>
      <c r="AC99" s="101"/>
      <c r="AD99" s="101"/>
      <c r="AE99" s="101"/>
    </row>
    <row r="100" spans="1:31" x14ac:dyDescent="0.35">
      <c r="A100" s="98"/>
      <c r="B100" s="98"/>
      <c r="C100" s="98"/>
      <c r="D100" s="98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1"/>
      <c r="Z100" s="101"/>
      <c r="AA100" s="101"/>
      <c r="AB100" s="101"/>
      <c r="AC100" s="101"/>
      <c r="AD100" s="101"/>
      <c r="AE100" s="101"/>
    </row>
    <row r="101" spans="1:31" x14ac:dyDescent="0.35">
      <c r="A101" s="98"/>
      <c r="B101" s="98"/>
      <c r="C101" s="98"/>
      <c r="D101" s="98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1"/>
      <c r="Z101" s="101"/>
      <c r="AA101" s="101"/>
      <c r="AB101" s="101"/>
      <c r="AC101" s="101"/>
      <c r="AD101" s="101"/>
      <c r="AE101" s="101"/>
    </row>
    <row r="102" spans="1:31" x14ac:dyDescent="0.35">
      <c r="A102" s="98"/>
      <c r="B102" s="98"/>
      <c r="C102" s="98"/>
      <c r="D102" s="98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1"/>
      <c r="Z102" s="101"/>
      <c r="AA102" s="101"/>
      <c r="AB102" s="101"/>
      <c r="AC102" s="101"/>
      <c r="AD102" s="101"/>
      <c r="AE102" s="101"/>
    </row>
    <row r="103" spans="1:31" x14ac:dyDescent="0.35">
      <c r="A103" s="98"/>
      <c r="B103" s="98"/>
      <c r="C103" s="98"/>
      <c r="D103" s="98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1"/>
      <c r="Z103" s="101"/>
      <c r="AA103" s="101"/>
      <c r="AB103" s="101"/>
      <c r="AC103" s="101"/>
      <c r="AD103" s="101"/>
      <c r="AE103" s="101"/>
    </row>
    <row r="104" spans="1:31" x14ac:dyDescent="0.35">
      <c r="A104" s="98"/>
      <c r="B104" s="98"/>
      <c r="C104" s="98"/>
      <c r="D104" s="98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1"/>
      <c r="Z104" s="101"/>
      <c r="AA104" s="101"/>
      <c r="AB104" s="101"/>
      <c r="AC104" s="101"/>
      <c r="AD104" s="101"/>
      <c r="AE104" s="101"/>
    </row>
    <row r="105" spans="1:31" x14ac:dyDescent="0.35">
      <c r="A105" s="98"/>
      <c r="B105" s="98"/>
      <c r="C105" s="98"/>
      <c r="D105" s="98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1"/>
      <c r="Z105" s="101"/>
      <c r="AA105" s="101"/>
      <c r="AB105" s="101"/>
      <c r="AC105" s="101"/>
      <c r="AD105" s="101"/>
      <c r="AE105" s="101"/>
    </row>
  </sheetData>
  <mergeCells count="1">
    <mergeCell ref="E63:F63"/>
  </mergeCells>
  <phoneticPr fontId="0" type="noConversion"/>
  <printOptions gridLines="1"/>
  <pageMargins left="0.5" right="0.5" top="0.5" bottom="0.5" header="0.25" footer="0.25"/>
  <pageSetup scale="62" orientation="landscape" r:id="rId1"/>
  <headerFooter alignWithMargins="0">
    <oddHeader xml:space="preserve">&amp;RDocket 14-035-114
Exhibit TW -5
</oddHeader>
    <oddFooter>&amp;R&amp;A Page &amp;P/&amp;N</oddFooter>
  </headerFooter>
  <rowBreaks count="2" manualBreakCount="2">
    <brk id="24" max="16383" man="1"/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8"/>
  <sheetViews>
    <sheetView showGridLines="0" view="pageLayout" topLeftCell="A4" zoomScaleNormal="80" zoomScaleSheetLayoutView="55" workbookViewId="0">
      <selection activeCell="D37" sqref="D37"/>
    </sheetView>
  </sheetViews>
  <sheetFormatPr defaultColWidth="9.140625" defaultRowHeight="17.25" x14ac:dyDescent="0.35"/>
  <cols>
    <col min="1" max="1" width="3.5703125" style="2" customWidth="1"/>
    <col min="2" max="2" width="39.7109375" style="2" hidden="1" customWidth="1"/>
    <col min="3" max="3" width="5.42578125" style="2" customWidth="1"/>
    <col min="4" max="4" width="44.42578125" style="2" customWidth="1"/>
    <col min="5" max="5" width="19.42578125" style="3" bestFit="1" customWidth="1"/>
    <col min="6" max="24" width="19.28515625" style="3" bestFit="1" customWidth="1"/>
    <col min="25" max="25" width="13.28515625" style="1" customWidth="1"/>
    <col min="26" max="26" width="12.140625" style="1" customWidth="1"/>
    <col min="27" max="16384" width="9.140625" style="1"/>
  </cols>
  <sheetData>
    <row r="1" spans="1:31" x14ac:dyDescent="0.35">
      <c r="A1" s="8"/>
      <c r="B1" s="9" t="s">
        <v>71</v>
      </c>
      <c r="C1" s="8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7"/>
      <c r="Z1" s="7"/>
      <c r="AA1" s="7"/>
      <c r="AB1" s="7"/>
      <c r="AC1" s="7"/>
      <c r="AD1" s="7"/>
      <c r="AE1" s="7"/>
    </row>
    <row r="2" spans="1:31" s="18" customFormat="1" x14ac:dyDescent="0.35">
      <c r="A2" s="16"/>
      <c r="B2" s="16"/>
      <c r="C2" s="16"/>
      <c r="D2" s="16"/>
      <c r="E2" s="21">
        <v>2015</v>
      </c>
      <c r="F2" s="22">
        <v>2016</v>
      </c>
      <c r="G2" s="22">
        <v>2017</v>
      </c>
      <c r="H2" s="22">
        <v>2018</v>
      </c>
      <c r="I2" s="22">
        <v>2019</v>
      </c>
      <c r="J2" s="22">
        <v>2020</v>
      </c>
      <c r="K2" s="22">
        <v>2021</v>
      </c>
      <c r="L2" s="22">
        <v>2022</v>
      </c>
      <c r="M2" s="22">
        <v>2023</v>
      </c>
      <c r="N2" s="22">
        <v>2024</v>
      </c>
      <c r="O2" s="22">
        <v>2025</v>
      </c>
      <c r="P2" s="22">
        <v>2026</v>
      </c>
      <c r="Q2" s="22">
        <v>2027</v>
      </c>
      <c r="R2" s="22">
        <v>2028</v>
      </c>
      <c r="S2" s="22">
        <v>2029</v>
      </c>
      <c r="T2" s="22">
        <v>2030</v>
      </c>
      <c r="U2" s="22">
        <v>2031</v>
      </c>
      <c r="V2" s="22">
        <v>2032</v>
      </c>
      <c r="W2" s="22">
        <v>2033</v>
      </c>
      <c r="X2" s="23">
        <v>2034</v>
      </c>
      <c r="Y2" s="17"/>
      <c r="Z2" s="17"/>
      <c r="AA2" s="17"/>
      <c r="AB2" s="17"/>
      <c r="AC2" s="17"/>
      <c r="AD2" s="17"/>
      <c r="AE2" s="17"/>
    </row>
    <row r="3" spans="1:31" x14ac:dyDescent="0.35">
      <c r="A3" s="8"/>
      <c r="B3" s="14" t="s">
        <v>29</v>
      </c>
      <c r="C3" s="19" t="s">
        <v>30</v>
      </c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"/>
      <c r="Z3" s="7"/>
      <c r="AA3" s="7"/>
      <c r="AB3" s="7"/>
      <c r="AC3" s="7"/>
      <c r="AD3" s="7"/>
      <c r="AE3" s="7"/>
    </row>
    <row r="4" spans="1:31" x14ac:dyDescent="0.35">
      <c r="A4" s="8"/>
      <c r="B4" s="8"/>
      <c r="C4" s="9" t="s">
        <v>8</v>
      </c>
      <c r="D4" s="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7"/>
      <c r="Z4" s="7"/>
      <c r="AA4" s="7"/>
      <c r="AB4" s="7"/>
      <c r="AC4" s="7"/>
      <c r="AD4" s="7"/>
      <c r="AE4" s="7"/>
    </row>
    <row r="5" spans="1:31" x14ac:dyDescent="0.35">
      <c r="A5" s="8"/>
      <c r="B5" s="8" t="s">
        <v>60</v>
      </c>
      <c r="C5" s="8"/>
      <c r="D5" s="8" t="s">
        <v>147</v>
      </c>
      <c r="E5" s="12">
        <f>Rate_Impacts_With_v_Without!E12</f>
        <v>32.796808049999996</v>
      </c>
      <c r="F5" s="12">
        <f>Rate_Impacts_With_v_Without!F12</f>
        <v>32.796808049999996</v>
      </c>
      <c r="G5" s="12">
        <f>Rate_Impacts_With_v_Without!G12</f>
        <v>32.796808049999996</v>
      </c>
      <c r="H5" s="12">
        <f>Rate_Impacts_With_v_Without!H12</f>
        <v>32.796808049999996</v>
      </c>
      <c r="I5" s="12">
        <f>Rate_Impacts_With_v_Without!I12</f>
        <v>32.796808049999996</v>
      </c>
      <c r="J5" s="12">
        <f>Rate_Impacts_With_v_Without!J12</f>
        <v>32.796808049999996</v>
      </c>
      <c r="K5" s="12">
        <f>Rate_Impacts_With_v_Without!K12</f>
        <v>32.796808049999996</v>
      </c>
      <c r="L5" s="12">
        <f>Rate_Impacts_With_v_Without!L12</f>
        <v>32.796808049999996</v>
      </c>
      <c r="M5" s="12">
        <f>Rate_Impacts_With_v_Without!M12</f>
        <v>32.796808049999996</v>
      </c>
      <c r="N5" s="12">
        <f>Rate_Impacts_With_v_Without!N12</f>
        <v>32.796808049999996</v>
      </c>
      <c r="O5" s="12">
        <f>Rate_Impacts_With_v_Without!O12</f>
        <v>32.796808049999996</v>
      </c>
      <c r="P5" s="12">
        <f>Rate_Impacts_With_v_Without!P12</f>
        <v>32.796808049999996</v>
      </c>
      <c r="Q5" s="12">
        <f>Rate_Impacts_With_v_Without!Q12</f>
        <v>32.796808049999996</v>
      </c>
      <c r="R5" s="12">
        <f>Rate_Impacts_With_v_Without!R12</f>
        <v>32.796808049999996</v>
      </c>
      <c r="S5" s="12">
        <f>Rate_Impacts_With_v_Without!S12</f>
        <v>32.796808049999996</v>
      </c>
      <c r="T5" s="12">
        <f>Rate_Impacts_With_v_Without!T12</f>
        <v>32.796808049999996</v>
      </c>
      <c r="U5" s="12">
        <f>Rate_Impacts_With_v_Without!U12</f>
        <v>32.796808049999996</v>
      </c>
      <c r="V5" s="12">
        <f>Rate_Impacts_With_v_Without!V12</f>
        <v>32.796808049999996</v>
      </c>
      <c r="W5" s="12">
        <f>Rate_Impacts_With_v_Without!W12</f>
        <v>32.796808049999996</v>
      </c>
      <c r="X5" s="12">
        <f>Rate_Impacts_With_v_Without!X12</f>
        <v>32.796808049999996</v>
      </c>
      <c r="Y5" s="7"/>
      <c r="Z5" s="7"/>
      <c r="AA5" s="7"/>
      <c r="AB5" s="7"/>
      <c r="AC5" s="7"/>
      <c r="AD5" s="7"/>
      <c r="AE5" s="7"/>
    </row>
    <row r="6" spans="1:31" x14ac:dyDescent="0.35">
      <c r="A6" s="8"/>
      <c r="B6" s="8" t="s">
        <v>62</v>
      </c>
      <c r="C6" s="8"/>
      <c r="D6" s="8" t="s">
        <v>148</v>
      </c>
      <c r="E6" s="12">
        <f>Rate_Impacts_With_v_Without!E13</f>
        <v>65.573941949999991</v>
      </c>
      <c r="F6" s="12">
        <f>Rate_Impacts_With_v_Without!F13</f>
        <v>65.573941949999991</v>
      </c>
      <c r="G6" s="12">
        <f>Rate_Impacts_With_v_Without!G13</f>
        <v>65.573941949999991</v>
      </c>
      <c r="H6" s="12">
        <f>Rate_Impacts_With_v_Without!H13</f>
        <v>65.573941949999991</v>
      </c>
      <c r="I6" s="12">
        <f>Rate_Impacts_With_v_Without!I13</f>
        <v>65.573941949999991</v>
      </c>
      <c r="J6" s="12">
        <f>Rate_Impacts_With_v_Without!J13</f>
        <v>65.573941949999991</v>
      </c>
      <c r="K6" s="12">
        <f>Rate_Impacts_With_v_Without!K13</f>
        <v>65.573941949999991</v>
      </c>
      <c r="L6" s="12">
        <f>Rate_Impacts_With_v_Without!L13</f>
        <v>65.573941949999991</v>
      </c>
      <c r="M6" s="12">
        <f>Rate_Impacts_With_v_Without!M13</f>
        <v>65.573941949999991</v>
      </c>
      <c r="N6" s="12">
        <f>Rate_Impacts_With_v_Without!N13</f>
        <v>65.573941949999991</v>
      </c>
      <c r="O6" s="12">
        <f>Rate_Impacts_With_v_Without!O13</f>
        <v>65.573941949999991</v>
      </c>
      <c r="P6" s="12">
        <f>Rate_Impacts_With_v_Without!P13</f>
        <v>65.573941949999991</v>
      </c>
      <c r="Q6" s="12">
        <f>Rate_Impacts_With_v_Without!Q13</f>
        <v>65.573941949999991</v>
      </c>
      <c r="R6" s="12">
        <f>Rate_Impacts_With_v_Without!R13</f>
        <v>65.573941949999991</v>
      </c>
      <c r="S6" s="12">
        <f>Rate_Impacts_With_v_Without!S13</f>
        <v>65.573941949999991</v>
      </c>
      <c r="T6" s="12">
        <f>Rate_Impacts_With_v_Without!T13</f>
        <v>65.573941949999991</v>
      </c>
      <c r="U6" s="12">
        <f>Rate_Impacts_With_v_Without!U13</f>
        <v>65.573941949999991</v>
      </c>
      <c r="V6" s="12">
        <f>Rate_Impacts_With_v_Without!V13</f>
        <v>65.573941949999991</v>
      </c>
      <c r="W6" s="12">
        <f>Rate_Impacts_With_v_Without!W13</f>
        <v>65.573941949999991</v>
      </c>
      <c r="X6" s="12">
        <f>Rate_Impacts_With_v_Without!X13</f>
        <v>65.573941949999991</v>
      </c>
      <c r="Y6" s="7"/>
      <c r="Z6" s="7"/>
      <c r="AA6" s="7"/>
      <c r="AB6" s="7"/>
      <c r="AC6" s="7"/>
      <c r="AD6" s="7"/>
      <c r="AE6" s="7"/>
    </row>
    <row r="7" spans="1:31" x14ac:dyDescent="0.35">
      <c r="A7" s="8"/>
      <c r="B7" s="8" t="s">
        <v>63</v>
      </c>
      <c r="C7" s="8"/>
      <c r="D7" s="8" t="s">
        <v>149</v>
      </c>
      <c r="E7" s="12">
        <f>Rate_Impacts_With_v_Without!E14</f>
        <v>98.370749999999987</v>
      </c>
      <c r="F7" s="12">
        <f>Rate_Impacts_With_v_Without!F14</f>
        <v>98.370749999999987</v>
      </c>
      <c r="G7" s="12">
        <f>Rate_Impacts_With_v_Without!G14</f>
        <v>98.370749999999987</v>
      </c>
      <c r="H7" s="12">
        <f>Rate_Impacts_With_v_Without!H14</f>
        <v>98.370749999999987</v>
      </c>
      <c r="I7" s="12">
        <f>Rate_Impacts_With_v_Without!I14</f>
        <v>98.370749999999987</v>
      </c>
      <c r="J7" s="12">
        <f>Rate_Impacts_With_v_Without!J14</f>
        <v>98.370749999999987</v>
      </c>
      <c r="K7" s="12">
        <f>Rate_Impacts_With_v_Without!K14</f>
        <v>98.370749999999987</v>
      </c>
      <c r="L7" s="12">
        <f>Rate_Impacts_With_v_Without!L14</f>
        <v>98.370749999999987</v>
      </c>
      <c r="M7" s="12">
        <f>Rate_Impacts_With_v_Without!M14</f>
        <v>98.370749999999987</v>
      </c>
      <c r="N7" s="12">
        <f>Rate_Impacts_With_v_Without!N14</f>
        <v>98.370749999999987</v>
      </c>
      <c r="O7" s="12">
        <f>Rate_Impacts_With_v_Without!O14</f>
        <v>98.370749999999987</v>
      </c>
      <c r="P7" s="12">
        <f>Rate_Impacts_With_v_Without!P14</f>
        <v>98.370749999999987</v>
      </c>
      <c r="Q7" s="12">
        <f>Rate_Impacts_With_v_Without!Q14</f>
        <v>98.370749999999987</v>
      </c>
      <c r="R7" s="12">
        <f>Rate_Impacts_With_v_Without!R14</f>
        <v>98.370749999999987</v>
      </c>
      <c r="S7" s="12">
        <f>Rate_Impacts_With_v_Without!S14</f>
        <v>98.370749999999987</v>
      </c>
      <c r="T7" s="12">
        <f>Rate_Impacts_With_v_Without!T14</f>
        <v>98.370749999999987</v>
      </c>
      <c r="U7" s="12">
        <f>Rate_Impacts_With_v_Without!U14</f>
        <v>98.370749999999987</v>
      </c>
      <c r="V7" s="12">
        <f>Rate_Impacts_With_v_Without!V14</f>
        <v>98.370749999999987</v>
      </c>
      <c r="W7" s="12">
        <f>Rate_Impacts_With_v_Without!W14</f>
        <v>98.370749999999987</v>
      </c>
      <c r="X7" s="12">
        <f>Rate_Impacts_With_v_Without!X14</f>
        <v>98.370749999999987</v>
      </c>
      <c r="Y7" s="7"/>
      <c r="Z7" s="7"/>
      <c r="AA7" s="7"/>
      <c r="AB7" s="7"/>
      <c r="AC7" s="7"/>
      <c r="AD7" s="7"/>
      <c r="AE7" s="7"/>
    </row>
    <row r="8" spans="1:31" x14ac:dyDescent="0.35">
      <c r="A8" s="8"/>
      <c r="B8" s="8" t="s">
        <v>40</v>
      </c>
      <c r="C8" s="8"/>
      <c r="D8" s="8" t="s">
        <v>3</v>
      </c>
      <c r="E8" s="24">
        <f>Rate_Impacts_With_v_Without!E15</f>
        <v>6</v>
      </c>
      <c r="F8" s="24">
        <f>Rate_Impacts_With_v_Without!F15</f>
        <v>6</v>
      </c>
      <c r="G8" s="24">
        <f>Rate_Impacts_With_v_Without!G15</f>
        <v>6</v>
      </c>
      <c r="H8" s="24">
        <f>Rate_Impacts_With_v_Without!H15</f>
        <v>6</v>
      </c>
      <c r="I8" s="24">
        <f>Rate_Impacts_With_v_Without!I15</f>
        <v>6</v>
      </c>
      <c r="J8" s="24">
        <f>Rate_Impacts_With_v_Without!J15</f>
        <v>6</v>
      </c>
      <c r="K8" s="24">
        <f>Rate_Impacts_With_v_Without!K15</f>
        <v>6</v>
      </c>
      <c r="L8" s="24">
        <f>Rate_Impacts_With_v_Without!L15</f>
        <v>6</v>
      </c>
      <c r="M8" s="24">
        <f>Rate_Impacts_With_v_Without!M15</f>
        <v>6</v>
      </c>
      <c r="N8" s="24">
        <f>Rate_Impacts_With_v_Without!N15</f>
        <v>6</v>
      </c>
      <c r="O8" s="24">
        <f>Rate_Impacts_With_v_Without!O15</f>
        <v>6</v>
      </c>
      <c r="P8" s="24">
        <f>Rate_Impacts_With_v_Without!P15</f>
        <v>6</v>
      </c>
      <c r="Q8" s="24">
        <f>Rate_Impacts_With_v_Without!Q15</f>
        <v>6</v>
      </c>
      <c r="R8" s="24">
        <f>Rate_Impacts_With_v_Without!R15</f>
        <v>6</v>
      </c>
      <c r="S8" s="24">
        <f>Rate_Impacts_With_v_Without!S15</f>
        <v>6</v>
      </c>
      <c r="T8" s="24">
        <f>Rate_Impacts_With_v_Without!T15</f>
        <v>6</v>
      </c>
      <c r="U8" s="24">
        <f>Rate_Impacts_With_v_Without!U15</f>
        <v>6</v>
      </c>
      <c r="V8" s="24">
        <f>Rate_Impacts_With_v_Without!V15</f>
        <v>6</v>
      </c>
      <c r="W8" s="24">
        <f>Rate_Impacts_With_v_Without!W15</f>
        <v>6</v>
      </c>
      <c r="X8" s="24">
        <f>Rate_Impacts_With_v_Without!X15</f>
        <v>6</v>
      </c>
      <c r="Y8" s="7"/>
      <c r="Z8" s="7"/>
      <c r="AA8" s="7"/>
      <c r="AB8" s="7"/>
      <c r="AC8" s="7"/>
      <c r="AD8" s="7"/>
      <c r="AE8" s="7"/>
    </row>
    <row r="9" spans="1:31" x14ac:dyDescent="0.35">
      <c r="A9" s="8"/>
      <c r="B9" s="8" t="s">
        <v>41</v>
      </c>
      <c r="C9" s="8"/>
      <c r="D9" s="8" t="s">
        <v>28</v>
      </c>
      <c r="E9" s="24">
        <f>Rate_Impacts_With_v_Without!E16</f>
        <v>8</v>
      </c>
      <c r="F9" s="24">
        <f>Rate_Impacts_With_v_Without!F16</f>
        <v>8</v>
      </c>
      <c r="G9" s="24">
        <f>Rate_Impacts_With_v_Without!G16</f>
        <v>8</v>
      </c>
      <c r="H9" s="24">
        <f>Rate_Impacts_With_v_Without!H16</f>
        <v>8</v>
      </c>
      <c r="I9" s="24">
        <f>Rate_Impacts_With_v_Without!I16</f>
        <v>8</v>
      </c>
      <c r="J9" s="24">
        <f>Rate_Impacts_With_v_Without!J16</f>
        <v>8</v>
      </c>
      <c r="K9" s="24">
        <f>Rate_Impacts_With_v_Without!K16</f>
        <v>8</v>
      </c>
      <c r="L9" s="24">
        <f>Rate_Impacts_With_v_Without!L16</f>
        <v>8</v>
      </c>
      <c r="M9" s="24">
        <f>Rate_Impacts_With_v_Without!M16</f>
        <v>8</v>
      </c>
      <c r="N9" s="24">
        <f>Rate_Impacts_With_v_Without!N16</f>
        <v>8</v>
      </c>
      <c r="O9" s="24">
        <f>Rate_Impacts_With_v_Without!O16</f>
        <v>8</v>
      </c>
      <c r="P9" s="24">
        <f>Rate_Impacts_With_v_Without!P16</f>
        <v>8</v>
      </c>
      <c r="Q9" s="24">
        <f>Rate_Impacts_With_v_Without!Q16</f>
        <v>8</v>
      </c>
      <c r="R9" s="24">
        <f>Rate_Impacts_With_v_Without!R16</f>
        <v>8</v>
      </c>
      <c r="S9" s="24">
        <f>Rate_Impacts_With_v_Without!S16</f>
        <v>8</v>
      </c>
      <c r="T9" s="24">
        <f>Rate_Impacts_With_v_Without!T16</f>
        <v>8</v>
      </c>
      <c r="U9" s="24">
        <f>Rate_Impacts_With_v_Without!U16</f>
        <v>8</v>
      </c>
      <c r="V9" s="24">
        <f>Rate_Impacts_With_v_Without!V16</f>
        <v>8</v>
      </c>
      <c r="W9" s="24">
        <f>Rate_Impacts_With_v_Without!W16</f>
        <v>8</v>
      </c>
      <c r="X9" s="24">
        <f>Rate_Impacts_With_v_Without!X16</f>
        <v>8</v>
      </c>
      <c r="Y9" s="7"/>
      <c r="Z9" s="7"/>
      <c r="AA9" s="7"/>
      <c r="AB9" s="7"/>
      <c r="AC9" s="7"/>
      <c r="AD9" s="7"/>
      <c r="AE9" s="7"/>
    </row>
    <row r="10" spans="1:31" x14ac:dyDescent="0.35">
      <c r="A10" s="8"/>
      <c r="B10" s="8"/>
      <c r="C10" s="8"/>
      <c r="D10" s="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7"/>
      <c r="Z10" s="7"/>
      <c r="AA10" s="7"/>
      <c r="AB10" s="7"/>
      <c r="AC10" s="7"/>
      <c r="AD10" s="7"/>
      <c r="AE10" s="7"/>
    </row>
    <row r="11" spans="1:31" x14ac:dyDescent="0.35">
      <c r="A11" s="8"/>
      <c r="B11" s="8"/>
      <c r="C11" s="19" t="s">
        <v>42</v>
      </c>
      <c r="D11" s="2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7"/>
      <c r="Z11" s="7"/>
      <c r="AA11" s="7"/>
      <c r="AB11" s="7"/>
      <c r="AC11" s="7"/>
      <c r="AD11" s="7"/>
      <c r="AE11" s="7"/>
    </row>
    <row r="12" spans="1:31" x14ac:dyDescent="0.35">
      <c r="A12" s="8"/>
      <c r="B12" s="8"/>
      <c r="C12" s="9" t="s">
        <v>8</v>
      </c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7"/>
      <c r="Z12" s="7"/>
      <c r="AA12" s="7"/>
      <c r="AB12" s="7"/>
      <c r="AC12" s="7"/>
      <c r="AD12" s="7"/>
      <c r="AE12" s="7"/>
    </row>
    <row r="13" spans="1:31" x14ac:dyDescent="0.35">
      <c r="A13" s="8"/>
      <c r="B13" s="8" t="s">
        <v>69</v>
      </c>
      <c r="C13" s="8"/>
      <c r="D13" s="8" t="s">
        <v>147</v>
      </c>
      <c r="E13" s="12">
        <f>Rate_Impacts_With_v_Without!E32</f>
        <v>32.58363933340992</v>
      </c>
      <c r="F13" s="12">
        <f>Rate_Impacts_With_v_Without!F32</f>
        <v>32.367103379871615</v>
      </c>
      <c r="G13" s="12">
        <f>Rate_Impacts_With_v_Without!G32</f>
        <v>32.147119770352468</v>
      </c>
      <c r="H13" s="12">
        <f>Rate_Impacts_With_v_Without!H32</f>
        <v>31.923605504427837</v>
      </c>
      <c r="I13" s="12">
        <f>Rate_Impacts_With_v_Without!I32</f>
        <v>31.69647489586708</v>
      </c>
      <c r="J13" s="12">
        <f>Rate_Impacts_With_v_Without!J32</f>
        <v>31.465639463110286</v>
      </c>
      <c r="K13" s="12">
        <f>Rate_Impacts_With_v_Without!K32</f>
        <v>31.231007814341435</v>
      </c>
      <c r="L13" s="12">
        <f>Rate_Impacts_With_v_Without!L32</f>
        <v>30.992485526844447</v>
      </c>
      <c r="M13" s="12">
        <f>Rate_Impacts_With_v_Without!M32</f>
        <v>30.749975020307541</v>
      </c>
      <c r="N13" s="12">
        <f>Rate_Impacts_With_v_Without!N32</f>
        <v>30.503375423718769</v>
      </c>
      <c r="O13" s="12">
        <f>Rate_Impacts_With_v_Without!O32</f>
        <v>30.503375423718772</v>
      </c>
      <c r="P13" s="12">
        <f>Rate_Impacts_With_v_Without!P32</f>
        <v>30.503375423718772</v>
      </c>
      <c r="Q13" s="12">
        <f>Rate_Impacts_With_v_Without!Q32</f>
        <v>30.503375423718772</v>
      </c>
      <c r="R13" s="12">
        <f>Rate_Impacts_With_v_Without!R32</f>
        <v>30.503375423718776</v>
      </c>
      <c r="S13" s="12">
        <f>Rate_Impacts_With_v_Without!S32</f>
        <v>30.503375423718776</v>
      </c>
      <c r="T13" s="12">
        <f>Rate_Impacts_With_v_Without!T32</f>
        <v>30.503375423718772</v>
      </c>
      <c r="U13" s="12">
        <f>Rate_Impacts_With_v_Without!U32</f>
        <v>30.503375423718776</v>
      </c>
      <c r="V13" s="12">
        <f>Rate_Impacts_With_v_Without!V32</f>
        <v>30.503375423718776</v>
      </c>
      <c r="W13" s="12">
        <f>Rate_Impacts_With_v_Without!W32</f>
        <v>30.503375423718776</v>
      </c>
      <c r="X13" s="12">
        <f>Rate_Impacts_With_v_Without!X32</f>
        <v>30.503375423718772</v>
      </c>
      <c r="Y13" s="7"/>
      <c r="Z13" s="7"/>
      <c r="AA13" s="7"/>
      <c r="AB13" s="7"/>
      <c r="AC13" s="7"/>
      <c r="AD13" s="7"/>
      <c r="AE13" s="7"/>
    </row>
    <row r="14" spans="1:31" x14ac:dyDescent="0.35">
      <c r="A14" s="8"/>
      <c r="B14" s="8" t="s">
        <v>70</v>
      </c>
      <c r="C14" s="8"/>
      <c r="D14" s="8" t="s">
        <v>148</v>
      </c>
      <c r="E14" s="12">
        <f>Rate_Impacts_With_v_Without!E33</f>
        <v>66.087790217252078</v>
      </c>
      <c r="F14" s="12">
        <f>Rate_Impacts_With_v_Without!F33</f>
        <v>66.609755289347575</v>
      </c>
      <c r="G14" s="12">
        <f>Rate_Impacts_With_v_Without!G33</f>
        <v>67.140031018279416</v>
      </c>
      <c r="H14" s="12">
        <f>Rate_Impacts_With_v_Without!H33</f>
        <v>67.6788174785477</v>
      </c>
      <c r="I14" s="12">
        <f>Rate_Impacts_With_v_Without!I33</f>
        <v>68.226321218851652</v>
      </c>
      <c r="J14" s="12">
        <f>Rate_Impacts_With_v_Without!J33</f>
        <v>68.782755526098342</v>
      </c>
      <c r="K14" s="12">
        <f>Rate_Impacts_With_v_Without!K33</f>
        <v>69.348340702436488</v>
      </c>
      <c r="L14" s="12">
        <f>Rate_Impacts_With_v_Without!L33</f>
        <v>69.923304356071597</v>
      </c>
      <c r="M14" s="12">
        <f>Rate_Impacts_With_v_Without!M33</f>
        <v>70.507881706668726</v>
      </c>
      <c r="N14" s="12">
        <f>Rate_Impacts_With_v_Without!N33</f>
        <v>71.102315906204083</v>
      </c>
      <c r="O14" s="12">
        <f>Rate_Impacts_With_v_Without!O33</f>
        <v>71.102315906204083</v>
      </c>
      <c r="P14" s="12">
        <f>Rate_Impacts_With_v_Without!P33</f>
        <v>71.102315906204083</v>
      </c>
      <c r="Q14" s="12">
        <f>Rate_Impacts_With_v_Without!Q33</f>
        <v>71.102315906204083</v>
      </c>
      <c r="R14" s="12">
        <f>Rate_Impacts_With_v_Without!R33</f>
        <v>71.102315906204083</v>
      </c>
      <c r="S14" s="12">
        <f>Rate_Impacts_With_v_Without!S33</f>
        <v>71.102315906204097</v>
      </c>
      <c r="T14" s="12">
        <f>Rate_Impacts_With_v_Without!T33</f>
        <v>71.102315906204097</v>
      </c>
      <c r="U14" s="12">
        <f>Rate_Impacts_With_v_Without!U33</f>
        <v>71.102315906204097</v>
      </c>
      <c r="V14" s="12">
        <f>Rate_Impacts_With_v_Without!V33</f>
        <v>71.102315906204097</v>
      </c>
      <c r="W14" s="12">
        <f>Rate_Impacts_With_v_Without!W33</f>
        <v>71.102315906204097</v>
      </c>
      <c r="X14" s="12">
        <f>Rate_Impacts_With_v_Without!X33</f>
        <v>71.102315906204097</v>
      </c>
      <c r="Y14" s="7"/>
      <c r="Z14" s="7"/>
      <c r="AA14" s="7"/>
      <c r="AB14" s="7"/>
      <c r="AC14" s="7"/>
      <c r="AD14" s="7"/>
      <c r="AE14" s="7"/>
    </row>
    <row r="15" spans="1:31" x14ac:dyDescent="0.35">
      <c r="A15" s="8"/>
      <c r="B15" s="8" t="s">
        <v>63</v>
      </c>
      <c r="C15" s="8"/>
      <c r="D15" s="8" t="s">
        <v>149</v>
      </c>
      <c r="E15" s="12">
        <f>Rate_Impacts_With_v_Without!E34</f>
        <v>98.671429550661998</v>
      </c>
      <c r="F15" s="12">
        <f>Rate_Impacts_With_v_Without!F34</f>
        <v>98.976858669219183</v>
      </c>
      <c r="G15" s="12">
        <f>Rate_Impacts_With_v_Without!G34</f>
        <v>99.287150788631891</v>
      </c>
      <c r="H15" s="12">
        <f>Rate_Impacts_With_v_Without!H34</f>
        <v>99.60242298297554</v>
      </c>
      <c r="I15" s="12">
        <f>Rate_Impacts_With_v_Without!I34</f>
        <v>99.922796114718736</v>
      </c>
      <c r="J15" s="12">
        <f>Rate_Impacts_With_v_Without!J34</f>
        <v>100.24839498920863</v>
      </c>
      <c r="K15" s="12">
        <f>Rate_Impacts_With_v_Without!K34</f>
        <v>100.57934851677793</v>
      </c>
      <c r="L15" s="12">
        <f>Rate_Impacts_With_v_Without!L34</f>
        <v>100.91578988291604</v>
      </c>
      <c r="M15" s="12">
        <f>Rate_Impacts_With_v_Without!M34</f>
        <v>101.25785672697627</v>
      </c>
      <c r="N15" s="12">
        <f>Rate_Impacts_With_v_Without!N34</f>
        <v>101.60569132992285</v>
      </c>
      <c r="O15" s="12">
        <f>Rate_Impacts_With_v_Without!O34</f>
        <v>101.60569132992285</v>
      </c>
      <c r="P15" s="12">
        <f>Rate_Impacts_With_v_Without!P34</f>
        <v>101.60569132992285</v>
      </c>
      <c r="Q15" s="12">
        <f>Rate_Impacts_With_v_Without!Q34</f>
        <v>101.60569132992285</v>
      </c>
      <c r="R15" s="12">
        <f>Rate_Impacts_With_v_Without!R34</f>
        <v>101.60569132992286</v>
      </c>
      <c r="S15" s="12">
        <f>Rate_Impacts_With_v_Without!S34</f>
        <v>101.60569132992288</v>
      </c>
      <c r="T15" s="12">
        <f>Rate_Impacts_With_v_Without!T34</f>
        <v>101.60569132992288</v>
      </c>
      <c r="U15" s="12">
        <f>Rate_Impacts_With_v_Without!U34</f>
        <v>101.60569132992288</v>
      </c>
      <c r="V15" s="12">
        <f>Rate_Impacts_With_v_Without!V34</f>
        <v>101.60569132992288</v>
      </c>
      <c r="W15" s="12">
        <f>Rate_Impacts_With_v_Without!W34</f>
        <v>101.60569132992288</v>
      </c>
      <c r="X15" s="12">
        <f>Rate_Impacts_With_v_Without!X34</f>
        <v>101.60569132992288</v>
      </c>
      <c r="Y15" s="7"/>
      <c r="Z15" s="7"/>
      <c r="AA15" s="7"/>
      <c r="AB15" s="7"/>
      <c r="AC15" s="7"/>
      <c r="AD15" s="7"/>
      <c r="AE15" s="7"/>
    </row>
    <row r="16" spans="1:31" x14ac:dyDescent="0.35">
      <c r="A16" s="8"/>
      <c r="B16" s="8" t="s">
        <v>57</v>
      </c>
      <c r="C16" s="8"/>
      <c r="D16" s="8" t="s">
        <v>3</v>
      </c>
      <c r="E16" s="24">
        <f>Rate_Impacts_With_v_Without!E35</f>
        <v>6</v>
      </c>
      <c r="F16" s="24">
        <f>Rate_Impacts_With_v_Without!F35</f>
        <v>6</v>
      </c>
      <c r="G16" s="24">
        <f>Rate_Impacts_With_v_Without!G35</f>
        <v>6</v>
      </c>
      <c r="H16" s="24">
        <f>Rate_Impacts_With_v_Without!H35</f>
        <v>6</v>
      </c>
      <c r="I16" s="24">
        <f>Rate_Impacts_With_v_Without!I35</f>
        <v>6</v>
      </c>
      <c r="J16" s="24">
        <f>Rate_Impacts_With_v_Without!J35</f>
        <v>6</v>
      </c>
      <c r="K16" s="24">
        <f>Rate_Impacts_With_v_Without!K35</f>
        <v>6</v>
      </c>
      <c r="L16" s="24">
        <f>Rate_Impacts_With_v_Without!L35</f>
        <v>6</v>
      </c>
      <c r="M16" s="24">
        <f>Rate_Impacts_With_v_Without!M35</f>
        <v>6</v>
      </c>
      <c r="N16" s="24">
        <f>Rate_Impacts_With_v_Without!N35</f>
        <v>6</v>
      </c>
      <c r="O16" s="24">
        <f>Rate_Impacts_With_v_Without!O35</f>
        <v>6</v>
      </c>
      <c r="P16" s="24">
        <f>Rate_Impacts_With_v_Without!P35</f>
        <v>6</v>
      </c>
      <c r="Q16" s="24">
        <f>Rate_Impacts_With_v_Without!Q35</f>
        <v>6</v>
      </c>
      <c r="R16" s="24">
        <f>Rate_Impacts_With_v_Without!R35</f>
        <v>6</v>
      </c>
      <c r="S16" s="24">
        <f>Rate_Impacts_With_v_Without!S35</f>
        <v>6</v>
      </c>
      <c r="T16" s="24">
        <f>Rate_Impacts_With_v_Without!T35</f>
        <v>6</v>
      </c>
      <c r="U16" s="24">
        <f>Rate_Impacts_With_v_Without!U35</f>
        <v>6</v>
      </c>
      <c r="V16" s="24">
        <f>Rate_Impacts_With_v_Without!V35</f>
        <v>6</v>
      </c>
      <c r="W16" s="24">
        <f>Rate_Impacts_With_v_Without!W35</f>
        <v>6</v>
      </c>
      <c r="X16" s="24">
        <f>Rate_Impacts_With_v_Without!X35</f>
        <v>6</v>
      </c>
      <c r="Y16" s="7"/>
      <c r="Z16" s="7"/>
      <c r="AA16" s="7"/>
      <c r="AB16" s="7"/>
      <c r="AC16" s="7"/>
      <c r="AD16" s="7"/>
      <c r="AE16" s="7"/>
    </row>
    <row r="17" spans="1:31" x14ac:dyDescent="0.35">
      <c r="A17" s="8"/>
      <c r="B17" s="8" t="s">
        <v>57</v>
      </c>
      <c r="C17" s="8"/>
      <c r="D17" s="8" t="s">
        <v>28</v>
      </c>
      <c r="E17" s="24">
        <f>Rate_Impacts_With_v_Without!E36</f>
        <v>8</v>
      </c>
      <c r="F17" s="24">
        <f>Rate_Impacts_With_v_Without!F36</f>
        <v>8</v>
      </c>
      <c r="G17" s="24">
        <f>Rate_Impacts_With_v_Without!G36</f>
        <v>8</v>
      </c>
      <c r="H17" s="24">
        <f>Rate_Impacts_With_v_Without!H36</f>
        <v>8</v>
      </c>
      <c r="I17" s="24">
        <f>Rate_Impacts_With_v_Without!I36</f>
        <v>8</v>
      </c>
      <c r="J17" s="24">
        <f>Rate_Impacts_With_v_Without!J36</f>
        <v>8</v>
      </c>
      <c r="K17" s="24">
        <f>Rate_Impacts_With_v_Without!K36</f>
        <v>8</v>
      </c>
      <c r="L17" s="24">
        <f>Rate_Impacts_With_v_Without!L36</f>
        <v>8</v>
      </c>
      <c r="M17" s="24">
        <f>Rate_Impacts_With_v_Without!M36</f>
        <v>8</v>
      </c>
      <c r="N17" s="24">
        <f>Rate_Impacts_With_v_Without!N36</f>
        <v>8</v>
      </c>
      <c r="O17" s="24">
        <f>Rate_Impacts_With_v_Without!O36</f>
        <v>8</v>
      </c>
      <c r="P17" s="24">
        <f>Rate_Impacts_With_v_Without!P36</f>
        <v>8</v>
      </c>
      <c r="Q17" s="24">
        <f>Rate_Impacts_With_v_Without!Q36</f>
        <v>8</v>
      </c>
      <c r="R17" s="24">
        <f>Rate_Impacts_With_v_Without!R36</f>
        <v>8</v>
      </c>
      <c r="S17" s="24">
        <f>Rate_Impacts_With_v_Without!S36</f>
        <v>8</v>
      </c>
      <c r="T17" s="24">
        <f>Rate_Impacts_With_v_Without!T36</f>
        <v>8</v>
      </c>
      <c r="U17" s="24">
        <f>Rate_Impacts_With_v_Without!U36</f>
        <v>8</v>
      </c>
      <c r="V17" s="24">
        <f>Rate_Impacts_With_v_Without!V36</f>
        <v>8</v>
      </c>
      <c r="W17" s="24">
        <f>Rate_Impacts_With_v_Without!W36</f>
        <v>8</v>
      </c>
      <c r="X17" s="24">
        <f>Rate_Impacts_With_v_Without!X36</f>
        <v>8</v>
      </c>
      <c r="Y17" s="7"/>
      <c r="Z17" s="7"/>
      <c r="AA17" s="7"/>
      <c r="AB17" s="7"/>
      <c r="AC17" s="7"/>
      <c r="AD17" s="7"/>
      <c r="AE17" s="7"/>
    </row>
    <row r="18" spans="1:31" x14ac:dyDescent="0.35">
      <c r="A18" s="8"/>
      <c r="B18" s="8"/>
      <c r="C18" s="8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7"/>
      <c r="Z18" s="7"/>
      <c r="AA18" s="7"/>
      <c r="AB18" s="7"/>
      <c r="AC18" s="7"/>
      <c r="AD18" s="7"/>
      <c r="AE18" s="7"/>
    </row>
    <row r="19" spans="1:31" x14ac:dyDescent="0.35">
      <c r="A19" s="8"/>
      <c r="B19" s="8"/>
      <c r="C19" s="19" t="s">
        <v>126</v>
      </c>
      <c r="D19" s="20"/>
      <c r="E19" s="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7"/>
      <c r="Z19" s="7"/>
      <c r="AA19" s="7"/>
      <c r="AB19" s="7"/>
      <c r="AC19" s="7"/>
      <c r="AD19" s="7"/>
      <c r="AE19" s="7"/>
    </row>
    <row r="20" spans="1:31" x14ac:dyDescent="0.35">
      <c r="A20" s="8"/>
      <c r="B20" s="8"/>
      <c r="C20" s="9" t="s">
        <v>127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AA20" s="7"/>
      <c r="AB20" s="7"/>
      <c r="AC20" s="7"/>
      <c r="AD20" s="7"/>
      <c r="AE20" s="7"/>
    </row>
    <row r="21" spans="1:31" x14ac:dyDescent="0.35">
      <c r="A21" s="8"/>
      <c r="B21" s="8"/>
      <c r="C21" s="8"/>
      <c r="D21" s="8" t="s">
        <v>147</v>
      </c>
      <c r="E21" s="25" t="s">
        <v>128</v>
      </c>
      <c r="F21" s="15">
        <f>F13-E13</f>
        <v>-0.21653595353830468</v>
      </c>
      <c r="G21" s="15">
        <f t="shared" ref="G21:X25" si="0">G13-F13</f>
        <v>-0.21998360951914719</v>
      </c>
      <c r="H21" s="15">
        <f t="shared" si="0"/>
        <v>-0.22351426592463142</v>
      </c>
      <c r="I21" s="15">
        <f t="shared" si="0"/>
        <v>-0.22713060856075629</v>
      </c>
      <c r="J21" s="15">
        <f>J13-I13</f>
        <v>-0.23083543275679475</v>
      </c>
      <c r="K21" s="15">
        <f t="shared" si="0"/>
        <v>-0.23463164876885045</v>
      </c>
      <c r="L21" s="15">
        <f t="shared" si="0"/>
        <v>-0.23852228749698767</v>
      </c>
      <c r="M21" s="15">
        <f t="shared" si="0"/>
        <v>-0.24251050653690598</v>
      </c>
      <c r="N21" s="15">
        <f t="shared" si="0"/>
        <v>-0.24659959658877284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5">
        <f t="shared" si="0"/>
        <v>0</v>
      </c>
      <c r="AA21" s="7"/>
      <c r="AB21" s="7"/>
      <c r="AC21" s="7"/>
      <c r="AD21" s="7"/>
      <c r="AE21" s="7"/>
    </row>
    <row r="22" spans="1:31" x14ac:dyDescent="0.35">
      <c r="A22" s="8"/>
      <c r="B22" s="8"/>
      <c r="C22" s="8"/>
      <c r="D22" s="8" t="s">
        <v>148</v>
      </c>
      <c r="E22" s="25" t="s">
        <v>128</v>
      </c>
      <c r="F22" s="15">
        <f t="shared" ref="F22:U25" si="1">F14-E14</f>
        <v>0.52196507209549736</v>
      </c>
      <c r="G22" s="15">
        <f t="shared" si="1"/>
        <v>0.53027572893184072</v>
      </c>
      <c r="H22" s="15">
        <f t="shared" si="1"/>
        <v>0.53878646026828392</v>
      </c>
      <c r="I22" s="15">
        <f t="shared" si="1"/>
        <v>0.54750374030395221</v>
      </c>
      <c r="J22" s="15">
        <f t="shared" si="1"/>
        <v>0.55643430724668974</v>
      </c>
      <c r="K22" s="15">
        <f t="shared" si="1"/>
        <v>0.56558517633814631</v>
      </c>
      <c r="L22" s="15">
        <f t="shared" si="1"/>
        <v>0.57496365363510904</v>
      </c>
      <c r="M22" s="15">
        <f t="shared" si="1"/>
        <v>0.58457735059712945</v>
      </c>
      <c r="N22" s="15">
        <f t="shared" si="1"/>
        <v>0.59443419953535681</v>
      </c>
      <c r="O22" s="15">
        <f t="shared" si="1"/>
        <v>0</v>
      </c>
      <c r="P22" s="15">
        <f t="shared" si="1"/>
        <v>0</v>
      </c>
      <c r="Q22" s="15">
        <f t="shared" si="1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0"/>
        <v>0</v>
      </c>
      <c r="W22" s="15">
        <f t="shared" si="0"/>
        <v>0</v>
      </c>
      <c r="X22" s="15">
        <f t="shared" si="0"/>
        <v>0</v>
      </c>
      <c r="AA22" s="7"/>
      <c r="AB22" s="7"/>
      <c r="AC22" s="7"/>
      <c r="AD22" s="7"/>
      <c r="AE22" s="7"/>
    </row>
    <row r="23" spans="1:31" x14ac:dyDescent="0.35">
      <c r="A23" s="8"/>
      <c r="B23" s="1"/>
      <c r="C23" s="8"/>
      <c r="D23" s="8" t="s">
        <v>149</v>
      </c>
      <c r="E23" s="25" t="s">
        <v>128</v>
      </c>
      <c r="F23" s="15">
        <f>F15-E15</f>
        <v>0.30542911855718557</v>
      </c>
      <c r="G23" s="15">
        <f>G15-F15</f>
        <v>0.31029211941270773</v>
      </c>
      <c r="H23" s="15">
        <f t="shared" si="0"/>
        <v>0.31527219434364895</v>
      </c>
      <c r="I23" s="15">
        <f t="shared" si="0"/>
        <v>0.32037313174319593</v>
      </c>
      <c r="J23" s="15">
        <f>J15-I15</f>
        <v>0.32559887448989855</v>
      </c>
      <c r="K23" s="15">
        <f t="shared" si="0"/>
        <v>0.33095352756929231</v>
      </c>
      <c r="L23" s="15">
        <f t="shared" si="0"/>
        <v>0.33644136613811781</v>
      </c>
      <c r="M23" s="15">
        <f t="shared" si="0"/>
        <v>0.34206684406022703</v>
      </c>
      <c r="N23" s="15">
        <f t="shared" si="0"/>
        <v>0.34783460294657687</v>
      </c>
      <c r="O23" s="15">
        <f t="shared" si="0"/>
        <v>0</v>
      </c>
      <c r="P23" s="15">
        <f t="shared" si="0"/>
        <v>0</v>
      </c>
      <c r="Q23" s="15">
        <f t="shared" si="0"/>
        <v>0</v>
      </c>
      <c r="R23" s="15">
        <f t="shared" si="0"/>
        <v>0</v>
      </c>
      <c r="S23" s="15">
        <f t="shared" si="0"/>
        <v>0</v>
      </c>
      <c r="T23" s="15">
        <f t="shared" si="0"/>
        <v>0</v>
      </c>
      <c r="U23" s="15">
        <f t="shared" si="0"/>
        <v>0</v>
      </c>
      <c r="V23" s="15">
        <f t="shared" si="0"/>
        <v>0</v>
      </c>
      <c r="W23" s="15">
        <f t="shared" si="0"/>
        <v>0</v>
      </c>
      <c r="X23" s="15">
        <f t="shared" si="0"/>
        <v>0</v>
      </c>
      <c r="AA23" s="7"/>
      <c r="AB23" s="7"/>
      <c r="AC23" s="7"/>
      <c r="AD23" s="7"/>
      <c r="AE23" s="7"/>
    </row>
    <row r="24" spans="1:31" x14ac:dyDescent="0.35">
      <c r="A24" s="8"/>
      <c r="B24" s="1"/>
      <c r="C24" s="8"/>
      <c r="D24" s="8" t="s">
        <v>3</v>
      </c>
      <c r="E24" s="25" t="s">
        <v>128</v>
      </c>
      <c r="F24" s="15">
        <f>F16-E16</f>
        <v>0</v>
      </c>
      <c r="G24" s="15">
        <f t="shared" ref="G24:X24" si="2">G16-F16</f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5">
        <f t="shared" si="2"/>
        <v>0</v>
      </c>
      <c r="Q24" s="15">
        <f t="shared" si="2"/>
        <v>0</v>
      </c>
      <c r="R24" s="15">
        <f t="shared" si="2"/>
        <v>0</v>
      </c>
      <c r="S24" s="15">
        <f t="shared" si="2"/>
        <v>0</v>
      </c>
      <c r="T24" s="15">
        <f t="shared" si="2"/>
        <v>0</v>
      </c>
      <c r="U24" s="15">
        <f t="shared" si="2"/>
        <v>0</v>
      </c>
      <c r="V24" s="15">
        <f t="shared" si="2"/>
        <v>0</v>
      </c>
      <c r="W24" s="15">
        <f t="shared" si="2"/>
        <v>0</v>
      </c>
      <c r="X24" s="15">
        <f t="shared" si="2"/>
        <v>0</v>
      </c>
      <c r="AA24" s="7"/>
      <c r="AB24" s="7"/>
      <c r="AC24" s="7"/>
      <c r="AD24" s="7"/>
      <c r="AE24" s="7"/>
    </row>
    <row r="25" spans="1:31" x14ac:dyDescent="0.35">
      <c r="A25" s="8"/>
      <c r="B25" s="8"/>
      <c r="C25" s="8"/>
      <c r="D25" s="8" t="s">
        <v>28</v>
      </c>
      <c r="E25" s="25" t="s">
        <v>128</v>
      </c>
      <c r="F25" s="15">
        <f t="shared" si="1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 t="shared" si="0"/>
        <v>0</v>
      </c>
      <c r="S25" s="15">
        <f t="shared" si="0"/>
        <v>0</v>
      </c>
      <c r="T25" s="15">
        <f t="shared" si="0"/>
        <v>0</v>
      </c>
      <c r="U25" s="15">
        <f t="shared" si="0"/>
        <v>0</v>
      </c>
      <c r="V25" s="15">
        <f t="shared" si="0"/>
        <v>0</v>
      </c>
      <c r="W25" s="15">
        <f t="shared" si="0"/>
        <v>0</v>
      </c>
      <c r="X25" s="15">
        <f t="shared" si="0"/>
        <v>0</v>
      </c>
      <c r="AA25" s="7"/>
      <c r="AB25" s="7"/>
      <c r="AC25" s="7"/>
      <c r="AD25" s="7"/>
      <c r="AE25" s="7"/>
    </row>
    <row r="26" spans="1:31" x14ac:dyDescent="0.35">
      <c r="A26" s="8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A26" s="7"/>
      <c r="AB26" s="7"/>
      <c r="AC26" s="7"/>
      <c r="AD26" s="7"/>
      <c r="AE26" s="7"/>
    </row>
    <row r="27" spans="1:31" x14ac:dyDescent="0.35">
      <c r="A27" s="8"/>
      <c r="B27" s="8"/>
      <c r="C27" s="8"/>
      <c r="D27" s="8" t="s">
        <v>65</v>
      </c>
      <c r="E27" s="25" t="s">
        <v>128</v>
      </c>
      <c r="F27" s="26">
        <f>F13/E13-1</f>
        <v>-6.6455423018471071E-3</v>
      </c>
      <c r="G27" s="26">
        <f>G13/F13-1</f>
        <v>-6.7965182715716832E-3</v>
      </c>
      <c r="H27" s="26">
        <f t="shared" ref="H27:X27" si="3">H13/G13-1</f>
        <v>-6.9528551086796009E-3</v>
      </c>
      <c r="I27" s="26">
        <f t="shared" si="3"/>
        <v>-7.1148169190743404E-3</v>
      </c>
      <c r="J27" s="26">
        <f t="shared" si="3"/>
        <v>-7.2826846996444372E-3</v>
      </c>
      <c r="K27" s="26">
        <f t="shared" si="3"/>
        <v>-7.4567576814680292E-3</v>
      </c>
      <c r="L27" s="26">
        <f t="shared" si="3"/>
        <v>-7.6373548018343618E-3</v>
      </c>
      <c r="M27" s="26">
        <f t="shared" si="3"/>
        <v>-7.8248163196479315E-3</v>
      </c>
      <c r="N27" s="26">
        <f t="shared" si="3"/>
        <v>-8.0195055906847612E-3</v>
      </c>
      <c r="O27" s="26">
        <f t="shared" si="3"/>
        <v>0</v>
      </c>
      <c r="P27" s="26">
        <f t="shared" si="3"/>
        <v>0</v>
      </c>
      <c r="Q27" s="26">
        <f t="shared" si="3"/>
        <v>0</v>
      </c>
      <c r="R27" s="26">
        <f t="shared" si="3"/>
        <v>0</v>
      </c>
      <c r="S27" s="26">
        <f t="shared" si="3"/>
        <v>0</v>
      </c>
      <c r="T27" s="26">
        <f t="shared" si="3"/>
        <v>0</v>
      </c>
      <c r="U27" s="26">
        <f t="shared" si="3"/>
        <v>0</v>
      </c>
      <c r="V27" s="26">
        <f t="shared" si="3"/>
        <v>0</v>
      </c>
      <c r="W27" s="26">
        <f t="shared" si="3"/>
        <v>0</v>
      </c>
      <c r="X27" s="26">
        <f t="shared" si="3"/>
        <v>0</v>
      </c>
      <c r="Y27" s="7"/>
      <c r="Z27" s="7"/>
      <c r="AA27" s="7"/>
      <c r="AB27" s="7"/>
      <c r="AC27" s="7"/>
      <c r="AD27" s="7"/>
      <c r="AE27" s="7"/>
    </row>
    <row r="28" spans="1:31" x14ac:dyDescent="0.35">
      <c r="A28" s="8"/>
      <c r="B28" s="8"/>
      <c r="C28" s="8"/>
      <c r="D28" s="8" t="s">
        <v>66</v>
      </c>
      <c r="E28" s="25" t="s">
        <v>128</v>
      </c>
      <c r="F28" s="26">
        <f t="shared" ref="F28:G29" si="4">F14/E14-1</f>
        <v>7.8980560611821016E-3</v>
      </c>
      <c r="G28" s="26">
        <f t="shared" si="4"/>
        <v>7.960931948006289E-3</v>
      </c>
      <c r="H28" s="26">
        <f t="shared" ref="H28:X28" si="5">H14/G14-1</f>
        <v>8.0248169697985094E-3</v>
      </c>
      <c r="I28" s="26">
        <f t="shared" si="5"/>
        <v>8.0897356174625124E-3</v>
      </c>
      <c r="J28" s="26">
        <f t="shared" si="5"/>
        <v>8.1557131808676075E-3</v>
      </c>
      <c r="K28" s="26">
        <f t="shared" si="5"/>
        <v>8.2227757816935032E-3</v>
      </c>
      <c r="L28" s="26">
        <f t="shared" si="5"/>
        <v>8.2909504079151652E-3</v>
      </c>
      <c r="M28" s="26">
        <f t="shared" si="5"/>
        <v>8.3602649500125192E-3</v>
      </c>
      <c r="N28" s="26">
        <f t="shared" si="5"/>
        <v>8.4307482390175714E-3</v>
      </c>
      <c r="O28" s="26">
        <f t="shared" si="5"/>
        <v>0</v>
      </c>
      <c r="P28" s="26">
        <f t="shared" si="5"/>
        <v>0</v>
      </c>
      <c r="Q28" s="26">
        <f t="shared" si="5"/>
        <v>0</v>
      </c>
      <c r="R28" s="26">
        <f t="shared" si="5"/>
        <v>0</v>
      </c>
      <c r="S28" s="26">
        <f t="shared" si="5"/>
        <v>0</v>
      </c>
      <c r="T28" s="26">
        <f t="shared" si="5"/>
        <v>0</v>
      </c>
      <c r="U28" s="26">
        <f t="shared" si="5"/>
        <v>0</v>
      </c>
      <c r="V28" s="26">
        <f t="shared" si="5"/>
        <v>0</v>
      </c>
      <c r="W28" s="26">
        <f t="shared" si="5"/>
        <v>0</v>
      </c>
      <c r="X28" s="26">
        <f t="shared" si="5"/>
        <v>0</v>
      </c>
      <c r="Y28" s="7"/>
      <c r="Z28" s="7"/>
      <c r="AA28" s="7"/>
      <c r="AB28" s="7"/>
      <c r="AC28" s="7"/>
      <c r="AD28" s="7"/>
      <c r="AE28" s="7"/>
    </row>
    <row r="29" spans="1:31" x14ac:dyDescent="0.35">
      <c r="A29" s="8"/>
      <c r="B29" s="8"/>
      <c r="C29" s="8"/>
      <c r="D29" s="8" t="s">
        <v>67</v>
      </c>
      <c r="E29" s="25" t="s">
        <v>128</v>
      </c>
      <c r="F29" s="26">
        <f t="shared" si="4"/>
        <v>3.095415967398818E-3</v>
      </c>
      <c r="G29" s="26">
        <f t="shared" si="4"/>
        <v>3.1349966404743412E-3</v>
      </c>
      <c r="H29" s="26">
        <f t="shared" ref="H29:X29" si="6">H15/G15-1</f>
        <v>3.1753574540054341E-3</v>
      </c>
      <c r="I29" s="26">
        <f t="shared" si="6"/>
        <v>3.2165194595512592E-3</v>
      </c>
      <c r="J29" s="26">
        <f t="shared" si="6"/>
        <v>3.2585044369264349E-3</v>
      </c>
      <c r="K29" s="26">
        <f t="shared" si="6"/>
        <v>3.3013349251618251E-3</v>
      </c>
      <c r="L29" s="26">
        <f t="shared" si="6"/>
        <v>3.3450342550389589E-3</v>
      </c>
      <c r="M29" s="26">
        <f t="shared" si="6"/>
        <v>3.3896265832840111E-3</v>
      </c>
      <c r="N29" s="26">
        <f t="shared" si="6"/>
        <v>3.4351369285294808E-3</v>
      </c>
      <c r="O29" s="26">
        <f t="shared" si="6"/>
        <v>0</v>
      </c>
      <c r="P29" s="26">
        <f t="shared" si="6"/>
        <v>0</v>
      </c>
      <c r="Q29" s="26">
        <f t="shared" si="6"/>
        <v>0</v>
      </c>
      <c r="R29" s="26">
        <f t="shared" si="6"/>
        <v>0</v>
      </c>
      <c r="S29" s="26">
        <f t="shared" si="6"/>
        <v>0</v>
      </c>
      <c r="T29" s="26">
        <f t="shared" si="6"/>
        <v>0</v>
      </c>
      <c r="U29" s="26">
        <f t="shared" si="6"/>
        <v>0</v>
      </c>
      <c r="V29" s="26">
        <f t="shared" si="6"/>
        <v>0</v>
      </c>
      <c r="W29" s="26">
        <f t="shared" si="6"/>
        <v>0</v>
      </c>
      <c r="X29" s="26">
        <f t="shared" si="6"/>
        <v>0</v>
      </c>
      <c r="Y29" s="7"/>
      <c r="Z29" s="7"/>
      <c r="AA29" s="7"/>
      <c r="AB29" s="7"/>
      <c r="AC29" s="7"/>
      <c r="AD29" s="7"/>
      <c r="AE29" s="7"/>
    </row>
    <row r="30" spans="1:31" x14ac:dyDescent="0.35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7"/>
      <c r="Z30" s="7"/>
      <c r="AA30" s="7"/>
      <c r="AB30" s="7"/>
      <c r="AC30" s="7"/>
      <c r="AD30" s="7"/>
      <c r="AE30" s="7"/>
    </row>
    <row r="31" spans="1:31" x14ac:dyDescent="0.35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7"/>
      <c r="Z31" s="7"/>
      <c r="AA31" s="7"/>
      <c r="AB31" s="7"/>
      <c r="AC31" s="7"/>
      <c r="AD31" s="7"/>
      <c r="AE31" s="7"/>
    </row>
    <row r="32" spans="1:31" x14ac:dyDescent="0.35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7"/>
      <c r="Z32" s="7"/>
      <c r="AA32" s="7"/>
      <c r="AB32" s="7"/>
      <c r="AC32" s="7"/>
      <c r="AD32" s="7"/>
      <c r="AE32" s="7"/>
    </row>
    <row r="33" spans="1:31" x14ac:dyDescent="0.35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"/>
      <c r="Z33" s="7"/>
      <c r="AA33" s="7"/>
      <c r="AB33" s="7"/>
      <c r="AC33" s="7"/>
      <c r="AD33" s="7"/>
      <c r="AE33" s="7"/>
    </row>
    <row r="34" spans="1:31" x14ac:dyDescent="0.35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7"/>
      <c r="Z34" s="7"/>
      <c r="AA34" s="7"/>
      <c r="AB34" s="7"/>
      <c r="AC34" s="7"/>
      <c r="AD34" s="7"/>
      <c r="AE34" s="7"/>
    </row>
    <row r="35" spans="1:31" x14ac:dyDescent="0.35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7"/>
      <c r="Z35" s="7"/>
      <c r="AA35" s="7"/>
      <c r="AB35" s="7"/>
      <c r="AC35" s="7"/>
      <c r="AD35" s="7"/>
      <c r="AE35" s="7"/>
    </row>
    <row r="36" spans="1:31" x14ac:dyDescent="0.35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7"/>
      <c r="Z36" s="7"/>
      <c r="AA36" s="7"/>
      <c r="AB36" s="7"/>
      <c r="AC36" s="7"/>
      <c r="AD36" s="7"/>
      <c r="AE36" s="7"/>
    </row>
    <row r="37" spans="1:31" x14ac:dyDescent="0.35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7"/>
      <c r="Z37" s="7"/>
      <c r="AA37" s="7"/>
      <c r="AB37" s="7"/>
      <c r="AC37" s="7"/>
      <c r="AD37" s="7"/>
      <c r="AE37" s="7"/>
    </row>
    <row r="38" spans="1:31" x14ac:dyDescent="0.35">
      <c r="A38" s="8"/>
      <c r="B38" s="8"/>
      <c r="C38" s="8"/>
      <c r="D38" s="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7"/>
      <c r="AB38" s="7"/>
      <c r="AC38" s="7"/>
      <c r="AD38" s="7"/>
      <c r="AE38" s="7"/>
    </row>
    <row r="39" spans="1:31" x14ac:dyDescent="0.35">
      <c r="A39" s="8"/>
      <c r="B39" s="8"/>
      <c r="C39" s="8"/>
      <c r="D39" s="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7"/>
      <c r="Z39" s="7"/>
      <c r="AA39" s="7"/>
      <c r="AB39" s="7"/>
      <c r="AC39" s="7"/>
      <c r="AD39" s="7"/>
      <c r="AE39" s="7"/>
    </row>
    <row r="40" spans="1:31" x14ac:dyDescent="0.35">
      <c r="A40" s="8"/>
      <c r="B40" s="8"/>
      <c r="C40" s="8"/>
      <c r="D40" s="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7"/>
      <c r="Z40" s="7"/>
      <c r="AA40" s="7"/>
      <c r="AB40" s="7"/>
      <c r="AC40" s="7"/>
      <c r="AD40" s="7"/>
      <c r="AE40" s="7"/>
    </row>
    <row r="41" spans="1:31" x14ac:dyDescent="0.35">
      <c r="A41" s="8"/>
      <c r="B41" s="8"/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7"/>
      <c r="Z41" s="7"/>
      <c r="AA41" s="7"/>
      <c r="AB41" s="7"/>
      <c r="AC41" s="7"/>
      <c r="AD41" s="7"/>
      <c r="AE41" s="7"/>
    </row>
    <row r="42" spans="1:31" x14ac:dyDescent="0.35">
      <c r="A42" s="8"/>
      <c r="B42" s="8"/>
      <c r="C42" s="8"/>
      <c r="D42" s="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7"/>
      <c r="Z42" s="7"/>
      <c r="AA42" s="7"/>
      <c r="AB42" s="7"/>
      <c r="AC42" s="7"/>
      <c r="AD42" s="7"/>
      <c r="AE42" s="7"/>
    </row>
    <row r="43" spans="1:31" x14ac:dyDescent="0.35">
      <c r="A43" s="8"/>
      <c r="B43" s="8"/>
      <c r="C43" s="8"/>
      <c r="D43" s="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7"/>
      <c r="Z43" s="7"/>
      <c r="AA43" s="7"/>
      <c r="AB43" s="7"/>
      <c r="AC43" s="7"/>
      <c r="AD43" s="7"/>
      <c r="AE43" s="7"/>
    </row>
    <row r="44" spans="1:31" x14ac:dyDescent="0.35">
      <c r="A44" s="8"/>
      <c r="B44" s="8"/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7"/>
      <c r="Z44" s="7"/>
      <c r="AA44" s="7"/>
      <c r="AB44" s="7"/>
      <c r="AC44" s="7"/>
      <c r="AD44" s="7"/>
      <c r="AE44" s="7"/>
    </row>
    <row r="45" spans="1:31" x14ac:dyDescent="0.35">
      <c r="A45" s="8"/>
      <c r="B45" s="8"/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7"/>
      <c r="Z45" s="7"/>
      <c r="AA45" s="7"/>
      <c r="AB45" s="7"/>
      <c r="AC45" s="7"/>
      <c r="AD45" s="7"/>
      <c r="AE45" s="7"/>
    </row>
    <row r="46" spans="1:31" x14ac:dyDescent="0.35">
      <c r="A46" s="8"/>
      <c r="B46" s="8"/>
      <c r="C46" s="8"/>
      <c r="D46" s="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7"/>
      <c r="Z46" s="7"/>
      <c r="AA46" s="7"/>
      <c r="AB46" s="7"/>
      <c r="AC46" s="7"/>
      <c r="AD46" s="7"/>
      <c r="AE46" s="7"/>
    </row>
    <row r="47" spans="1:31" x14ac:dyDescent="0.35">
      <c r="A47" s="8"/>
      <c r="B47" s="8"/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7"/>
      <c r="Z47" s="7"/>
      <c r="AA47" s="7"/>
      <c r="AB47" s="7"/>
      <c r="AC47" s="7"/>
      <c r="AD47" s="7"/>
      <c r="AE47" s="7"/>
    </row>
    <row r="48" spans="1:31" x14ac:dyDescent="0.35">
      <c r="A48" s="8"/>
      <c r="B48" s="8"/>
      <c r="C48" s="8"/>
      <c r="D48" s="8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7"/>
      <c r="Z48" s="7"/>
      <c r="AA48" s="7"/>
      <c r="AB48" s="7"/>
      <c r="AC48" s="7"/>
      <c r="AD48" s="7"/>
      <c r="AE48" s="7"/>
    </row>
  </sheetData>
  <printOptions gridLines="1"/>
  <pageMargins left="0.5" right="0.5" top="0.5" bottom="0.5" header="0.25" footer="0.25"/>
  <pageSetup scale="62" orientation="landscape" r:id="rId1"/>
  <headerFooter alignWithMargins="0">
    <oddHeader xml:space="preserve">&amp;RDocket 14-035-114
Exhibit TW -5
</oddHeader>
    <oddFooter>&amp;R&amp;A Page &amp;P/&amp;N</oddFooter>
  </headerFooter>
  <colBreaks count="2" manualBreakCount="2">
    <brk id="10" min="1" max="28" man="1"/>
    <brk id="17" min="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3"/>
  <sheetViews>
    <sheetView showGridLines="0" view="pageBreakPreview" zoomScale="115" zoomScaleNormal="55" zoomScaleSheetLayoutView="115" zoomScalePageLayoutView="70" workbookViewId="0">
      <selection activeCell="D11" sqref="D11"/>
    </sheetView>
  </sheetViews>
  <sheetFormatPr defaultRowHeight="12.75" x14ac:dyDescent="0.2"/>
  <cols>
    <col min="1" max="1" width="4.7109375" style="6" customWidth="1"/>
    <col min="2" max="2" width="39.140625" style="6" customWidth="1"/>
    <col min="3" max="3" width="22.140625" style="6" bestFit="1" customWidth="1"/>
    <col min="4" max="15" width="9.140625" style="6"/>
    <col min="16" max="16" width="5.5703125" style="6" customWidth="1"/>
    <col min="17" max="17" width="3.5703125" style="6" customWidth="1"/>
    <col min="18" max="18" width="0.140625" style="6" hidden="1" customWidth="1"/>
    <col min="19" max="16384" width="9.140625" style="6"/>
  </cols>
  <sheetData>
    <row r="1" spans="2:18" x14ac:dyDescent="0.2">
      <c r="R1" s="64"/>
    </row>
    <row r="2" spans="2:18" x14ac:dyDescent="0.2">
      <c r="B2" s="41" t="s">
        <v>192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65"/>
    </row>
    <row r="3" spans="2:18" x14ac:dyDescent="0.2">
      <c r="B3" s="47" t="s">
        <v>10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65"/>
    </row>
    <row r="4" spans="2:18" x14ac:dyDescent="0.2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50"/>
      <c r="R4" s="65"/>
    </row>
    <row r="5" spans="2:18" x14ac:dyDescent="0.2">
      <c r="B5" s="37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0"/>
      <c r="R5" s="65"/>
    </row>
    <row r="6" spans="2:18" x14ac:dyDescent="0.2">
      <c r="B6" s="32" t="s">
        <v>12</v>
      </c>
      <c r="C6" s="36">
        <v>6</v>
      </c>
      <c r="D6" s="36" t="s">
        <v>14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50"/>
      <c r="R6" s="65"/>
    </row>
    <row r="7" spans="2:18" x14ac:dyDescent="0.2">
      <c r="B7" s="32" t="s">
        <v>13</v>
      </c>
      <c r="C7" s="36">
        <v>12</v>
      </c>
      <c r="D7" s="36" t="s">
        <v>14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50"/>
      <c r="R7" s="65"/>
    </row>
    <row r="8" spans="2:18" x14ac:dyDescent="0.2">
      <c r="B8" s="3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50"/>
      <c r="R8" s="65"/>
    </row>
    <row r="9" spans="2:18" x14ac:dyDescent="0.2">
      <c r="B9" s="32" t="s">
        <v>15</v>
      </c>
      <c r="C9" s="36" t="s">
        <v>142</v>
      </c>
      <c r="D9" s="140" t="s">
        <v>143</v>
      </c>
      <c r="E9" s="140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50"/>
      <c r="R9" s="65"/>
    </row>
    <row r="10" spans="2:18" x14ac:dyDescent="0.2">
      <c r="B10" s="32" t="s">
        <v>17</v>
      </c>
      <c r="C10" s="36">
        <v>8.8498000000000001</v>
      </c>
      <c r="D10" s="36">
        <v>400</v>
      </c>
      <c r="E10" s="36" t="s">
        <v>184</v>
      </c>
      <c r="F10" s="36">
        <v>5</v>
      </c>
      <c r="G10" s="36" t="s">
        <v>22</v>
      </c>
      <c r="H10" s="36"/>
      <c r="I10" s="36"/>
      <c r="J10" s="36"/>
      <c r="K10" s="36"/>
      <c r="L10" s="36"/>
      <c r="M10" s="36"/>
      <c r="N10" s="36"/>
      <c r="O10" s="36"/>
      <c r="P10" s="36"/>
      <c r="Q10" s="50"/>
      <c r="R10" s="65"/>
    </row>
    <row r="11" spans="2:18" x14ac:dyDescent="0.2">
      <c r="B11" s="32" t="s">
        <v>18</v>
      </c>
      <c r="C11" s="36">
        <v>11.542899999999999</v>
      </c>
      <c r="D11" s="36">
        <v>600</v>
      </c>
      <c r="E11" s="36" t="s">
        <v>184</v>
      </c>
      <c r="F11" s="36">
        <v>5</v>
      </c>
      <c r="G11" s="36" t="s">
        <v>22</v>
      </c>
      <c r="H11" s="36"/>
      <c r="I11" s="36"/>
      <c r="J11" s="36"/>
      <c r="K11" s="36"/>
      <c r="L11" s="36"/>
      <c r="M11" s="36"/>
      <c r="N11" s="36"/>
      <c r="O11" s="36"/>
      <c r="P11" s="36"/>
      <c r="Q11" s="50"/>
      <c r="R11" s="65"/>
    </row>
    <row r="12" spans="2:18" x14ac:dyDescent="0.2">
      <c r="B12" s="32" t="s">
        <v>19</v>
      </c>
      <c r="C12" s="36">
        <v>14.450799999999999</v>
      </c>
      <c r="D12" s="36"/>
      <c r="E12" s="36" t="s">
        <v>183</v>
      </c>
      <c r="F12" s="36">
        <v>5</v>
      </c>
      <c r="G12" s="36" t="s">
        <v>22</v>
      </c>
      <c r="H12" s="36"/>
      <c r="I12" s="36"/>
      <c r="J12" s="36"/>
      <c r="K12" s="36"/>
      <c r="L12" s="36"/>
      <c r="M12" s="36"/>
      <c r="N12" s="36"/>
      <c r="O12" s="36"/>
      <c r="P12" s="36"/>
      <c r="Q12" s="50"/>
      <c r="R12" s="65"/>
    </row>
    <row r="13" spans="2:18" x14ac:dyDescent="0.2">
      <c r="B13" s="32" t="s">
        <v>20</v>
      </c>
      <c r="C13" s="36">
        <v>8.8498000000000001</v>
      </c>
      <c r="D13" s="36">
        <v>400</v>
      </c>
      <c r="E13" s="36"/>
      <c r="F13" s="36">
        <v>7</v>
      </c>
      <c r="G13" s="36" t="s">
        <v>23</v>
      </c>
      <c r="H13" s="36"/>
      <c r="I13" s="36"/>
      <c r="J13" s="36"/>
      <c r="K13" s="36"/>
      <c r="L13" s="36"/>
      <c r="M13" s="36"/>
      <c r="N13" s="36"/>
      <c r="O13" s="36"/>
      <c r="P13" s="36"/>
      <c r="Q13" s="50"/>
      <c r="R13" s="65"/>
    </row>
    <row r="14" spans="2:18" x14ac:dyDescent="0.2">
      <c r="B14" s="32" t="s">
        <v>21</v>
      </c>
      <c r="C14" s="36">
        <v>10.3111</v>
      </c>
      <c r="D14" s="36">
        <v>600</v>
      </c>
      <c r="E14" s="36" t="s">
        <v>183</v>
      </c>
      <c r="F14" s="36">
        <v>7</v>
      </c>
      <c r="G14" s="36" t="s">
        <v>23</v>
      </c>
      <c r="H14" s="36"/>
      <c r="I14" s="36"/>
      <c r="J14" s="36"/>
      <c r="K14" s="36"/>
      <c r="L14" s="36"/>
      <c r="M14" s="36"/>
      <c r="N14" s="36"/>
      <c r="O14" s="36"/>
      <c r="P14" s="36"/>
      <c r="Q14" s="50"/>
      <c r="R14" s="65"/>
    </row>
    <row r="15" spans="2:18" x14ac:dyDescent="0.2">
      <c r="B15" s="32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50"/>
      <c r="R15" s="65"/>
    </row>
    <row r="16" spans="2:18" x14ac:dyDescent="0.2">
      <c r="B16" s="32" t="s">
        <v>24</v>
      </c>
      <c r="C16" s="40">
        <f>AVERAGE(C10:C11)</f>
        <v>10.196349999999999</v>
      </c>
      <c r="D16" s="39" t="s">
        <v>141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50"/>
      <c r="R16" s="65"/>
    </row>
    <row r="17" spans="2:18" x14ac:dyDescent="0.2">
      <c r="B17" s="32" t="s">
        <v>25</v>
      </c>
      <c r="C17" s="40">
        <f>AVERAGE(C13:C14)</f>
        <v>9.580449999999999</v>
      </c>
      <c r="D17" s="39" t="s">
        <v>141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50"/>
      <c r="R17" s="65"/>
    </row>
    <row r="18" spans="2:18" x14ac:dyDescent="0.2">
      <c r="B18" s="32" t="s">
        <v>79</v>
      </c>
      <c r="C18" s="40">
        <f>((F10/12)*C16)+((F13/12)*C17)</f>
        <v>9.8370749999999987</v>
      </c>
      <c r="D18" s="39" t="s">
        <v>141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50"/>
      <c r="R18" s="65"/>
    </row>
    <row r="19" spans="2:18" x14ac:dyDescent="0.2">
      <c r="B19" s="3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50"/>
      <c r="R19" s="65"/>
    </row>
    <row r="20" spans="2:18" x14ac:dyDescent="0.2">
      <c r="B20" s="3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50"/>
      <c r="R20" s="65"/>
    </row>
    <row r="21" spans="2:18" x14ac:dyDescent="0.2">
      <c r="B21" s="37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50"/>
      <c r="R21" s="65"/>
    </row>
    <row r="22" spans="2:18" x14ac:dyDescent="0.2">
      <c r="B22" s="32" t="s">
        <v>12</v>
      </c>
      <c r="C22" s="36">
        <v>8</v>
      </c>
      <c r="D22" s="36" t="s">
        <v>14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50"/>
      <c r="R22" s="65"/>
    </row>
    <row r="23" spans="2:18" x14ac:dyDescent="0.2">
      <c r="B23" s="34" t="s">
        <v>13</v>
      </c>
      <c r="C23" s="38">
        <v>16</v>
      </c>
      <c r="D23" s="38" t="s">
        <v>14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51"/>
      <c r="R23" s="65"/>
    </row>
    <row r="24" spans="2:18" x14ac:dyDescent="0.2">
      <c r="R24" s="64"/>
    </row>
    <row r="25" spans="2:18" x14ac:dyDescent="0.2">
      <c r="B25" s="52" t="s">
        <v>193</v>
      </c>
      <c r="C25" s="53"/>
      <c r="D25" s="53"/>
      <c r="E25" s="53"/>
      <c r="F25" s="53"/>
      <c r="G25" s="54"/>
      <c r="R25" s="64"/>
    </row>
    <row r="26" spans="2:18" x14ac:dyDescent="0.2">
      <c r="B26" s="55" t="s">
        <v>140</v>
      </c>
      <c r="C26" s="56"/>
      <c r="D26" s="56"/>
      <c r="E26" s="56"/>
      <c r="F26" s="56"/>
      <c r="G26" s="57"/>
      <c r="R26" s="64"/>
    </row>
    <row r="27" spans="2:18" x14ac:dyDescent="0.2">
      <c r="B27" s="58" t="s">
        <v>108</v>
      </c>
      <c r="C27" s="59"/>
      <c r="D27" s="59"/>
      <c r="E27" s="59"/>
      <c r="F27" s="59"/>
      <c r="G27" s="60"/>
      <c r="R27" s="64"/>
    </row>
    <row r="28" spans="2:18" x14ac:dyDescent="0.2">
      <c r="B28" s="58" t="s">
        <v>107</v>
      </c>
      <c r="C28" s="59" t="s">
        <v>106</v>
      </c>
      <c r="D28" s="59"/>
      <c r="E28" s="59"/>
      <c r="F28" s="59"/>
      <c r="G28" s="60"/>
    </row>
    <row r="29" spans="2:18" x14ac:dyDescent="0.2">
      <c r="B29" s="58" t="s">
        <v>105</v>
      </c>
      <c r="C29" s="59" t="s">
        <v>104</v>
      </c>
      <c r="D29" s="59"/>
      <c r="E29" s="59"/>
      <c r="F29" s="59"/>
      <c r="G29" s="60"/>
    </row>
    <row r="30" spans="2:18" x14ac:dyDescent="0.2">
      <c r="B30" s="58" t="s">
        <v>103</v>
      </c>
      <c r="C30" s="59">
        <v>40.770000000000003</v>
      </c>
      <c r="D30" s="59"/>
      <c r="E30" s="59"/>
      <c r="F30" s="59"/>
      <c r="G30" s="60"/>
    </row>
    <row r="31" spans="2:18" x14ac:dyDescent="0.2">
      <c r="B31" s="58" t="s">
        <v>102</v>
      </c>
      <c r="C31" s="59">
        <v>111.97</v>
      </c>
      <c r="D31" s="59"/>
      <c r="E31" s="59"/>
      <c r="F31" s="59"/>
      <c r="G31" s="60"/>
    </row>
    <row r="32" spans="2:18" x14ac:dyDescent="0.2">
      <c r="B32" s="58" t="s">
        <v>101</v>
      </c>
      <c r="C32" s="59">
        <v>1288</v>
      </c>
      <c r="D32" s="59"/>
      <c r="E32" s="59"/>
      <c r="F32" s="59"/>
      <c r="G32" s="60"/>
    </row>
    <row r="33" spans="2:7" x14ac:dyDescent="0.2">
      <c r="B33" s="58" t="s">
        <v>100</v>
      </c>
      <c r="C33" s="59">
        <v>5</v>
      </c>
      <c r="D33" s="59"/>
      <c r="E33" s="59"/>
      <c r="F33" s="59"/>
      <c r="G33" s="60"/>
    </row>
    <row r="34" spans="2:7" x14ac:dyDescent="0.2">
      <c r="B34" s="58" t="s">
        <v>99</v>
      </c>
      <c r="C34" s="59" t="s">
        <v>98</v>
      </c>
      <c r="D34" s="59"/>
      <c r="E34" s="59"/>
      <c r="F34" s="59"/>
      <c r="G34" s="60"/>
    </row>
    <row r="35" spans="2:7" x14ac:dyDescent="0.2">
      <c r="B35" s="58" t="s">
        <v>97</v>
      </c>
      <c r="C35" s="59" t="s">
        <v>96</v>
      </c>
      <c r="D35" s="59"/>
      <c r="E35" s="59"/>
      <c r="F35" s="59"/>
      <c r="G35" s="60"/>
    </row>
    <row r="36" spans="2:7" x14ac:dyDescent="0.2">
      <c r="B36" s="58" t="s">
        <v>95</v>
      </c>
      <c r="C36" s="59">
        <v>20</v>
      </c>
      <c r="D36" s="59"/>
      <c r="E36" s="59"/>
      <c r="F36" s="59"/>
      <c r="G36" s="60"/>
    </row>
    <row r="37" spans="2:7" x14ac:dyDescent="0.2">
      <c r="B37" s="58" t="s">
        <v>94</v>
      </c>
      <c r="C37" s="59">
        <v>180</v>
      </c>
      <c r="D37" s="59"/>
      <c r="E37" s="59"/>
      <c r="F37" s="59"/>
      <c r="G37" s="60"/>
    </row>
    <row r="38" spans="2:7" x14ac:dyDescent="0.2">
      <c r="B38" s="58" t="s">
        <v>93</v>
      </c>
      <c r="C38" s="59">
        <v>14</v>
      </c>
      <c r="D38" s="59"/>
      <c r="E38" s="59"/>
      <c r="F38" s="59"/>
      <c r="G38" s="60"/>
    </row>
    <row r="39" spans="2:7" x14ac:dyDescent="0.2">
      <c r="B39" s="58" t="s">
        <v>92</v>
      </c>
      <c r="C39" s="59">
        <v>96</v>
      </c>
      <c r="D39" s="59"/>
      <c r="E39" s="59"/>
      <c r="F39" s="59"/>
      <c r="G39" s="60"/>
    </row>
    <row r="40" spans="2:7" x14ac:dyDescent="0.2">
      <c r="B40" s="58" t="s">
        <v>91</v>
      </c>
      <c r="C40" s="59">
        <v>1.1000000000000001</v>
      </c>
      <c r="D40" s="59"/>
      <c r="E40" s="59"/>
      <c r="F40" s="59"/>
      <c r="G40" s="60"/>
    </row>
    <row r="41" spans="2:7" x14ac:dyDescent="0.2">
      <c r="B41" s="58" t="s">
        <v>90</v>
      </c>
      <c r="C41" s="59">
        <v>0.1</v>
      </c>
      <c r="D41" s="59"/>
      <c r="E41" s="59"/>
      <c r="F41" s="59"/>
      <c r="G41" s="60"/>
    </row>
    <row r="42" spans="2:7" x14ac:dyDescent="0.2">
      <c r="B42" s="58" t="s">
        <v>89</v>
      </c>
      <c r="C42" s="59">
        <v>3.3</v>
      </c>
      <c r="D42" s="59"/>
      <c r="E42" s="59"/>
      <c r="F42" s="59"/>
      <c r="G42" s="60"/>
    </row>
    <row r="43" spans="2:7" x14ac:dyDescent="0.2">
      <c r="B43" s="58" t="s">
        <v>88</v>
      </c>
      <c r="C43" s="59">
        <v>0.18</v>
      </c>
      <c r="D43" s="59"/>
      <c r="E43" s="59"/>
      <c r="F43" s="59"/>
      <c r="G43" s="60"/>
    </row>
    <row r="44" spans="2:7" x14ac:dyDescent="0.2">
      <c r="B44" s="58"/>
      <c r="C44" s="59"/>
      <c r="D44" s="59"/>
      <c r="E44" s="59"/>
      <c r="F44" s="59"/>
      <c r="G44" s="60"/>
    </row>
    <row r="45" spans="2:7" x14ac:dyDescent="0.2">
      <c r="B45" s="58" t="s">
        <v>87</v>
      </c>
      <c r="C45" s="59" t="s">
        <v>86</v>
      </c>
      <c r="D45" s="59" t="s">
        <v>85</v>
      </c>
      <c r="E45" s="59" t="s">
        <v>84</v>
      </c>
      <c r="F45" s="59" t="s">
        <v>83</v>
      </c>
      <c r="G45" s="60" t="s">
        <v>82</v>
      </c>
    </row>
    <row r="46" spans="2:7" x14ac:dyDescent="0.2">
      <c r="B46" s="58">
        <v>1</v>
      </c>
      <c r="C46" s="59">
        <v>362.88900756999999</v>
      </c>
      <c r="D46" s="59">
        <v>2.7561247299999998</v>
      </c>
      <c r="E46" s="59">
        <v>85.43986511</v>
      </c>
      <c r="F46" s="59">
        <v>381.10253906000003</v>
      </c>
      <c r="G46" s="60">
        <v>37.409999999999997</v>
      </c>
    </row>
    <row r="47" spans="2:7" x14ac:dyDescent="0.2">
      <c r="B47" s="58">
        <v>2</v>
      </c>
      <c r="C47" s="59">
        <v>455.84741210999999</v>
      </c>
      <c r="D47" s="59">
        <v>3.8986763999999998</v>
      </c>
      <c r="E47" s="59">
        <v>109.16294098</v>
      </c>
      <c r="F47" s="59">
        <v>477.06222534</v>
      </c>
      <c r="G47" s="60">
        <v>47</v>
      </c>
    </row>
    <row r="48" spans="2:7" x14ac:dyDescent="0.2">
      <c r="B48" s="58">
        <v>3</v>
      </c>
      <c r="C48" s="59">
        <v>608.90191649999997</v>
      </c>
      <c r="D48" s="59">
        <v>4.8356285100000003</v>
      </c>
      <c r="E48" s="59">
        <v>149.90447997999999</v>
      </c>
      <c r="F48" s="59">
        <v>636.76892090000001</v>
      </c>
      <c r="G48" s="60">
        <v>62.78</v>
      </c>
    </row>
    <row r="49" spans="2:18" x14ac:dyDescent="0.2">
      <c r="B49" s="58">
        <v>4</v>
      </c>
      <c r="C49" s="59">
        <v>678.09814453000001</v>
      </c>
      <c r="D49" s="59">
        <v>5.71737099</v>
      </c>
      <c r="E49" s="59">
        <v>171.52113342000001</v>
      </c>
      <c r="F49" s="59">
        <v>708.86291503999996</v>
      </c>
      <c r="G49" s="60">
        <v>69.91</v>
      </c>
    </row>
    <row r="50" spans="2:18" x14ac:dyDescent="0.2">
      <c r="B50" s="58">
        <v>5</v>
      </c>
      <c r="C50" s="59">
        <v>836.84759521000001</v>
      </c>
      <c r="D50" s="59">
        <v>7.0186486199999996</v>
      </c>
      <c r="E50" s="59">
        <v>217.57810974</v>
      </c>
      <c r="F50" s="59">
        <v>873.92333984000004</v>
      </c>
      <c r="G50" s="60">
        <v>86.28</v>
      </c>
    </row>
    <row r="51" spans="2:18" x14ac:dyDescent="0.2">
      <c r="B51" s="58">
        <v>6</v>
      </c>
      <c r="C51" s="59">
        <v>802.84851074000005</v>
      </c>
      <c r="D51" s="59">
        <v>7.2568922000000002</v>
      </c>
      <c r="E51" s="59">
        <v>217.70677185</v>
      </c>
      <c r="F51" s="59">
        <v>838.45196533000001</v>
      </c>
      <c r="G51" s="60">
        <v>82.77</v>
      </c>
    </row>
    <row r="52" spans="2:18" x14ac:dyDescent="0.2">
      <c r="B52" s="58">
        <v>7</v>
      </c>
      <c r="C52" s="59">
        <v>840.49237060999997</v>
      </c>
      <c r="D52" s="59">
        <v>7.5519909900000002</v>
      </c>
      <c r="E52" s="59">
        <v>234.11172485</v>
      </c>
      <c r="F52" s="59">
        <v>877.55590819999998</v>
      </c>
      <c r="G52" s="60">
        <v>86.65</v>
      </c>
    </row>
    <row r="53" spans="2:18" x14ac:dyDescent="0.2">
      <c r="B53" s="58">
        <v>8</v>
      </c>
      <c r="C53" s="59">
        <v>812.57263183999999</v>
      </c>
      <c r="D53" s="59">
        <v>7.2176737800000001</v>
      </c>
      <c r="E53" s="59">
        <v>223.74789429</v>
      </c>
      <c r="F53" s="59">
        <v>848.54351807</v>
      </c>
      <c r="G53" s="60">
        <v>83.78</v>
      </c>
    </row>
    <row r="54" spans="2:18" x14ac:dyDescent="0.2">
      <c r="B54" s="58">
        <v>9</v>
      </c>
      <c r="C54" s="59">
        <v>698.03472899999997</v>
      </c>
      <c r="D54" s="59">
        <v>6.16007996</v>
      </c>
      <c r="E54" s="59">
        <v>184.80239868000001</v>
      </c>
      <c r="F54" s="59">
        <v>728.77423095999995</v>
      </c>
      <c r="G54" s="60">
        <v>71.97</v>
      </c>
    </row>
    <row r="55" spans="2:18" x14ac:dyDescent="0.2">
      <c r="B55" s="58">
        <v>10</v>
      </c>
      <c r="C55" s="59">
        <v>594.20837401999995</v>
      </c>
      <c r="D55" s="59">
        <v>4.9351658799999996</v>
      </c>
      <c r="E55" s="59">
        <v>152.99014281999999</v>
      </c>
      <c r="F55" s="59">
        <v>620.87731933999999</v>
      </c>
      <c r="G55" s="60">
        <v>61.26</v>
      </c>
    </row>
    <row r="56" spans="2:18" x14ac:dyDescent="0.2">
      <c r="B56" s="58">
        <v>11</v>
      </c>
      <c r="C56" s="59">
        <v>401.70367432</v>
      </c>
      <c r="D56" s="59">
        <v>3.3142130399999998</v>
      </c>
      <c r="E56" s="59">
        <v>99.426391600000002</v>
      </c>
      <c r="F56" s="59">
        <v>421.01046753000003</v>
      </c>
      <c r="G56" s="60">
        <v>41.42</v>
      </c>
    </row>
    <row r="57" spans="2:18" x14ac:dyDescent="0.2">
      <c r="B57" s="58">
        <v>12</v>
      </c>
      <c r="C57" s="59">
        <v>298.84793091</v>
      </c>
      <c r="D57" s="59">
        <v>2.268929</v>
      </c>
      <c r="E57" s="59">
        <v>70.336799619999994</v>
      </c>
      <c r="F57" s="59">
        <v>314.51629638999998</v>
      </c>
      <c r="G57" s="60">
        <v>30.81</v>
      </c>
    </row>
    <row r="58" spans="2:18" x14ac:dyDescent="0.2">
      <c r="B58" s="61" t="s">
        <v>81</v>
      </c>
      <c r="C58" s="62">
        <v>7391.2922973599998</v>
      </c>
      <c r="D58" s="62">
        <v>62.931394099999999</v>
      </c>
      <c r="E58" s="62">
        <v>1916.7286529400001</v>
      </c>
      <c r="F58" s="62">
        <v>7727.449646</v>
      </c>
      <c r="G58" s="63">
        <v>762.04</v>
      </c>
    </row>
    <row r="60" spans="2:18" x14ac:dyDescent="0.2">
      <c r="B60" s="41" t="s">
        <v>194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8"/>
    </row>
    <row r="61" spans="2:18" x14ac:dyDescent="0.2">
      <c r="B61" s="29" t="s">
        <v>138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</row>
    <row r="62" spans="2:18" x14ac:dyDescent="0.2">
      <c r="B62" s="141" t="s">
        <v>139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31"/>
    </row>
    <row r="63" spans="2:18" x14ac:dyDescent="0.2">
      <c r="B63" s="32" t="s">
        <v>111</v>
      </c>
      <c r="C63" s="5">
        <v>4.2999999999999997E-2</v>
      </c>
      <c r="D63" s="36" t="s">
        <v>155</v>
      </c>
      <c r="E63" s="5"/>
      <c r="F63" s="40">
        <f>C63*Ref_Sheet!$C$71</f>
        <v>43</v>
      </c>
      <c r="G63" s="36" t="s">
        <v>154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33"/>
    </row>
    <row r="64" spans="2:18" x14ac:dyDescent="0.2">
      <c r="B64" s="32" t="s">
        <v>112</v>
      </c>
      <c r="C64" s="5">
        <v>1.2999999999999999E-2</v>
      </c>
      <c r="D64" s="5" t="s">
        <v>155</v>
      </c>
      <c r="E64" s="5"/>
      <c r="F64" s="40">
        <f>C64*Ref_Sheet!$C$71</f>
        <v>13</v>
      </c>
      <c r="G64" s="36" t="s">
        <v>154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33"/>
    </row>
    <row r="65" spans="2:18" x14ac:dyDescent="0.2">
      <c r="B65" s="32" t="s">
        <v>113</v>
      </c>
      <c r="C65" s="5">
        <v>1.4E-2</v>
      </c>
      <c r="D65" s="5" t="s">
        <v>155</v>
      </c>
      <c r="E65" s="5"/>
      <c r="F65" s="40">
        <f>C65*Ref_Sheet!$C$71</f>
        <v>14</v>
      </c>
      <c r="G65" s="36" t="s">
        <v>154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33"/>
    </row>
    <row r="66" spans="2:18" x14ac:dyDescent="0.2">
      <c r="B66" s="32" t="s">
        <v>114</v>
      </c>
      <c r="C66" s="5">
        <v>1.0999999999999999E-2</v>
      </c>
      <c r="D66" s="5" t="s">
        <v>155</v>
      </c>
      <c r="E66" s="5"/>
      <c r="F66" s="40">
        <f>C66*Ref_Sheet!$C$71</f>
        <v>11</v>
      </c>
      <c r="G66" s="36" t="s">
        <v>154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33"/>
    </row>
    <row r="67" spans="2:18" x14ac:dyDescent="0.2">
      <c r="B67" s="32" t="s">
        <v>115</v>
      </c>
      <c r="C67" s="5">
        <v>8.9999999999999993E-3</v>
      </c>
      <c r="D67" s="5" t="s">
        <v>155</v>
      </c>
      <c r="E67" s="5"/>
      <c r="F67" s="40">
        <f>C67*Ref_Sheet!$C$71</f>
        <v>9</v>
      </c>
      <c r="G67" s="36" t="s">
        <v>154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33"/>
    </row>
    <row r="68" spans="2:18" x14ac:dyDescent="0.2">
      <c r="B68" s="34" t="s">
        <v>116</v>
      </c>
      <c r="C68" s="4">
        <v>2.5999999999999999E-2</v>
      </c>
      <c r="D68" s="4" t="s">
        <v>155</v>
      </c>
      <c r="E68" s="4"/>
      <c r="F68" s="44">
        <f>C68*Ref_Sheet!$C$71</f>
        <v>26</v>
      </c>
      <c r="G68" s="4" t="s">
        <v>154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35"/>
    </row>
    <row r="69" spans="2:18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x14ac:dyDescent="0.2">
      <c r="B70" s="41" t="s">
        <v>195</v>
      </c>
      <c r="C70" s="28"/>
    </row>
    <row r="71" spans="2:18" x14ac:dyDescent="0.2">
      <c r="B71" s="42" t="s">
        <v>145</v>
      </c>
      <c r="C71" s="33">
        <v>1000</v>
      </c>
    </row>
    <row r="72" spans="2:18" x14ac:dyDescent="0.2">
      <c r="B72" s="43" t="s">
        <v>144</v>
      </c>
      <c r="C72" s="35">
        <v>100</v>
      </c>
    </row>
    <row r="73" spans="2:18" x14ac:dyDescent="0.2">
      <c r="B73"/>
      <c r="C73"/>
    </row>
  </sheetData>
  <mergeCells count="2">
    <mergeCell ref="D9:E9"/>
    <mergeCell ref="B62:Q62"/>
  </mergeCells>
  <pageMargins left="0.5" right="0.5" top="0.5" bottom="0.5" header="0.25" footer="0.25"/>
  <pageSetup scale="53" orientation="portrait" r:id="rId1"/>
  <headerFooter alignWithMargins="0">
    <oddHeader xml:space="preserve">&amp;RDocket 14-035-114
Exhibit TW -5
</oddHeader>
    <oddFooter>&amp;R&amp;A Page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F78587022F4419013A8A07848007E" ma:contentTypeVersion="1" ma:contentTypeDescription="Create a new document." ma:contentTypeScope="" ma:versionID="117763a7aba4069641c326733236adf9">
  <xsd:schema xmlns:xsd="http://www.w3.org/2001/XMLSchema" xmlns:xs="http://www.w3.org/2001/XMLSchema" xmlns:p="http://schemas.microsoft.com/office/2006/metadata/properties" xmlns:ns2="4b54f95a-c392-4915-b50c-618f44f31247" targetNamespace="http://schemas.microsoft.com/office/2006/metadata/properties" ma:root="true" ma:fieldsID="1fbff1f4a39622302fe098e13c6d823d" ns2:_="">
    <xsd:import namespace="4b54f95a-c392-4915-b50c-618f44f312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4f95a-c392-4915-b50c-618f44f312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re-review Notes"/>
                        <xsd:enumeration value="Completed Review Forms"/>
                        <xsd:enumeration value="Completed Review Notes"/>
                        <xsd:enumeration value="Planning"/>
                        <xsd:enumeration value="Analysis"/>
                        <xsd:enumeration value="Orientation Scheduling and Tracking"/>
                        <xsd:enumeration value="Orientation Materials"/>
                        <xsd:enumeration value="Orientation Process Planning"/>
                        <xsd:enumeration value="Consulting Skills"/>
                        <xsd:enumeration value="Newbie Buddy Program"/>
                        <xsd:enumeration value="Consulting Skills Training"/>
                        <xsd:enumeration value="Excel Training"/>
                        <xsd:enumeration value="First Day Schedule"/>
                        <xsd:enumeration value="Admin Logistic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4b54f95a-c392-4915-b50c-618f44f31247"/>
  </documentManagement>
</p:properties>
</file>

<file path=customXml/itemProps1.xml><?xml version="1.0" encoding="utf-8"?>
<ds:datastoreItem xmlns:ds="http://schemas.openxmlformats.org/officeDocument/2006/customXml" ds:itemID="{34F5B65E-44B6-4CAE-A810-58A3F069A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22E5A-0B12-4FF8-A2FA-DC25AEB33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4f95a-c392-4915-b50c-618f44f312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C94243-BEAF-454A-9B2B-E2084E258224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b54f95a-c392-4915-b50c-618f44f31247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Inputs</vt:lpstr>
      <vt:lpstr>Rate_Impacts_With_v_Without</vt:lpstr>
      <vt:lpstr>year_to_year_calcs</vt:lpstr>
      <vt:lpstr>Ref_Sheet</vt:lpstr>
      <vt:lpstr>AvdDist</vt:lpstr>
      <vt:lpstr>AvdEnergy</vt:lpstr>
      <vt:lpstr>AvdEnv</vt:lpstr>
      <vt:lpstr>AvdGen</vt:lpstr>
      <vt:lpstr>AvdRisk</vt:lpstr>
      <vt:lpstr>AvdTx</vt:lpstr>
      <vt:lpstr>CustGrowthRate</vt:lpstr>
      <vt:lpstr>NumYrsAddPV</vt:lpstr>
      <vt:lpstr>PctCustAddPV</vt:lpstr>
      <vt:lpstr>Inputs!Print_Area</vt:lpstr>
      <vt:lpstr>Rate_Impacts_With_v_Without!Print_Area</vt:lpstr>
      <vt:lpstr>Ref_Sheet!Print_Area</vt:lpstr>
      <vt:lpstr>year_to_year_calcs!Print_Area</vt:lpstr>
      <vt:lpstr>PVsize</vt:lpstr>
      <vt:lpstr>UsePerCust</vt:lpstr>
    </vt:vector>
  </TitlesOfParts>
  <Company>Synapse Energy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Synapse Template (201201025)</dc:title>
  <dc:creator>Tim Woolf</dc:creator>
  <cp:lastModifiedBy>laurieharris</cp:lastModifiedBy>
  <cp:lastPrinted>2015-07-23T17:22:24Z</cp:lastPrinted>
  <dcterms:created xsi:type="dcterms:W3CDTF">1998-01-14T17:39:14Z</dcterms:created>
  <dcterms:modified xsi:type="dcterms:W3CDTF">2015-09-09T16:35:55Z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0x010100695F78587022F4419013A8A07848007E</vt:lpwstr>
  </property>
</Properties>
</file>