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480" yWindow="45" windowWidth="18195" windowHeight="10545"/>
  </bookViews>
  <sheets>
    <sheet name="(Exh.1) A1 Scalar Method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'[4](6.4) Base UTGRC12 Stlmt NPC'!$F$7:$Q$7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PSATable">[2]Hermiston!$A$41:$E$56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/>
</workbook>
</file>

<file path=xl/calcChain.xml><?xml version="1.0" encoding="utf-8"?>
<calcChain xmlns="http://schemas.openxmlformats.org/spreadsheetml/2006/main">
  <c r="S50" i="1" l="1"/>
  <c r="G49" i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F44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F30" i="1"/>
  <c r="D30" i="1"/>
  <c r="F29" i="1"/>
  <c r="D29" i="1"/>
  <c r="F24" i="1"/>
  <c r="D24" i="1"/>
  <c r="Q21" i="1"/>
  <c r="P21" i="1"/>
  <c r="O21" i="1"/>
  <c r="N21" i="1"/>
  <c r="M21" i="1"/>
  <c r="L21" i="1"/>
  <c r="K21" i="1"/>
  <c r="J21" i="1"/>
  <c r="I21" i="1"/>
  <c r="H21" i="1"/>
  <c r="G21" i="1"/>
  <c r="F21" i="1"/>
  <c r="S21" i="1" s="1"/>
  <c r="D21" i="1"/>
  <c r="F18" i="1"/>
  <c r="D18" i="1"/>
  <c r="G14" i="1"/>
  <c r="H14" i="1" s="1"/>
  <c r="S14" i="1" s="1"/>
  <c r="D14" i="1"/>
  <c r="F11" i="1"/>
  <c r="D11" i="1"/>
  <c r="Q10" i="1"/>
  <c r="P10" i="1"/>
  <c r="O10" i="1"/>
  <c r="N10" i="1"/>
  <c r="M10" i="1"/>
  <c r="L10" i="1"/>
  <c r="K10" i="1"/>
  <c r="J10" i="1"/>
  <c r="I10" i="1"/>
  <c r="H10" i="1"/>
  <c r="G10" i="1"/>
  <c r="F10" i="1"/>
  <c r="D10" i="1"/>
  <c r="G6" i="1"/>
  <c r="G29" i="1" s="1"/>
  <c r="A3" i="1"/>
  <c r="A2" i="1"/>
  <c r="A1" i="1"/>
  <c r="H6" i="1" l="1"/>
  <c r="H24" i="1" s="1"/>
  <c r="S10" i="1"/>
  <c r="F31" i="1"/>
  <c r="A10" i="1"/>
  <c r="G11" i="1"/>
  <c r="G12" i="1" s="1"/>
  <c r="G16" i="1" s="1"/>
  <c r="I14" i="1"/>
  <c r="J14" i="1" s="1"/>
  <c r="K14" i="1" s="1"/>
  <c r="L14" i="1" s="1"/>
  <c r="M14" i="1" s="1"/>
  <c r="N14" i="1" s="1"/>
  <c r="O14" i="1" s="1"/>
  <c r="P14" i="1" s="1"/>
  <c r="Q14" i="1" s="1"/>
  <c r="G18" i="1"/>
  <c r="G44" i="1"/>
  <c r="H29" i="1"/>
  <c r="H30" i="1"/>
  <c r="H18" i="1"/>
  <c r="S33" i="1"/>
  <c r="A11" i="1"/>
  <c r="A12" i="1" s="1"/>
  <c r="F12" i="1"/>
  <c r="F16" i="1" s="1"/>
  <c r="F20" i="1" s="1"/>
  <c r="G24" i="1"/>
  <c r="G30" i="1"/>
  <c r="F35" i="1"/>
  <c r="H11" i="1" l="1"/>
  <c r="H12" i="1" s="1"/>
  <c r="H16" i="1" s="1"/>
  <c r="H20" i="1" s="1"/>
  <c r="H22" i="1" s="1"/>
  <c r="H25" i="1" s="1"/>
  <c r="A14" i="1"/>
  <c r="I6" i="1"/>
  <c r="I44" i="1" s="1"/>
  <c r="H44" i="1"/>
  <c r="D12" i="1"/>
  <c r="H31" i="1"/>
  <c r="H35" i="1" s="1"/>
  <c r="H39" i="1" s="1"/>
  <c r="H41" i="1" s="1"/>
  <c r="H43" i="1" s="1"/>
  <c r="G20" i="1"/>
  <c r="G22" i="1" s="1"/>
  <c r="G25" i="1" s="1"/>
  <c r="F22" i="1"/>
  <c r="F25" i="1" s="1"/>
  <c r="F39" i="1" s="1"/>
  <c r="F41" i="1" s="1"/>
  <c r="A16" i="1"/>
  <c r="D16" i="1" s="1"/>
  <c r="I30" i="1"/>
  <c r="I11" i="1"/>
  <c r="I12" i="1" s="1"/>
  <c r="I16" i="1" s="1"/>
  <c r="I20" i="1" s="1"/>
  <c r="I22" i="1" s="1"/>
  <c r="I24" i="1"/>
  <c r="I18" i="1"/>
  <c r="I29" i="1"/>
  <c r="I31" i="1" s="1"/>
  <c r="I35" i="1" s="1"/>
  <c r="J6" i="1"/>
  <c r="A18" i="1"/>
  <c r="G31" i="1"/>
  <c r="H45" i="1" l="1"/>
  <c r="H51" i="1" s="1"/>
  <c r="J24" i="1"/>
  <c r="J18" i="1"/>
  <c r="J44" i="1"/>
  <c r="J11" i="1"/>
  <c r="J12" i="1" s="1"/>
  <c r="J16" i="1" s="1"/>
  <c r="J20" i="1" s="1"/>
  <c r="J29" i="1"/>
  <c r="K6" i="1"/>
  <c r="J30" i="1"/>
  <c r="I25" i="1"/>
  <c r="I39" i="1" s="1"/>
  <c r="I41" i="1" s="1"/>
  <c r="I43" i="1" s="1"/>
  <c r="I45" i="1" s="1"/>
  <c r="I51" i="1" s="1"/>
  <c r="A20" i="1"/>
  <c r="A21" i="1" s="1"/>
  <c r="G35" i="1"/>
  <c r="G39" i="1" s="1"/>
  <c r="G41" i="1" s="1"/>
  <c r="G43" i="1" s="1"/>
  <c r="G45" i="1" s="1"/>
  <c r="G51" i="1" s="1"/>
  <c r="D20" i="1"/>
  <c r="F43" i="1"/>
  <c r="J31" i="1" l="1"/>
  <c r="J35" i="1" s="1"/>
  <c r="D22" i="1"/>
  <c r="A22" i="1"/>
  <c r="F45" i="1"/>
  <c r="J22" i="1"/>
  <c r="J25" i="1" s="1"/>
  <c r="J39" i="1" s="1"/>
  <c r="J41" i="1" s="1"/>
  <c r="J43" i="1" s="1"/>
  <c r="J45" i="1" s="1"/>
  <c r="J51" i="1" s="1"/>
  <c r="K29" i="1"/>
  <c r="K44" i="1"/>
  <c r="K18" i="1"/>
  <c r="K11" i="1"/>
  <c r="L6" i="1"/>
  <c r="K30" i="1"/>
  <c r="K24" i="1"/>
  <c r="K12" i="1" l="1"/>
  <c r="K16" i="1" s="1"/>
  <c r="K20" i="1" s="1"/>
  <c r="L29" i="1"/>
  <c r="L44" i="1"/>
  <c r="L30" i="1"/>
  <c r="L11" i="1"/>
  <c r="L12" i="1" s="1"/>
  <c r="L16" i="1" s="1"/>
  <c r="L20" i="1" s="1"/>
  <c r="L22" i="1" s="1"/>
  <c r="L25" i="1" s="1"/>
  <c r="M6" i="1"/>
  <c r="L18" i="1"/>
  <c r="L24" i="1"/>
  <c r="K31" i="1"/>
  <c r="F51" i="1"/>
  <c r="A24" i="1"/>
  <c r="L31" i="1" l="1"/>
  <c r="L35" i="1" s="1"/>
  <c r="L39" i="1"/>
  <c r="L41" i="1" s="1"/>
  <c r="L43" i="1" s="1"/>
  <c r="L45" i="1" s="1"/>
  <c r="L51" i="1" s="1"/>
  <c r="D25" i="1"/>
  <c r="K22" i="1"/>
  <c r="K25" i="1" s="1"/>
  <c r="K35" i="1"/>
  <c r="A25" i="1"/>
  <c r="F52" i="1"/>
  <c r="F53" i="1"/>
  <c r="G50" i="1" s="1"/>
  <c r="M44" i="1"/>
  <c r="M30" i="1"/>
  <c r="M11" i="1"/>
  <c r="M12" i="1" s="1"/>
  <c r="M16" i="1" s="1"/>
  <c r="M24" i="1"/>
  <c r="M18" i="1"/>
  <c r="M29" i="1"/>
  <c r="N6" i="1"/>
  <c r="M20" i="1" l="1"/>
  <c r="M22" i="1" s="1"/>
  <c r="M25" i="1" s="1"/>
  <c r="K39" i="1"/>
  <c r="K41" i="1" s="1"/>
  <c r="K43" i="1"/>
  <c r="A29" i="1"/>
  <c r="N24" i="1"/>
  <c r="N18" i="1"/>
  <c r="N11" i="1"/>
  <c r="N12" i="1" s="1"/>
  <c r="N16" i="1" s="1"/>
  <c r="N20" i="1" s="1"/>
  <c r="N22" i="1" s="1"/>
  <c r="N25" i="1" s="1"/>
  <c r="N30" i="1"/>
  <c r="N29" i="1"/>
  <c r="N44" i="1"/>
  <c r="O6" i="1"/>
  <c r="G52" i="1"/>
  <c r="G53" i="1" s="1"/>
  <c r="H50" i="1" s="1"/>
  <c r="M31" i="1"/>
  <c r="M35" i="1" s="1"/>
  <c r="M39" i="1" s="1"/>
  <c r="M41" i="1" s="1"/>
  <c r="M43" i="1" l="1"/>
  <c r="M45" i="1" s="1"/>
  <c r="M51" i="1" s="1"/>
  <c r="H52" i="1"/>
  <c r="H53" i="1" s="1"/>
  <c r="I50" i="1" s="1"/>
  <c r="O29" i="1"/>
  <c r="O30" i="1"/>
  <c r="O24" i="1"/>
  <c r="P6" i="1"/>
  <c r="O44" i="1"/>
  <c r="O18" i="1"/>
  <c r="O11" i="1"/>
  <c r="O12" i="1" s="1"/>
  <c r="O16" i="1" s="1"/>
  <c r="A30" i="1"/>
  <c r="A31" i="1" s="1"/>
  <c r="K45" i="1"/>
  <c r="N31" i="1"/>
  <c r="N35" i="1" s="1"/>
  <c r="N39" i="1" s="1"/>
  <c r="N41" i="1" s="1"/>
  <c r="N43" i="1" s="1"/>
  <c r="N45" i="1" l="1"/>
  <c r="N51" i="1" s="1"/>
  <c r="I52" i="1"/>
  <c r="I53" i="1"/>
  <c r="J50" i="1" s="1"/>
  <c r="O31" i="1"/>
  <c r="O35" i="1" s="1"/>
  <c r="K51" i="1"/>
  <c r="A33" i="1"/>
  <c r="A35" i="1" s="1"/>
  <c r="D31" i="1"/>
  <c r="P29" i="1"/>
  <c r="P44" i="1"/>
  <c r="S44" i="1" s="1"/>
  <c r="P30" i="1"/>
  <c r="P11" i="1"/>
  <c r="P12" i="1" s="1"/>
  <c r="P16" i="1" s="1"/>
  <c r="Q6" i="1"/>
  <c r="P18" i="1"/>
  <c r="P24" i="1"/>
  <c r="O20" i="1"/>
  <c r="D35" i="1" l="1"/>
  <c r="J52" i="1"/>
  <c r="J53" i="1" s="1"/>
  <c r="K50" i="1" s="1"/>
  <c r="Q30" i="1"/>
  <c r="S30" i="1" s="1"/>
  <c r="Q11" i="1"/>
  <c r="Q24" i="1"/>
  <c r="S24" i="1" s="1"/>
  <c r="Q18" i="1"/>
  <c r="S18" i="1" s="1"/>
  <c r="Q29" i="1"/>
  <c r="P31" i="1"/>
  <c r="P35" i="1" s="1"/>
  <c r="P20" i="1"/>
  <c r="P22" i="1" s="1"/>
  <c r="P25" i="1" s="1"/>
  <c r="O22" i="1"/>
  <c r="O25" i="1" s="1"/>
  <c r="O39" i="1" s="1"/>
  <c r="O41" i="1" s="1"/>
  <c r="O43" i="1" s="1"/>
  <c r="A39" i="1"/>
  <c r="D39" i="1"/>
  <c r="K52" i="1" l="1"/>
  <c r="K53" i="1"/>
  <c r="L50" i="1" s="1"/>
  <c r="Q31" i="1"/>
  <c r="S29" i="1"/>
  <c r="O45" i="1"/>
  <c r="Q12" i="1"/>
  <c r="Q16" i="1" s="1"/>
  <c r="Q20" i="1" s="1"/>
  <c r="S11" i="1"/>
  <c r="S12" i="1" s="1"/>
  <c r="S16" i="1" s="1"/>
  <c r="A41" i="1"/>
  <c r="D41" i="1"/>
  <c r="P39" i="1"/>
  <c r="P41" i="1" s="1"/>
  <c r="P43" i="1" s="1"/>
  <c r="P45" i="1" s="1"/>
  <c r="P51" i="1" s="1"/>
  <c r="Q22" i="1" l="1"/>
  <c r="Q25" i="1" s="1"/>
  <c r="S20" i="1"/>
  <c r="S22" i="1" s="1"/>
  <c r="S25" i="1" s="1"/>
  <c r="Q35" i="1"/>
  <c r="S31" i="1"/>
  <c r="S35" i="1" s="1"/>
  <c r="L52" i="1"/>
  <c r="L53" i="1" s="1"/>
  <c r="M50" i="1" s="1"/>
  <c r="D43" i="1"/>
  <c r="A43" i="1"/>
  <c r="O51" i="1"/>
  <c r="M52" i="1" l="1"/>
  <c r="M53" i="1" s="1"/>
  <c r="N50" i="1" s="1"/>
  <c r="A44" i="1"/>
  <c r="A45" i="1" s="1"/>
  <c r="S39" i="1"/>
  <c r="Q39" i="1"/>
  <c r="Q41" i="1" s="1"/>
  <c r="N52" i="1" l="1"/>
  <c r="N53" i="1" s="1"/>
  <c r="O50" i="1" s="1"/>
  <c r="Q43" i="1"/>
  <c r="S41" i="1"/>
  <c r="D45" i="1"/>
  <c r="D51" i="1"/>
  <c r="A49" i="1"/>
  <c r="O52" i="1" l="1"/>
  <c r="O53" i="1" s="1"/>
  <c r="P50" i="1" s="1"/>
  <c r="A50" i="1"/>
  <c r="Q45" i="1"/>
  <c r="S43" i="1"/>
  <c r="P52" i="1" l="1"/>
  <c r="P53" i="1" s="1"/>
  <c r="Q50" i="1" s="1"/>
  <c r="A51" i="1"/>
  <c r="A52" i="1" s="1"/>
  <c r="A53" i="1" s="1"/>
  <c r="Q51" i="1"/>
  <c r="S51" i="1" s="1"/>
  <c r="S45" i="1"/>
  <c r="Q52" i="1" l="1"/>
  <c r="S52" i="1" s="1"/>
  <c r="D55" i="1"/>
  <c r="D50" i="1"/>
  <c r="A55" i="1"/>
  <c r="A57" i="1" s="1"/>
  <c r="D53" i="1"/>
  <c r="S53" i="1"/>
  <c r="D52" i="1"/>
  <c r="D57" i="1" l="1"/>
  <c r="S55" i="1"/>
  <c r="S57" i="1" s="1"/>
  <c r="Q53" i="1"/>
</calcChain>
</file>

<file path=xl/sharedStrings.xml><?xml version="1.0" encoding="utf-8"?>
<sst xmlns="http://schemas.openxmlformats.org/spreadsheetml/2006/main" count="40" uniqueCount="39">
  <si>
    <t>Line No.</t>
  </si>
  <si>
    <t>Reference</t>
  </si>
  <si>
    <t>Total</t>
  </si>
  <si>
    <t>Actual:</t>
  </si>
  <si>
    <t>Total Company NPC</t>
  </si>
  <si>
    <t>Net System Load</t>
  </si>
  <si>
    <t>Total Company NPC $/MWH</t>
  </si>
  <si>
    <t>Dynamic Scalar</t>
  </si>
  <si>
    <t>Scaled Utah NPC $/MWH</t>
  </si>
  <si>
    <t>Utah Load</t>
  </si>
  <si>
    <t>Utah Allocated NPC</t>
  </si>
  <si>
    <t>Utah Allocated Wheeling Revenues</t>
  </si>
  <si>
    <t>Total Energy Balancing Account Costs</t>
  </si>
  <si>
    <t>Utah Sales</t>
  </si>
  <si>
    <t xml:space="preserve">Utah EBA $/MWh </t>
  </si>
  <si>
    <t>Base:</t>
  </si>
  <si>
    <t>NPC</t>
  </si>
  <si>
    <t>Wheeling Revenue</t>
  </si>
  <si>
    <t>Jurisdictional Sales</t>
  </si>
  <si>
    <t>Base Utah EBA $/MWh</t>
  </si>
  <si>
    <t>Deferral:</t>
  </si>
  <si>
    <t>$/ MWH Differential</t>
  </si>
  <si>
    <t>Total Deferrable</t>
  </si>
  <si>
    <t>Incremental EBA Deferral at 70% Sharing</t>
  </si>
  <si>
    <t>Additional FERC ER11-3643 Revenues</t>
  </si>
  <si>
    <t>Note 1</t>
  </si>
  <si>
    <t xml:space="preserve">Incremental Deferral </t>
  </si>
  <si>
    <t>Energy Balancing Account:</t>
  </si>
  <si>
    <t>Monthly Interest Rate</t>
  </si>
  <si>
    <t>Note 2</t>
  </si>
  <si>
    <t>Beginning Balance</t>
  </si>
  <si>
    <t>Incremental Deferral</t>
  </si>
  <si>
    <t>Interest</t>
  </si>
  <si>
    <t>Ending Balance</t>
  </si>
  <si>
    <t>Interest through October 31, 2014</t>
  </si>
  <si>
    <t>Requested EBA Recovery</t>
  </si>
  <si>
    <t xml:space="preserve">Notes: </t>
  </si>
  <si>
    <t xml:space="preserve">FERC issued an order approving a settlement in ER11-3643 May 23, 2013.  </t>
  </si>
  <si>
    <t>Docket No. 09-035-15, March 2, 2011 Report and Order, Page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</si>
</sst>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_(&quot;$&quot;\ #,##0.00_);_(&quot;$&quot;* \(#,##0.00\);_(&quot;$&quot;* &quot;-&quot;??_);_(@_)"/>
    <numFmt numFmtId="167" formatCode="_(* #,##0.00000_);_(* \(#,##0.00000\);_(* &quot;-&quot;_);_(@_)"/>
    <numFmt numFmtId="168" formatCode="_(* #,##0_);_(* \(#,##0\);_(* &quot;-&quot;??_);_(@_)"/>
    <numFmt numFmtId="169" formatCode="_(&quot;$&quot;\ #,##0.00_);_(&quot;$&quot;\ \(#,##0.00\);_(&quot;$&quot;\ &quot;-&quot;??_);_(@_)"/>
    <numFmt numFmtId="170" formatCode="_-* #,##0\ &quot;F&quot;_-;\-* #,##0\ &quot;F&quot;_-;_-* &quot;-&quot;\ &quot;F&quot;_-;_-@_-"/>
    <numFmt numFmtId="171" formatCode="_(* #,##0.00_);[Red]_(* \(#,##0.00\);_(* &quot;-&quot;??_);_(@_)"/>
    <numFmt numFmtId="172" formatCode="&quot;$&quot;###0;[Red]\(&quot;$&quot;###0\)"/>
    <numFmt numFmtId="173" formatCode="0.0"/>
    <numFmt numFmtId="174" formatCode="#,##0.000;[Red]\-#,##0.000"/>
    <numFmt numFmtId="175" formatCode="_(* #,##0_);[Red]_(* \(#,##0\);_(* &quot;-&quot;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Helv"/>
    </font>
    <font>
      <b/>
      <sz val="16"/>
      <name val="Times New Roman"/>
      <family val="1"/>
    </font>
    <font>
      <b/>
      <sz val="12"/>
      <name val="Arial"/>
      <family val="2"/>
    </font>
    <font>
      <sz val="8"/>
      <color theme="1"/>
      <name val="Courier New"/>
      <family val="2"/>
    </font>
    <font>
      <sz val="10"/>
      <name val="Swiss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8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6" fillId="2" borderId="0" applyNumberFormat="0" applyBorder="0" applyAlignment="0" applyProtection="0"/>
    <xf numFmtId="0" fontId="9" fillId="0" borderId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10" fontId="6" fillId="3" borderId="6" applyNumberFormat="0" applyBorder="0" applyAlignment="0" applyProtection="0"/>
    <xf numFmtId="173" fontId="5" fillId="0" borderId="0" applyNumberFormat="0" applyFill="0" applyBorder="0" applyAlignment="0" applyProtection="0"/>
    <xf numFmtId="0" fontId="6" fillId="0" borderId="7" applyNumberFormat="0" applyBorder="0" applyAlignment="0"/>
    <xf numFmtId="174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5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175" fontId="2" fillId="0" borderId="0"/>
    <xf numFmtId="41" fontId="2" fillId="0" borderId="0"/>
    <xf numFmtId="0" fontId="2" fillId="0" borderId="0"/>
    <xf numFmtId="0" fontId="1" fillId="0" borderId="0"/>
    <xf numFmtId="0" fontId="2" fillId="0" borderId="0"/>
    <xf numFmtId="41" fontId="12" fillId="0" borderId="0" applyFont="0" applyFill="0" applyBorder="0" applyAlignment="0" applyProtection="0"/>
    <xf numFmtId="175" fontId="2" fillId="0" borderId="0"/>
    <xf numFmtId="0" fontId="2" fillId="0" borderId="0"/>
    <xf numFmtId="175" fontId="2" fillId="0" borderId="0"/>
    <xf numFmtId="0" fontId="13" fillId="0" borderId="0"/>
    <xf numFmtId="0" fontId="2" fillId="0" borderId="0"/>
    <xf numFmtId="0" fontId="11" fillId="0" borderId="0"/>
    <xf numFmtId="12" fontId="10" fillId="4" borderId="8">
      <alignment horizontal="left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" fillId="5" borderId="9" applyNumberFormat="0" applyProtection="0">
      <alignment vertical="center"/>
    </xf>
    <xf numFmtId="4" fontId="16" fillId="6" borderId="9" applyNumberFormat="0" applyProtection="0">
      <alignment vertical="center"/>
    </xf>
    <xf numFmtId="4" fontId="15" fillId="6" borderId="9" applyNumberFormat="0" applyProtection="0">
      <alignment vertical="center"/>
    </xf>
    <xf numFmtId="0" fontId="15" fillId="6" borderId="9" applyNumberFormat="0" applyProtection="0">
      <alignment horizontal="left" vertical="top" indent="1"/>
    </xf>
    <xf numFmtId="4" fontId="15" fillId="7" borderId="10" applyNumberFormat="0" applyProtection="0">
      <alignment vertical="center"/>
    </xf>
    <xf numFmtId="4" fontId="13" fillId="8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1" borderId="9" applyNumberFormat="0" applyProtection="0">
      <alignment horizontal="right" vertical="center"/>
    </xf>
    <xf numFmtId="4" fontId="13" fillId="12" borderId="9" applyNumberFormat="0" applyProtection="0">
      <alignment horizontal="right" vertical="center"/>
    </xf>
    <xf numFmtId="4" fontId="13" fillId="13" borderId="9" applyNumberFormat="0" applyProtection="0">
      <alignment horizontal="right" vertical="center"/>
    </xf>
    <xf numFmtId="4" fontId="13" fillId="14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6" borderId="9" applyNumberFormat="0" applyProtection="0">
      <alignment horizontal="right" vertical="center"/>
    </xf>
    <xf numFmtId="4" fontId="15" fillId="17" borderId="11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7" fillId="19" borderId="0" applyNumberFormat="0" applyProtection="0">
      <alignment horizontal="left" vertical="center" indent="1"/>
    </xf>
    <xf numFmtId="4" fontId="13" fillId="20" borderId="9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top" indent="1"/>
    </xf>
    <xf numFmtId="0" fontId="2" fillId="7" borderId="9" applyNumberFormat="0" applyProtection="0">
      <alignment horizontal="left" vertical="center" indent="1"/>
    </xf>
    <xf numFmtId="0" fontId="2" fillId="7" borderId="9" applyNumberFormat="0" applyProtection="0">
      <alignment horizontal="left" vertical="top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top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top" indent="1"/>
    </xf>
    <xf numFmtId="4" fontId="13" fillId="3" borderId="9" applyNumberFormat="0" applyProtection="0">
      <alignment vertical="center"/>
    </xf>
    <xf numFmtId="4" fontId="20" fillId="3" borderId="9" applyNumberFormat="0" applyProtection="0">
      <alignment vertical="center"/>
    </xf>
    <xf numFmtId="4" fontId="13" fillId="3" borderId="9" applyNumberFormat="0" applyProtection="0">
      <alignment horizontal="left" vertical="center" indent="1"/>
    </xf>
    <xf numFmtId="0" fontId="13" fillId="3" borderId="9" applyNumberFormat="0" applyProtection="0">
      <alignment horizontal="left" vertical="top" indent="1"/>
    </xf>
    <xf numFmtId="4" fontId="13" fillId="23" borderId="12" applyNumberFormat="0" applyProtection="0">
      <alignment horizontal="right" vertical="center"/>
    </xf>
    <xf numFmtId="4" fontId="20" fillId="18" borderId="9" applyNumberFormat="0" applyProtection="0">
      <alignment horizontal="right" vertical="center"/>
    </xf>
    <xf numFmtId="4" fontId="13" fillId="20" borderId="9" applyNumberFormat="0" applyProtection="0">
      <alignment horizontal="left" vertical="center" indent="1"/>
    </xf>
    <xf numFmtId="0" fontId="13" fillId="7" borderId="9" applyNumberFormat="0" applyProtection="0">
      <alignment horizontal="center" vertical="top"/>
    </xf>
    <xf numFmtId="4" fontId="21" fillId="0" borderId="0" applyNumberFormat="0" applyProtection="0">
      <alignment horizontal="left" vertical="center"/>
    </xf>
    <xf numFmtId="4" fontId="22" fillId="24" borderId="0" applyNumberFormat="0" applyProtection="0">
      <alignment horizontal="left"/>
    </xf>
    <xf numFmtId="4" fontId="23" fillId="18" borderId="9" applyNumberFormat="0" applyProtection="0">
      <alignment horizontal="right" vertical="center"/>
    </xf>
    <xf numFmtId="0" fontId="3" fillId="0" borderId="6">
      <alignment horizontal="center" vertical="center" wrapText="1"/>
    </xf>
    <xf numFmtId="37" fontId="6" fillId="6" borderId="0" applyNumberFormat="0" applyBorder="0" applyAlignment="0" applyProtection="0"/>
    <xf numFmtId="37" fontId="6" fillId="0" borderId="0"/>
    <xf numFmtId="3" fontId="24" fillId="25" borderId="13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horizontal="center" vertical="center"/>
    </xf>
    <xf numFmtId="0" fontId="6" fillId="0" borderId="0" xfId="0" quotePrefix="1" applyFont="1" applyFill="1" applyAlignment="1">
      <alignment horizontal="center" vertical="center" wrapText="1"/>
    </xf>
    <xf numFmtId="41" fontId="6" fillId="0" borderId="0" xfId="0" applyNumberFormat="1" applyFont="1" applyFill="1" applyAlignment="1">
      <alignment horizontal="center" vertical="center"/>
    </xf>
    <xf numFmtId="165" fontId="6" fillId="0" borderId="0" xfId="3" applyNumberFormat="1" applyFont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66" fontId="6" fillId="0" borderId="0" xfId="2" applyNumberFormat="1" applyFont="1" applyFill="1" applyAlignment="1">
      <alignment horizontal="center" vertical="center"/>
    </xf>
    <xf numFmtId="167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0" fontId="6" fillId="0" borderId="0" xfId="3" applyNumberFormat="1" applyFont="1" applyAlignment="1">
      <alignment vertical="center"/>
    </xf>
    <xf numFmtId="9" fontId="6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166" fontId="5" fillId="0" borderId="0" xfId="2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6" fillId="0" borderId="0" xfId="3" applyNumberFormat="1" applyFont="1" applyAlignment="1">
      <alignment vertical="center"/>
    </xf>
    <xf numFmtId="168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168" fontId="5" fillId="0" borderId="0" xfId="1" applyNumberFormat="1" applyFont="1" applyFill="1" applyAlignment="1">
      <alignment horizontal="center" vertical="center"/>
    </xf>
    <xf numFmtId="169" fontId="6" fillId="0" borderId="0" xfId="2" applyNumberFormat="1" applyFont="1" applyFill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10" fontId="6" fillId="0" borderId="0" xfId="0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1" fontId="6" fillId="0" borderId="1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41" fontId="3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37" fontId="6" fillId="0" borderId="0" xfId="0" applyNumberFormat="1" applyFont="1" applyFill="1" applyAlignment="1">
      <alignment vertical="center"/>
    </xf>
  </cellXfs>
  <cellStyles count="110">
    <cellStyle name="Comma" xfId="1" builtinId="3"/>
    <cellStyle name="Comma  - Style1" xfId="4"/>
    <cellStyle name="Comma  - Style2" xfId="5"/>
    <cellStyle name="Comma  - Style3" xfId="6"/>
    <cellStyle name="Comma  - Style4" xfId="7"/>
    <cellStyle name="Comma  - Style5" xfId="8"/>
    <cellStyle name="Comma  - Style6" xfId="9"/>
    <cellStyle name="Comma  - Style7" xfId="10"/>
    <cellStyle name="Comma  - Style8" xfId="11"/>
    <cellStyle name="Comma 2" xfId="12"/>
    <cellStyle name="Comma 2 2" xfId="13"/>
    <cellStyle name="Comma 2 2 2" xfId="14"/>
    <cellStyle name="Comma 3" xfId="15"/>
    <cellStyle name="Comma 3 2" xfId="16"/>
    <cellStyle name="Comma 4" xfId="17"/>
    <cellStyle name="Comma 5" xfId="18"/>
    <cellStyle name="Comma 6" xfId="19"/>
    <cellStyle name="Comma0" xfId="20"/>
    <cellStyle name="Currency" xfId="2" builtinId="4"/>
    <cellStyle name="Currency 2" xfId="21"/>
    <cellStyle name="Currency 2 2" xfId="22"/>
    <cellStyle name="Currency 2 2 2" xfId="23"/>
    <cellStyle name="Currency 3" xfId="24"/>
    <cellStyle name="Currency No Comma" xfId="25"/>
    <cellStyle name="Currency0" xfId="26"/>
    <cellStyle name="Date" xfId="27"/>
    <cellStyle name="Fixed" xfId="28"/>
    <cellStyle name="Grey" xfId="29"/>
    <cellStyle name="header" xfId="30"/>
    <cellStyle name="Header1" xfId="31"/>
    <cellStyle name="Header2" xfId="32"/>
    <cellStyle name="Input [yellow]" xfId="33"/>
    <cellStyle name="MCP" xfId="34"/>
    <cellStyle name="noninput" xfId="35"/>
    <cellStyle name="Normal" xfId="0" builtinId="0"/>
    <cellStyle name="Normal - Style1" xfId="36"/>
    <cellStyle name="Normal 10" xfId="37"/>
    <cellStyle name="Normal 11" xfId="38"/>
    <cellStyle name="Normal 12" xfId="39"/>
    <cellStyle name="Normal 13" xfId="40"/>
    <cellStyle name="Normal 14" xfId="41"/>
    <cellStyle name="Normal 2" xfId="42"/>
    <cellStyle name="Normal 2 2" xfId="43"/>
    <cellStyle name="Normal 2 3" xfId="44"/>
    <cellStyle name="Normal 2 3 2" xfId="45"/>
    <cellStyle name="Normal 3" xfId="46"/>
    <cellStyle name="Normal 3 2" xfId="47"/>
    <cellStyle name="Normal 3 2 2" xfId="48"/>
    <cellStyle name="Normal 3 3" xfId="49"/>
    <cellStyle name="Normal 4" xfId="50"/>
    <cellStyle name="Normal 4 2" xfId="51"/>
    <cellStyle name="Normal 5" xfId="52"/>
    <cellStyle name="Normal 6" xfId="53"/>
    <cellStyle name="Normal 6 2" xfId="54"/>
    <cellStyle name="Normal 7" xfId="55"/>
    <cellStyle name="Normal 8" xfId="56"/>
    <cellStyle name="Normal 9" xfId="57"/>
    <cellStyle name="Password" xfId="58"/>
    <cellStyle name="Percent" xfId="3" builtinId="5"/>
    <cellStyle name="Percent [2]" xfId="59"/>
    <cellStyle name="Percent 2" xfId="60"/>
    <cellStyle name="Percent 2 2" xfId="61"/>
    <cellStyle name="Percent 2 2 2" xfId="62"/>
    <cellStyle name="Percent 2 3" xfId="63"/>
    <cellStyle name="Percent 3" xfId="64"/>
    <cellStyle name="Percent 3 2" xfId="65"/>
    <cellStyle name="Percent 4" xfId="66"/>
    <cellStyle name="SAPBEXaggData" xfId="67"/>
    <cellStyle name="SAPBEXaggDataEmph" xfId="68"/>
    <cellStyle name="SAPBEXaggItem" xfId="69"/>
    <cellStyle name="SAPBEXaggItemX" xfId="70"/>
    <cellStyle name="SAPBEXchaText" xfId="71"/>
    <cellStyle name="SAPBEXexcBad7" xfId="72"/>
    <cellStyle name="SAPBEXexcBad8" xfId="73"/>
    <cellStyle name="SAPBEXexcBad9" xfId="74"/>
    <cellStyle name="SAPBEXexcCritical4" xfId="75"/>
    <cellStyle name="SAPBEXexcCritical5" xfId="76"/>
    <cellStyle name="SAPBEXexcCritical6" xfId="77"/>
    <cellStyle name="SAPBEXexcGood1" xfId="78"/>
    <cellStyle name="SAPBEXexcGood2" xfId="79"/>
    <cellStyle name="SAPBEXexcGood3" xfId="80"/>
    <cellStyle name="SAPBEXfilterDrill" xfId="81"/>
    <cellStyle name="SAPBEXfilterItem" xfId="82"/>
    <cellStyle name="SAPBEXfilterText" xfId="83"/>
    <cellStyle name="SAPBEXformats" xfId="84"/>
    <cellStyle name="SAPBEXheaderItem" xfId="85"/>
    <cellStyle name="SAPBEXheaderText" xfId="86"/>
    <cellStyle name="SAPBEXHLevel0" xfId="87"/>
    <cellStyle name="SAPBEXHLevel0X" xfId="88"/>
    <cellStyle name="SAPBEXHLevel1" xfId="89"/>
    <cellStyle name="SAPBEXHLevel1X" xfId="90"/>
    <cellStyle name="SAPBEXHLevel2" xfId="91"/>
    <cellStyle name="SAPBEXHLevel2X" xfId="92"/>
    <cellStyle name="SAPBEXHLevel3" xfId="93"/>
    <cellStyle name="SAPBEXHLevel3X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title 2" xfId="104"/>
    <cellStyle name="SAPBEXundefined" xfId="105"/>
    <cellStyle name="Titles" xfId="106"/>
    <cellStyle name="Unprot" xfId="107"/>
    <cellStyle name="Unprot$" xfId="108"/>
    <cellStyle name="Unprotect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rian%20S.%20Dickman_EBA\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2013 - December 31, 2013</v>
          </cell>
        </row>
        <row r="8">
          <cell r="B8" t="str">
            <v>Exhibit RMP___(BSD-1)</v>
          </cell>
          <cell r="C8" t="str">
            <v>Stipulated Scalar Energy Balancing Account Calculation</v>
          </cell>
        </row>
        <row r="17">
          <cell r="B17" t="str">
            <v>(5.1)</v>
          </cell>
        </row>
        <row r="24">
          <cell r="B24" t="str">
            <v>(6.1)</v>
          </cell>
        </row>
        <row r="30">
          <cell r="B30" t="str">
            <v>(7.1)</v>
          </cell>
        </row>
        <row r="33">
          <cell r="B33" t="str">
            <v>(8.1)</v>
          </cell>
        </row>
        <row r="34">
          <cell r="B34" t="str">
            <v>(8.2)</v>
          </cell>
        </row>
        <row r="35">
          <cell r="B35" t="str">
            <v>(8.3)</v>
          </cell>
        </row>
      </sheetData>
      <sheetData sheetId="1"/>
      <sheetData sheetId="2"/>
      <sheetData sheetId="3"/>
      <sheetData sheetId="4"/>
      <sheetData sheetId="5"/>
      <sheetData sheetId="6">
        <row r="38">
          <cell r="I38">
            <v>133659007.16684815</v>
          </cell>
          <cell r="J38">
            <v>116188681.44563711</v>
          </cell>
          <cell r="K38">
            <v>122299255.46417946</v>
          </cell>
          <cell r="L38">
            <v>110236400.06796722</v>
          </cell>
          <cell r="M38">
            <v>119488604.17138948</v>
          </cell>
          <cell r="N38">
            <v>129963628.52237809</v>
          </cell>
          <cell r="O38">
            <v>176029837.22933778</v>
          </cell>
          <cell r="P38">
            <v>157274953.83102658</v>
          </cell>
          <cell r="Q38">
            <v>139287264.09320918</v>
          </cell>
          <cell r="R38">
            <v>124259043.47348425</v>
          </cell>
          <cell r="S38">
            <v>124573042.84537265</v>
          </cell>
          <cell r="T38">
            <v>166275377.11837006</v>
          </cell>
        </row>
      </sheetData>
      <sheetData sheetId="7"/>
      <sheetData sheetId="8"/>
      <sheetData sheetId="9"/>
      <sheetData sheetId="10"/>
      <sheetData sheetId="11">
        <row r="21">
          <cell r="J21">
            <v>1982626.99979</v>
          </cell>
          <cell r="K21">
            <v>1789929.9980000001</v>
          </cell>
          <cell r="L21">
            <v>1910070.0009899999</v>
          </cell>
          <cell r="M21">
            <v>1856810.0009900001</v>
          </cell>
          <cell r="N21">
            <v>1998460.00202</v>
          </cell>
          <cell r="O21">
            <v>1912132.46205</v>
          </cell>
          <cell r="P21">
            <v>2266364.4785400005</v>
          </cell>
          <cell r="Q21">
            <v>2314401.9906899994</v>
          </cell>
          <cell r="R21">
            <v>1968925.9935399997</v>
          </cell>
          <cell r="S21">
            <v>1906260.0009999997</v>
          </cell>
          <cell r="T21">
            <v>1856770.00499</v>
          </cell>
          <cell r="U21">
            <v>1971890.61411</v>
          </cell>
        </row>
        <row r="22">
          <cell r="D22" t="str">
            <v>Base Utah NPC</v>
          </cell>
          <cell r="H22">
            <v>636001721</v>
          </cell>
          <cell r="J22">
            <v>50011065.137238234</v>
          </cell>
          <cell r="K22">
            <v>45985167.100023851</v>
          </cell>
          <cell r="L22">
            <v>49906973.15688844</v>
          </cell>
          <cell r="M22">
            <v>48917079.303698763</v>
          </cell>
          <cell r="N22">
            <v>52873367.693607651</v>
          </cell>
          <cell r="O22">
            <v>53728239.205889396</v>
          </cell>
          <cell r="P22">
            <v>63466696.84056095</v>
          </cell>
          <cell r="Q22">
            <v>66758059.057229094</v>
          </cell>
          <cell r="R22">
            <v>57122257.463790625</v>
          </cell>
          <cell r="S22">
            <v>50900050.110836901</v>
          </cell>
          <cell r="T22">
            <v>47730263.688800253</v>
          </cell>
          <cell r="U22">
            <v>48602502.241435856</v>
          </cell>
        </row>
        <row r="30">
          <cell r="H30" t="str">
            <v>Total</v>
          </cell>
          <cell r="J30">
            <v>41275</v>
          </cell>
          <cell r="K30">
            <v>41306</v>
          </cell>
          <cell r="L30">
            <v>41334</v>
          </cell>
          <cell r="M30">
            <v>41365</v>
          </cell>
          <cell r="N30">
            <v>41395</v>
          </cell>
          <cell r="O30">
            <v>41426</v>
          </cell>
          <cell r="P30">
            <v>41456</v>
          </cell>
          <cell r="Q30">
            <v>41487</v>
          </cell>
          <cell r="R30">
            <v>41518</v>
          </cell>
          <cell r="S30">
            <v>41548</v>
          </cell>
          <cell r="T30">
            <v>41579</v>
          </cell>
          <cell r="U30">
            <v>41609</v>
          </cell>
        </row>
      </sheetData>
      <sheetData sheetId="12"/>
      <sheetData sheetId="13"/>
      <sheetData sheetId="14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5">
        <row r="10"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41275</v>
          </cell>
          <cell r="H10">
            <v>41306</v>
          </cell>
          <cell r="I10">
            <v>41334</v>
          </cell>
          <cell r="J10">
            <v>41365</v>
          </cell>
          <cell r="K10">
            <v>41395</v>
          </cell>
          <cell r="L10">
            <v>41426</v>
          </cell>
          <cell r="M10">
            <v>41456</v>
          </cell>
          <cell r="N10">
            <v>41487</v>
          </cell>
          <cell r="O10">
            <v>41518</v>
          </cell>
          <cell r="P10">
            <v>41548</v>
          </cell>
          <cell r="Q10">
            <v>41579</v>
          </cell>
          <cell r="R10">
            <v>41609</v>
          </cell>
          <cell r="T10" t="str">
            <v>Total</v>
          </cell>
        </row>
        <row r="58">
          <cell r="F58" t="str">
            <v>Utah Allocated Additional FERC ER11-3643 Revenues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0</v>
          </cell>
        </row>
        <row r="59">
          <cell r="G59">
            <v>-2592302.7783422787</v>
          </cell>
          <cell r="H59">
            <v>-2581948.8140782993</v>
          </cell>
          <cell r="I59">
            <v>-2343762.1217129705</v>
          </cell>
          <cell r="J59">
            <v>-2739634.3258921904</v>
          </cell>
          <cell r="K59">
            <v>-3616401.4943551258</v>
          </cell>
          <cell r="L59">
            <v>-3406840.8798806085</v>
          </cell>
          <cell r="M59">
            <v>-3637902.9132843381</v>
          </cell>
          <cell r="N59">
            <v>-3376968.7063508993</v>
          </cell>
          <cell r="O59">
            <v>-2871989.8187836041</v>
          </cell>
          <cell r="P59">
            <v>-2933820.8331647408</v>
          </cell>
          <cell r="Q59">
            <v>-2548421.0540134995</v>
          </cell>
          <cell r="R59">
            <v>-3373626.0831361897</v>
          </cell>
        </row>
        <row r="73">
          <cell r="F73" t="str">
            <v>Total Wheeling Revenue in Rates UT Allocated</v>
          </cell>
          <cell r="G73">
            <v>-2684824.28561325</v>
          </cell>
          <cell r="H73">
            <v>-2684824.28561325</v>
          </cell>
          <cell r="I73">
            <v>-2684824.28561325</v>
          </cell>
          <cell r="J73">
            <v>-2684824.28561325</v>
          </cell>
          <cell r="K73">
            <v>-2684824.28561325</v>
          </cell>
          <cell r="L73">
            <v>-2684824.28561325</v>
          </cell>
          <cell r="M73">
            <v>-2684824.28561325</v>
          </cell>
          <cell r="N73">
            <v>-2684824.28561325</v>
          </cell>
          <cell r="O73">
            <v>-2684824.28561325</v>
          </cell>
          <cell r="P73">
            <v>-2684824.28561325</v>
          </cell>
          <cell r="Q73">
            <v>-2684824.28561325</v>
          </cell>
          <cell r="R73">
            <v>-2684824.28561325</v>
          </cell>
          <cell r="T73">
            <v>-32217891.427359</v>
          </cell>
        </row>
      </sheetData>
      <sheetData sheetId="16">
        <row r="56">
          <cell r="C56">
            <v>41275</v>
          </cell>
          <cell r="K56">
            <v>2289624.3077838323</v>
          </cell>
          <cell r="P56">
            <v>5538025.0062093306</v>
          </cell>
        </row>
        <row r="57">
          <cell r="C57">
            <v>41306</v>
          </cell>
          <cell r="K57">
            <v>1958995.1554636715</v>
          </cell>
          <cell r="P57">
            <v>4694152.6592573747</v>
          </cell>
        </row>
        <row r="58">
          <cell r="C58">
            <v>41334</v>
          </cell>
          <cell r="K58">
            <v>2002423.945246537</v>
          </cell>
          <cell r="P58">
            <v>4775925.433791792</v>
          </cell>
        </row>
        <row r="59">
          <cell r="C59">
            <v>41365</v>
          </cell>
          <cell r="K59">
            <v>1863136.3669988008</v>
          </cell>
          <cell r="P59">
            <v>4444207.2020520642</v>
          </cell>
        </row>
        <row r="60">
          <cell r="C60">
            <v>41395</v>
          </cell>
          <cell r="K60">
            <v>1989009.0236021804</v>
          </cell>
          <cell r="P60">
            <v>4718856.393412387</v>
          </cell>
        </row>
        <row r="61">
          <cell r="C61">
            <v>41426</v>
          </cell>
          <cell r="K61">
            <v>2259639.9481957811</v>
          </cell>
          <cell r="P61">
            <v>5114425.3092754046</v>
          </cell>
        </row>
        <row r="62">
          <cell r="C62">
            <v>41456</v>
          </cell>
          <cell r="K62">
            <v>2606693.8852596283</v>
          </cell>
          <cell r="P62">
            <v>5754894.3985189861</v>
          </cell>
        </row>
        <row r="63">
          <cell r="C63">
            <v>41487</v>
          </cell>
          <cell r="K63">
            <v>2534176.2322200686</v>
          </cell>
          <cell r="P63">
            <v>5501805.8194004754</v>
          </cell>
        </row>
        <row r="64">
          <cell r="C64">
            <v>41518</v>
          </cell>
          <cell r="K64">
            <v>2078647.8306589208</v>
          </cell>
          <cell r="P64">
            <v>4699006.9886634955</v>
          </cell>
        </row>
        <row r="65">
          <cell r="C65">
            <v>41548</v>
          </cell>
          <cell r="K65">
            <v>1998853.9649304985</v>
          </cell>
          <cell r="P65">
            <v>4735307.7177972216</v>
          </cell>
        </row>
        <row r="66">
          <cell r="C66">
            <v>41579</v>
          </cell>
          <cell r="K66">
            <v>2029354.787659921</v>
          </cell>
          <cell r="P66">
            <v>4828481.6101409607</v>
          </cell>
        </row>
        <row r="67">
          <cell r="C67">
            <v>41609</v>
          </cell>
          <cell r="K67">
            <v>2309261.7668929524</v>
          </cell>
          <cell r="P67">
            <v>5631849.8656532662</v>
          </cell>
        </row>
      </sheetData>
      <sheetData sheetId="17"/>
      <sheetData sheetId="18">
        <row r="9">
          <cell r="E9">
            <v>41275</v>
          </cell>
          <cell r="F9">
            <v>41306</v>
          </cell>
          <cell r="G9">
            <v>41334</v>
          </cell>
          <cell r="H9">
            <v>41365</v>
          </cell>
          <cell r="I9">
            <v>41395</v>
          </cell>
          <cell r="J9">
            <v>41426</v>
          </cell>
          <cell r="K9">
            <v>41456</v>
          </cell>
          <cell r="L9">
            <v>41487</v>
          </cell>
          <cell r="M9">
            <v>41518</v>
          </cell>
          <cell r="N9">
            <v>41548</v>
          </cell>
          <cell r="O9">
            <v>41579</v>
          </cell>
          <cell r="P9">
            <v>41609</v>
          </cell>
          <cell r="R9" t="str">
            <v>Total</v>
          </cell>
        </row>
        <row r="15">
          <cell r="C15" t="str">
            <v>Total Utah Retail Sales</v>
          </cell>
          <cell r="E15">
            <v>2173342.8769999999</v>
          </cell>
          <cell r="F15">
            <v>1855635.5090000001</v>
          </cell>
          <cell r="G15">
            <v>1852861.6630000002</v>
          </cell>
          <cell r="H15">
            <v>1787471.3160000001</v>
          </cell>
          <cell r="I15">
            <v>1915852.9779999999</v>
          </cell>
          <cell r="J15">
            <v>2141184.7320000003</v>
          </cell>
          <cell r="K15">
            <v>2336350.7239999999</v>
          </cell>
          <cell r="L15">
            <v>2433010.0180000002</v>
          </cell>
          <cell r="M15">
            <v>1975609.5739999998</v>
          </cell>
          <cell r="N15">
            <v>1856793.7740000002</v>
          </cell>
          <cell r="O15">
            <v>1907844.2149999999</v>
          </cell>
          <cell r="P15">
            <v>2220570.2669999995</v>
          </cell>
          <cell r="R15">
            <v>24456527.647000004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tabSelected="1" view="pageBreakPreview" zoomScale="80" zoomScaleNormal="90" zoomScaleSheetLayoutView="80" workbookViewId="0">
      <selection activeCell="A3" sqref="A3"/>
    </sheetView>
  </sheetViews>
  <sheetFormatPr defaultColWidth="9.140625" defaultRowHeight="15.75" customHeight="1"/>
  <cols>
    <col min="1" max="1" width="5.5703125" style="7" customWidth="1"/>
    <col min="2" max="2" width="38" style="2" customWidth="1"/>
    <col min="3" max="3" width="2.28515625" style="3" customWidth="1"/>
    <col min="4" max="4" width="25.140625" style="4" customWidth="1"/>
    <col min="5" max="5" width="2.28515625" style="3" customWidth="1"/>
    <col min="6" max="7" width="11.42578125" style="3" customWidth="1"/>
    <col min="8" max="8" width="12.28515625" style="3" bestFit="1" customWidth="1"/>
    <col min="9" max="9" width="11.42578125" style="3" customWidth="1"/>
    <col min="10" max="10" width="11.5703125" style="3" customWidth="1"/>
    <col min="11" max="11" width="12.42578125" style="3" bestFit="1" customWidth="1"/>
    <col min="12" max="12" width="11.42578125" style="3" customWidth="1"/>
    <col min="13" max="13" width="12.5703125" style="3" bestFit="1" customWidth="1"/>
    <col min="14" max="15" width="12.140625" style="3" bestFit="1" customWidth="1"/>
    <col min="16" max="16" width="12.5703125" style="3" bestFit="1" customWidth="1"/>
    <col min="17" max="17" width="12.85546875" style="3" bestFit="1" customWidth="1"/>
    <col min="18" max="18" width="2.28515625" style="3" customWidth="1"/>
    <col min="19" max="19" width="12.5703125" style="3" bestFit="1" customWidth="1"/>
    <col min="20" max="20" width="2.28515625" style="3" customWidth="1"/>
    <col min="21" max="21" width="18" style="6" customWidth="1"/>
    <col min="22" max="22" width="12" style="3" customWidth="1"/>
    <col min="23" max="23" width="9.7109375" style="3" customWidth="1"/>
    <col min="24" max="16384" width="9.140625" style="3"/>
  </cols>
  <sheetData>
    <row r="1" spans="1:22" ht="15.75" customHeight="1">
      <c r="A1" s="1" t="str">
        <f>+'[4]Workpaper Index'!C4</f>
        <v>Utah Energy Balancing Account Mechanism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2" ht="15.75" customHeight="1">
      <c r="A2" s="1" t="str">
        <f>+'[4]Workpaper Index'!C5</f>
        <v>January 1, 2013 - December 31, 2013</v>
      </c>
    </row>
    <row r="3" spans="1:22" ht="15.75" customHeight="1">
      <c r="A3" s="1" t="str">
        <f>+'[4]Workpaper Index'!B8&amp;" - "&amp;'[4]Workpaper Index'!C8</f>
        <v>Exhibit RMP___(BSD-1) - Stipulated Scalar Energy Balancing Account Calculation</v>
      </c>
    </row>
    <row r="4" spans="1:22" ht="15.75" customHeight="1"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2" ht="15.75" customHeight="1">
      <c r="A5" s="3"/>
      <c r="B5" s="9"/>
    </row>
    <row r="6" spans="1:22" ht="25.5">
      <c r="A6" s="10" t="s">
        <v>0</v>
      </c>
      <c r="B6" s="11"/>
      <c r="D6" s="12" t="s">
        <v>1</v>
      </c>
      <c r="F6" s="13">
        <v>41275</v>
      </c>
      <c r="G6" s="13">
        <f>EDATE(F6,1)</f>
        <v>41306</v>
      </c>
      <c r="H6" s="13">
        <f t="shared" ref="H6:Q6" si="0">EDATE(G6,1)</f>
        <v>41334</v>
      </c>
      <c r="I6" s="13">
        <f t="shared" si="0"/>
        <v>41365</v>
      </c>
      <c r="J6" s="13">
        <f t="shared" si="0"/>
        <v>41395</v>
      </c>
      <c r="K6" s="13">
        <f t="shared" si="0"/>
        <v>41426</v>
      </c>
      <c r="L6" s="13">
        <f t="shared" si="0"/>
        <v>41456</v>
      </c>
      <c r="M6" s="13">
        <f t="shared" si="0"/>
        <v>41487</v>
      </c>
      <c r="N6" s="13">
        <f t="shared" si="0"/>
        <v>41518</v>
      </c>
      <c r="O6" s="13">
        <f t="shared" si="0"/>
        <v>41548</v>
      </c>
      <c r="P6" s="13">
        <f t="shared" si="0"/>
        <v>41579</v>
      </c>
      <c r="Q6" s="13">
        <f t="shared" si="0"/>
        <v>41609</v>
      </c>
      <c r="S6" s="13" t="s">
        <v>2</v>
      </c>
      <c r="T6" s="14"/>
    </row>
    <row r="7" spans="1:22" ht="15.75" customHeight="1">
      <c r="A7" s="15"/>
      <c r="B7" s="9"/>
      <c r="D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S7" s="17"/>
      <c r="T7" s="18"/>
      <c r="U7" s="19"/>
      <c r="V7" s="20"/>
    </row>
    <row r="8" spans="1:22" ht="15.75" customHeight="1">
      <c r="A8" s="21" t="s">
        <v>3</v>
      </c>
      <c r="D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S8" s="18"/>
      <c r="T8" s="18"/>
      <c r="U8" s="19"/>
      <c r="V8" s="20"/>
    </row>
    <row r="9" spans="1:22" ht="15.75" customHeight="1">
      <c r="B9" s="9"/>
      <c r="C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S9" s="22"/>
      <c r="T9" s="18"/>
      <c r="U9" s="19"/>
      <c r="V9" s="20"/>
    </row>
    <row r="10" spans="1:22" ht="15.75" customHeight="1">
      <c r="A10" s="7">
        <f>+MAX($A$1:A9)+1</f>
        <v>1</v>
      </c>
      <c r="B10" s="16" t="s">
        <v>4</v>
      </c>
      <c r="D10" s="23" t="str">
        <f>+'[4]Workpaper Index'!$B$17</f>
        <v>(5.1)</v>
      </c>
      <c r="E10" s="20"/>
      <c r="F10" s="24">
        <f>+'[4](5.1) UT Allocated Actual NPC'!I38</f>
        <v>133659007.16684815</v>
      </c>
      <c r="G10" s="24">
        <f>+'[4](5.1) UT Allocated Actual NPC'!J38</f>
        <v>116188681.44563711</v>
      </c>
      <c r="H10" s="24">
        <f>+'[4](5.1) UT Allocated Actual NPC'!K38</f>
        <v>122299255.46417946</v>
      </c>
      <c r="I10" s="24">
        <f>+'[4](5.1) UT Allocated Actual NPC'!L38</f>
        <v>110236400.06796722</v>
      </c>
      <c r="J10" s="24">
        <f>+'[4](5.1) UT Allocated Actual NPC'!M38</f>
        <v>119488604.17138948</v>
      </c>
      <c r="K10" s="24">
        <f>+'[4](5.1) UT Allocated Actual NPC'!N38</f>
        <v>129963628.52237809</v>
      </c>
      <c r="L10" s="24">
        <f>+'[4](5.1) UT Allocated Actual NPC'!O38</f>
        <v>176029837.22933778</v>
      </c>
      <c r="M10" s="24">
        <f>+'[4](5.1) UT Allocated Actual NPC'!P38</f>
        <v>157274953.83102658</v>
      </c>
      <c r="N10" s="24">
        <f>+'[4](5.1) UT Allocated Actual NPC'!Q38</f>
        <v>139287264.09320918</v>
      </c>
      <c r="O10" s="24">
        <f>+'[4](5.1) UT Allocated Actual NPC'!R38</f>
        <v>124259043.47348425</v>
      </c>
      <c r="P10" s="24">
        <f>+'[4](5.1) UT Allocated Actual NPC'!S38</f>
        <v>124573042.84537265</v>
      </c>
      <c r="Q10" s="24">
        <f>+'[4](5.1) UT Allocated Actual NPC'!T38</f>
        <v>166275377.11837006</v>
      </c>
      <c r="S10" s="24">
        <f>+SUM(F10:Q10)</f>
        <v>1619535095.4292002</v>
      </c>
      <c r="T10" s="18"/>
      <c r="U10" s="25"/>
      <c r="V10" s="20"/>
    </row>
    <row r="11" spans="1:22" ht="15.75" customHeight="1">
      <c r="A11" s="7">
        <f>+MAX($A$1:A10)+1</f>
        <v>2</v>
      </c>
      <c r="B11" s="16" t="s">
        <v>5</v>
      </c>
      <c r="D11" s="23" t="str">
        <f>+'[4]Workpaper Index'!$B$33</f>
        <v>(8.1)</v>
      </c>
      <c r="E11" s="20"/>
      <c r="F11" s="26">
        <f>+INDEX('[4](8.1) Actual Factors'!$P$56:$P$67,MATCH(F$6,'[4](8.1) Actual Factors'!$C$56:$C$67,0))</f>
        <v>5538025.0062093306</v>
      </c>
      <c r="G11" s="26">
        <f>+INDEX('[4](8.1) Actual Factors'!$P$56:$P$67,MATCH(G$6,'[4](8.1) Actual Factors'!$C$56:$C$67,0))</f>
        <v>4694152.6592573747</v>
      </c>
      <c r="H11" s="26">
        <f>+INDEX('[4](8.1) Actual Factors'!$P$56:$P$67,MATCH(H$6,'[4](8.1) Actual Factors'!$C$56:$C$67,0))</f>
        <v>4775925.433791792</v>
      </c>
      <c r="I11" s="26">
        <f>+INDEX('[4](8.1) Actual Factors'!$P$56:$P$67,MATCH(I$6,'[4](8.1) Actual Factors'!$C$56:$C$67,0))</f>
        <v>4444207.2020520642</v>
      </c>
      <c r="J11" s="26">
        <f>+INDEX('[4](8.1) Actual Factors'!$P$56:$P$67,MATCH(J$6,'[4](8.1) Actual Factors'!$C$56:$C$67,0))</f>
        <v>4718856.393412387</v>
      </c>
      <c r="K11" s="26">
        <f>+INDEX('[4](8.1) Actual Factors'!$P$56:$P$67,MATCH(K$6,'[4](8.1) Actual Factors'!$C$56:$C$67,0))</f>
        <v>5114425.3092754046</v>
      </c>
      <c r="L11" s="26">
        <f>+INDEX('[4](8.1) Actual Factors'!$P$56:$P$67,MATCH(L$6,'[4](8.1) Actual Factors'!$C$56:$C$67,0))</f>
        <v>5754894.3985189861</v>
      </c>
      <c r="M11" s="26">
        <f>+INDEX('[4](8.1) Actual Factors'!$P$56:$P$67,MATCH(M$6,'[4](8.1) Actual Factors'!$C$56:$C$67,0))</f>
        <v>5501805.8194004754</v>
      </c>
      <c r="N11" s="26">
        <f>+INDEX('[4](8.1) Actual Factors'!$P$56:$P$67,MATCH(N$6,'[4](8.1) Actual Factors'!$C$56:$C$67,0))</f>
        <v>4699006.9886634955</v>
      </c>
      <c r="O11" s="26">
        <f>+INDEX('[4](8.1) Actual Factors'!$P$56:$P$67,MATCH(O$6,'[4](8.1) Actual Factors'!$C$56:$C$67,0))</f>
        <v>4735307.7177972216</v>
      </c>
      <c r="P11" s="26">
        <f>+INDEX('[4](8.1) Actual Factors'!$P$56:$P$67,MATCH(P$6,'[4](8.1) Actual Factors'!$C$56:$C$67,0))</f>
        <v>4828481.6101409607</v>
      </c>
      <c r="Q11" s="26">
        <f>+INDEX('[4](8.1) Actual Factors'!$P$56:$P$67,MATCH(Q$6,'[4](8.1) Actual Factors'!$C$56:$C$67,0))</f>
        <v>5631849.8656532662</v>
      </c>
      <c r="R11" s="26"/>
      <c r="S11" s="26">
        <f>+SUM(F11:Q11)</f>
        <v>60436938.404172756</v>
      </c>
      <c r="T11" s="18"/>
      <c r="U11" s="19"/>
      <c r="V11" s="20"/>
    </row>
    <row r="12" spans="1:22" ht="15.75" customHeight="1">
      <c r="A12" s="7">
        <f>+MAX($A$1:A11)+1</f>
        <v>3</v>
      </c>
      <c r="B12" s="16" t="s">
        <v>6</v>
      </c>
      <c r="D12" s="27" t="str">
        <f>"Line "&amp; $A$10&amp;" / Line "&amp;$A$11&amp;""</f>
        <v>Line 1 / Line 2</v>
      </c>
      <c r="E12" s="20"/>
      <c r="F12" s="28">
        <f>+F10/F11</f>
        <v>24.134778556793684</v>
      </c>
      <c r="G12" s="28">
        <f t="shared" ref="G12:S12" si="1">+G10/G11</f>
        <v>24.751790126914706</v>
      </c>
      <c r="H12" s="28">
        <f t="shared" si="1"/>
        <v>25.607446590111717</v>
      </c>
      <c r="I12" s="28">
        <f t="shared" si="1"/>
        <v>24.804514068801016</v>
      </c>
      <c r="J12" s="28">
        <f t="shared" si="1"/>
        <v>25.321517378277889</v>
      </c>
      <c r="K12" s="28">
        <f t="shared" si="1"/>
        <v>25.41118907077967</v>
      </c>
      <c r="L12" s="28">
        <f t="shared" si="1"/>
        <v>30.587848366885552</v>
      </c>
      <c r="M12" s="28">
        <f t="shared" si="1"/>
        <v>28.586060466991295</v>
      </c>
      <c r="N12" s="28">
        <f t="shared" si="1"/>
        <v>29.64185080576474</v>
      </c>
      <c r="O12" s="28">
        <f t="shared" si="1"/>
        <v>26.240964870449279</v>
      </c>
      <c r="P12" s="28">
        <f t="shared" si="1"/>
        <v>25.799630795681111</v>
      </c>
      <c r="Q12" s="28">
        <f t="shared" si="1"/>
        <v>29.524113938552755</v>
      </c>
      <c r="S12" s="28">
        <f t="shared" si="1"/>
        <v>26.797106838843153</v>
      </c>
      <c r="T12" s="18"/>
      <c r="U12" s="19"/>
      <c r="V12" s="20"/>
    </row>
    <row r="13" spans="1:22" ht="15.75" customHeight="1">
      <c r="B13" s="16"/>
      <c r="D13" s="27"/>
      <c r="E13" s="20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S13" s="24"/>
      <c r="T13" s="18"/>
      <c r="U13" s="19"/>
      <c r="V13" s="20"/>
    </row>
    <row r="14" spans="1:22" ht="15.75" customHeight="1">
      <c r="A14" s="7">
        <f>+MAX($A$1:A13)+1</f>
        <v>4</v>
      </c>
      <c r="B14" s="16" t="s">
        <v>7</v>
      </c>
      <c r="D14" s="23" t="str">
        <f>'[4]Workpaper Index'!B34</f>
        <v>(8.2)</v>
      </c>
      <c r="E14" s="20"/>
      <c r="F14" s="29">
        <v>1.0023361945349345</v>
      </c>
      <c r="G14" s="29">
        <f>+F14</f>
        <v>1.0023361945349345</v>
      </c>
      <c r="H14" s="29">
        <f>+G14</f>
        <v>1.0023361945349345</v>
      </c>
      <c r="I14" s="29">
        <f t="shared" ref="I14:Q14" si="2">+H14</f>
        <v>1.0023361945349345</v>
      </c>
      <c r="J14" s="29">
        <f t="shared" si="2"/>
        <v>1.0023361945349345</v>
      </c>
      <c r="K14" s="29">
        <f t="shared" si="2"/>
        <v>1.0023361945349345</v>
      </c>
      <c r="L14" s="29">
        <f t="shared" si="2"/>
        <v>1.0023361945349345</v>
      </c>
      <c r="M14" s="29">
        <f t="shared" si="2"/>
        <v>1.0023361945349345</v>
      </c>
      <c r="N14" s="29">
        <f t="shared" si="2"/>
        <v>1.0023361945349345</v>
      </c>
      <c r="O14" s="29">
        <f t="shared" si="2"/>
        <v>1.0023361945349345</v>
      </c>
      <c r="P14" s="29">
        <f t="shared" si="2"/>
        <v>1.0023361945349345</v>
      </c>
      <c r="Q14" s="29">
        <f t="shared" si="2"/>
        <v>1.0023361945349345</v>
      </c>
      <c r="S14" s="29">
        <f>+H14</f>
        <v>1.0023361945349345</v>
      </c>
      <c r="T14" s="18"/>
      <c r="U14" s="19"/>
      <c r="V14" s="20"/>
    </row>
    <row r="15" spans="1:22" ht="15.75" customHeight="1">
      <c r="B15" s="16"/>
      <c r="D15" s="27"/>
      <c r="E15" s="20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S15" s="24"/>
      <c r="T15" s="18"/>
      <c r="U15" s="19"/>
      <c r="V15" s="20"/>
    </row>
    <row r="16" spans="1:22" ht="15.75" customHeight="1">
      <c r="A16" s="7">
        <f>+MAX($A$1:A15)+1</f>
        <v>5</v>
      </c>
      <c r="B16" s="16" t="s">
        <v>8</v>
      </c>
      <c r="D16" s="27" t="str">
        <f>"Line "&amp; $A$14&amp;" * Line "&amp;$A$16&amp;""</f>
        <v>Line 4 * Line 5</v>
      </c>
      <c r="E16" s="20"/>
      <c r="F16" s="28">
        <f>+F12*F14</f>
        <v>24.191162094559921</v>
      </c>
      <c r="G16" s="28">
        <f t="shared" ref="G16:S16" si="3">+G12*G14</f>
        <v>24.80961512373905</v>
      </c>
      <c r="H16" s="28">
        <f t="shared" si="3"/>
        <v>25.667270566889162</v>
      </c>
      <c r="I16" s="28">
        <f t="shared" si="3"/>
        <v>24.862462239010256</v>
      </c>
      <c r="J16" s="28">
        <f t="shared" si="3"/>
        <v>25.380673368793271</v>
      </c>
      <c r="K16" s="28">
        <f t="shared" si="3"/>
        <v>25.470554551813013</v>
      </c>
      <c r="L16" s="28">
        <f t="shared" si="3"/>
        <v>30.659307531075676</v>
      </c>
      <c r="M16" s="28">
        <f t="shared" si="3"/>
        <v>28.652843065229586</v>
      </c>
      <c r="N16" s="28">
        <f t="shared" si="3"/>
        <v>29.71109993562251</v>
      </c>
      <c r="O16" s="28">
        <f t="shared" si="3"/>
        <v>26.30226886917103</v>
      </c>
      <c r="P16" s="28">
        <f t="shared" si="3"/>
        <v>25.859903752149307</v>
      </c>
      <c r="Q16" s="28">
        <f t="shared" si="3"/>
        <v>29.593088012184786</v>
      </c>
      <c r="S16" s="28">
        <f t="shared" si="3"/>
        <v>26.859710093392113</v>
      </c>
      <c r="T16" s="18"/>
      <c r="U16" s="19"/>
      <c r="V16" s="20"/>
    </row>
    <row r="17" spans="1:22" ht="15.75" customHeight="1">
      <c r="B17" s="16"/>
      <c r="D17" s="27"/>
      <c r="E17" s="20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S17" s="24"/>
      <c r="T17" s="18"/>
      <c r="U17" s="19"/>
      <c r="V17" s="20"/>
    </row>
    <row r="18" spans="1:22" ht="15.75" customHeight="1">
      <c r="A18" s="7">
        <f>+MAX($A$1:A17)+1</f>
        <v>6</v>
      </c>
      <c r="B18" s="16" t="s">
        <v>9</v>
      </c>
      <c r="D18" s="23" t="str">
        <f>+'[4]Workpaper Index'!$B$33</f>
        <v>(8.1)</v>
      </c>
      <c r="E18" s="20"/>
      <c r="F18" s="24">
        <f>+INDEX('[4](8.1) Actual Factors'!$K$56:$K$67,MATCH(F$6,'[4](8.1) Actual Factors'!$C$56:$C$67,0))</f>
        <v>2289624.3077838323</v>
      </c>
      <c r="G18" s="24">
        <f>+INDEX('[4](8.1) Actual Factors'!$K$56:$K$67,MATCH(G$6,'[4](8.1) Actual Factors'!$C$56:$C$67,0))</f>
        <v>1958995.1554636715</v>
      </c>
      <c r="H18" s="24">
        <f>+INDEX('[4](8.1) Actual Factors'!$K$56:$K$67,MATCH(H$6,'[4](8.1) Actual Factors'!$C$56:$C$67,0))</f>
        <v>2002423.945246537</v>
      </c>
      <c r="I18" s="24">
        <f>+INDEX('[4](8.1) Actual Factors'!$K$56:$K$67,MATCH(I$6,'[4](8.1) Actual Factors'!$C$56:$C$67,0))</f>
        <v>1863136.3669988008</v>
      </c>
      <c r="J18" s="24">
        <f>+INDEX('[4](8.1) Actual Factors'!$K$56:$K$67,MATCH(J$6,'[4](8.1) Actual Factors'!$C$56:$C$67,0))</f>
        <v>1989009.0236021804</v>
      </c>
      <c r="K18" s="24">
        <f>+INDEX('[4](8.1) Actual Factors'!$K$56:$K$67,MATCH(K$6,'[4](8.1) Actual Factors'!$C$56:$C$67,0))</f>
        <v>2259639.9481957811</v>
      </c>
      <c r="L18" s="24">
        <f>+INDEX('[4](8.1) Actual Factors'!$K$56:$K$67,MATCH(L$6,'[4](8.1) Actual Factors'!$C$56:$C$67,0))</f>
        <v>2606693.8852596283</v>
      </c>
      <c r="M18" s="24">
        <f>+INDEX('[4](8.1) Actual Factors'!$K$56:$K$67,MATCH(M$6,'[4](8.1) Actual Factors'!$C$56:$C$67,0))</f>
        <v>2534176.2322200686</v>
      </c>
      <c r="N18" s="24">
        <f>+INDEX('[4](8.1) Actual Factors'!$K$56:$K$67,MATCH(N$6,'[4](8.1) Actual Factors'!$C$56:$C$67,0))</f>
        <v>2078647.8306589208</v>
      </c>
      <c r="O18" s="24">
        <f>+INDEX('[4](8.1) Actual Factors'!$K$56:$K$67,MATCH(O$6,'[4](8.1) Actual Factors'!$C$56:$C$67,0))</f>
        <v>1998853.9649304985</v>
      </c>
      <c r="P18" s="24">
        <f>+INDEX('[4](8.1) Actual Factors'!$K$56:$K$67,MATCH(P$6,'[4](8.1) Actual Factors'!$C$56:$C$67,0))</f>
        <v>2029354.787659921</v>
      </c>
      <c r="Q18" s="24">
        <f>+INDEX('[4](8.1) Actual Factors'!$K$56:$K$67,MATCH(Q$6,'[4](8.1) Actual Factors'!$C$56:$C$67,0))</f>
        <v>2309261.7668929524</v>
      </c>
      <c r="S18" s="24">
        <f>+SUM(F18:Q18)</f>
        <v>25919817.214912791</v>
      </c>
      <c r="T18" s="18"/>
      <c r="U18" s="19"/>
      <c r="V18" s="20"/>
    </row>
    <row r="19" spans="1:22" ht="15.75" customHeight="1">
      <c r="B19" s="16"/>
      <c r="D19" s="27"/>
      <c r="E19" s="20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S19" s="24"/>
      <c r="T19" s="18"/>
      <c r="U19" s="19"/>
      <c r="V19" s="20"/>
    </row>
    <row r="20" spans="1:22" ht="15.75" customHeight="1">
      <c r="A20" s="7">
        <f>+MAX($A$1:A19)+1</f>
        <v>7</v>
      </c>
      <c r="B20" s="16" t="s">
        <v>10</v>
      </c>
      <c r="D20" s="27" t="str">
        <f>"Line "&amp; $A$16&amp;" * Line "&amp;$A$18&amp;""</f>
        <v>Line 5 * Line 6</v>
      </c>
      <c r="E20" s="20"/>
      <c r="F20" s="24">
        <f>+F16*F18</f>
        <v>55388672.76524324</v>
      </c>
      <c r="G20" s="24">
        <f t="shared" ref="G20:Q20" si="4">+G16*G18</f>
        <v>48601915.836323038</v>
      </c>
      <c r="H20" s="30">
        <f>+H16*H18</f>
        <v>51396757.192260511</v>
      </c>
      <c r="I20" s="24">
        <f t="shared" si="4"/>
        <v>46322157.57063444</v>
      </c>
      <c r="J20" s="24">
        <f t="shared" si="4"/>
        <v>50482388.35562937</v>
      </c>
      <c r="K20" s="24">
        <f t="shared" si="4"/>
        <v>57554282.567976572</v>
      </c>
      <c r="L20" s="24">
        <f t="shared" si="4"/>
        <v>79919429.467549428</v>
      </c>
      <c r="M20" s="24">
        <f t="shared" si="4"/>
        <v>72611353.881436437</v>
      </c>
      <c r="N20" s="24">
        <f t="shared" si="4"/>
        <v>61758913.427672133</v>
      </c>
      <c r="O20" s="24">
        <f t="shared" si="4"/>
        <v>52574394.415810533</v>
      </c>
      <c r="P20" s="24">
        <f t="shared" si="4"/>
        <v>52478919.487848952</v>
      </c>
      <c r="Q20" s="24">
        <f t="shared" si="4"/>
        <v>68338186.710836485</v>
      </c>
      <c r="S20" s="24">
        <f>+SUM(F20:Q20)</f>
        <v>697427371.67922139</v>
      </c>
      <c r="T20" s="18"/>
      <c r="U20" s="31"/>
      <c r="V20" s="20"/>
    </row>
    <row r="21" spans="1:22" ht="15.75" customHeight="1">
      <c r="A21" s="7">
        <f>+MAX($A$1:A20)+1</f>
        <v>8</v>
      </c>
      <c r="B21" s="16" t="s">
        <v>11</v>
      </c>
      <c r="D21" s="23" t="str">
        <f>+'[4]Workpaper Index'!$B$30</f>
        <v>(7.1)</v>
      </c>
      <c r="E21" s="20"/>
      <c r="F21" s="26">
        <f>+'[4](7.1) Wheeling Revenues'!G$59</f>
        <v>-2592302.7783422787</v>
      </c>
      <c r="G21" s="26">
        <f>+'[4](7.1) Wheeling Revenues'!H$59</f>
        <v>-2581948.8140782993</v>
      </c>
      <c r="H21" s="26">
        <f>+'[4](7.1) Wheeling Revenues'!I$59</f>
        <v>-2343762.1217129705</v>
      </c>
      <c r="I21" s="26">
        <f>+'[4](7.1) Wheeling Revenues'!J$59</f>
        <v>-2739634.3258921904</v>
      </c>
      <c r="J21" s="26">
        <f>+'[4](7.1) Wheeling Revenues'!K$59</f>
        <v>-3616401.4943551258</v>
      </c>
      <c r="K21" s="26">
        <f>+'[4](7.1) Wheeling Revenues'!L$59</f>
        <v>-3406840.8798806085</v>
      </c>
      <c r="L21" s="26">
        <f>+'[4](7.1) Wheeling Revenues'!M$59</f>
        <v>-3637902.9132843381</v>
      </c>
      <c r="M21" s="26">
        <f>+'[4](7.1) Wheeling Revenues'!N$59</f>
        <v>-3376968.7063508993</v>
      </c>
      <c r="N21" s="26">
        <f>+'[4](7.1) Wheeling Revenues'!O$59</f>
        <v>-2871989.8187836041</v>
      </c>
      <c r="O21" s="26">
        <f>+'[4](7.1) Wheeling Revenues'!P$59</f>
        <v>-2933820.8331647408</v>
      </c>
      <c r="P21" s="26">
        <f>+'[4](7.1) Wheeling Revenues'!Q$59</f>
        <v>-2548421.0540134995</v>
      </c>
      <c r="Q21" s="26">
        <f>+'[4](7.1) Wheeling Revenues'!R$59</f>
        <v>-3373626.0831361897</v>
      </c>
      <c r="S21" s="26">
        <f>+SUM(F21:Q21)</f>
        <v>-36023619.822994739</v>
      </c>
      <c r="T21" s="18"/>
      <c r="U21" s="19"/>
      <c r="V21" s="20"/>
    </row>
    <row r="22" spans="1:22" ht="15.75" customHeight="1">
      <c r="A22" s="7">
        <f>+MAX($A$1:A21)+1</f>
        <v>9</v>
      </c>
      <c r="B22" s="16" t="s">
        <v>12</v>
      </c>
      <c r="D22" s="27" t="str">
        <f>"Line "&amp; $A$20&amp;" + Line "&amp;$A$21&amp;""</f>
        <v>Line 7 + Line 8</v>
      </c>
      <c r="E22" s="20"/>
      <c r="F22" s="24">
        <f>+F20+F21</f>
        <v>52796369.986900963</v>
      </c>
      <c r="G22" s="24">
        <f t="shared" ref="G22:S22" si="5">+G20+G21</f>
        <v>46019967.022244737</v>
      </c>
      <c r="H22" s="24">
        <f t="shared" si="5"/>
        <v>49052995.070547543</v>
      </c>
      <c r="I22" s="24">
        <f t="shared" si="5"/>
        <v>43582523.244742252</v>
      </c>
      <c r="J22" s="24">
        <f t="shared" si="5"/>
        <v>46865986.861274242</v>
      </c>
      <c r="K22" s="24">
        <f t="shared" si="5"/>
        <v>54147441.688095964</v>
      </c>
      <c r="L22" s="24">
        <f t="shared" si="5"/>
        <v>76281526.554265097</v>
      </c>
      <c r="M22" s="24">
        <f t="shared" si="5"/>
        <v>69234385.175085545</v>
      </c>
      <c r="N22" s="24">
        <f t="shared" si="5"/>
        <v>58886923.608888529</v>
      </c>
      <c r="O22" s="24">
        <f t="shared" si="5"/>
        <v>49640573.582645789</v>
      </c>
      <c r="P22" s="24">
        <f t="shared" si="5"/>
        <v>49930498.433835454</v>
      </c>
      <c r="Q22" s="24">
        <f t="shared" si="5"/>
        <v>64964560.627700299</v>
      </c>
      <c r="S22" s="24">
        <f t="shared" si="5"/>
        <v>661403751.85622668</v>
      </c>
      <c r="T22" s="18"/>
      <c r="U22" s="19"/>
      <c r="V22" s="20"/>
    </row>
    <row r="23" spans="1:22" ht="15.75" customHeight="1">
      <c r="B23" s="16"/>
      <c r="D23" s="27"/>
      <c r="E23" s="20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S23" s="22"/>
      <c r="T23" s="18"/>
      <c r="U23" s="19"/>
      <c r="V23" s="20"/>
    </row>
    <row r="24" spans="1:22" ht="15.75" customHeight="1">
      <c r="A24" s="7">
        <f>+MAX($A$1:A23)+1</f>
        <v>10</v>
      </c>
      <c r="B24" s="16" t="s">
        <v>13</v>
      </c>
      <c r="D24" s="27" t="str">
        <f>+'[4]Workpaper Index'!$B$33&amp;", "&amp;'[4]Workpaper Index'!$B$35</f>
        <v>(8.1), (8.3)</v>
      </c>
      <c r="E24" s="20"/>
      <c r="F24" s="26">
        <f>+INDEX('[4](8.3) Utah Sales'!15:15,MATCH(F6,'[4](8.3) Utah Sales'!9:9,0))</f>
        <v>2173342.8769999999</v>
      </c>
      <c r="G24" s="26">
        <f>+INDEX('[4](8.3) Utah Sales'!15:15,MATCH(G6,'[4](8.3) Utah Sales'!9:9,0))</f>
        <v>1855635.5090000001</v>
      </c>
      <c r="H24" s="26">
        <f>+INDEX('[4](8.3) Utah Sales'!15:15,MATCH(H6,'[4](8.3) Utah Sales'!9:9,0))</f>
        <v>1852861.6630000002</v>
      </c>
      <c r="I24" s="26">
        <f>+INDEX('[4](8.3) Utah Sales'!15:15,MATCH(I6,'[4](8.3) Utah Sales'!9:9,0))</f>
        <v>1787471.3160000001</v>
      </c>
      <c r="J24" s="26">
        <f>+INDEX('[4](8.3) Utah Sales'!15:15,MATCH(J6,'[4](8.3) Utah Sales'!9:9,0))</f>
        <v>1915852.9779999999</v>
      </c>
      <c r="K24" s="26">
        <f>+INDEX('[4](8.3) Utah Sales'!15:15,MATCH(K6,'[4](8.3) Utah Sales'!9:9,0))</f>
        <v>2141184.7320000003</v>
      </c>
      <c r="L24" s="26">
        <f>+INDEX('[4](8.3) Utah Sales'!15:15,MATCH(L6,'[4](8.3) Utah Sales'!9:9,0))</f>
        <v>2336350.7239999999</v>
      </c>
      <c r="M24" s="26">
        <f>+INDEX('[4](8.3) Utah Sales'!15:15,MATCH(M6,'[4](8.3) Utah Sales'!9:9,0))</f>
        <v>2433010.0180000002</v>
      </c>
      <c r="N24" s="26">
        <f>+INDEX('[4](8.3) Utah Sales'!15:15,MATCH(N6,'[4](8.3) Utah Sales'!9:9,0))</f>
        <v>1975609.5739999998</v>
      </c>
      <c r="O24" s="26">
        <f>+INDEX('[4](8.3) Utah Sales'!15:15,MATCH(O6,'[4](8.3) Utah Sales'!9:9,0))</f>
        <v>1856793.7740000002</v>
      </c>
      <c r="P24" s="26">
        <f>+INDEX('[4](8.3) Utah Sales'!15:15,MATCH(P6,'[4](8.3) Utah Sales'!9:9,0))</f>
        <v>1907844.2149999999</v>
      </c>
      <c r="Q24" s="26">
        <f>+INDEX('[4](8.3) Utah Sales'!15:15,MATCH(Q6,'[4](8.3) Utah Sales'!9:9,0))</f>
        <v>2220570.2669999995</v>
      </c>
      <c r="S24" s="26">
        <f>+SUM(F24:Q24)</f>
        <v>24456527.647000004</v>
      </c>
      <c r="T24" s="18"/>
      <c r="U24" s="32"/>
      <c r="V24" s="20"/>
    </row>
    <row r="25" spans="1:22" ht="15.75" customHeight="1">
      <c r="A25" s="7">
        <f>+MAX($A$1:A24)+1</f>
        <v>11</v>
      </c>
      <c r="B25" s="33" t="s">
        <v>14</v>
      </c>
      <c r="D25" s="27" t="str">
        <f>"Line "&amp;$A$22&amp;" / Line "&amp;$A$24&amp;""</f>
        <v>Line 9 / Line 10</v>
      </c>
      <c r="E25" s="20"/>
      <c r="F25" s="34">
        <f>+F22/F24</f>
        <v>24.292701600669229</v>
      </c>
      <c r="G25" s="34">
        <f t="shared" ref="G25:Q25" si="6">+G22/G24</f>
        <v>24.800111228225443</v>
      </c>
      <c r="H25" s="34">
        <f t="shared" si="6"/>
        <v>26.474181019604558</v>
      </c>
      <c r="I25" s="34">
        <f t="shared" si="6"/>
        <v>24.382222447222894</v>
      </c>
      <c r="J25" s="34">
        <f t="shared" si="6"/>
        <v>24.46220425024401</v>
      </c>
      <c r="K25" s="34">
        <f t="shared" si="6"/>
        <v>25.288542776745317</v>
      </c>
      <c r="L25" s="34">
        <f t="shared" si="6"/>
        <v>32.649861072084953</v>
      </c>
      <c r="M25" s="34">
        <f t="shared" si="6"/>
        <v>28.456268023095966</v>
      </c>
      <c r="N25" s="34">
        <f t="shared" si="6"/>
        <v>29.806964080286715</v>
      </c>
      <c r="O25" s="34">
        <f t="shared" si="6"/>
        <v>26.734564859999246</v>
      </c>
      <c r="P25" s="34">
        <f t="shared" si="6"/>
        <v>26.171161167808169</v>
      </c>
      <c r="Q25" s="34">
        <f t="shared" si="6"/>
        <v>29.255800455019024</v>
      </c>
      <c r="S25" s="34">
        <f>+S22/S24</f>
        <v>27.044057987412565</v>
      </c>
      <c r="T25" s="18"/>
      <c r="U25" s="19"/>
      <c r="V25" s="20"/>
    </row>
    <row r="26" spans="1:22" ht="15.75" customHeight="1">
      <c r="D26" s="27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S26" s="20"/>
      <c r="T26" s="18"/>
      <c r="U26" s="19"/>
      <c r="V26" s="20"/>
    </row>
    <row r="27" spans="1:22" ht="15.75" customHeight="1">
      <c r="A27" s="35" t="s">
        <v>15</v>
      </c>
      <c r="B27" s="36"/>
      <c r="C27" s="37"/>
      <c r="D27" s="2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S27" s="38"/>
      <c r="T27" s="18"/>
      <c r="U27" s="19"/>
      <c r="V27" s="20"/>
    </row>
    <row r="28" spans="1:22" ht="15.75" customHeight="1">
      <c r="A28" s="35"/>
      <c r="B28" s="36"/>
      <c r="C28" s="37"/>
      <c r="D28" s="2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S28" s="38"/>
      <c r="T28" s="18"/>
      <c r="U28" s="19"/>
      <c r="V28" s="20"/>
    </row>
    <row r="29" spans="1:22" ht="15.75" customHeight="1">
      <c r="A29" s="7">
        <f>+MAX($A$1:A28)+1</f>
        <v>12</v>
      </c>
      <c r="B29" s="16" t="s">
        <v>16</v>
      </c>
      <c r="C29" s="21"/>
      <c r="D29" s="23" t="str">
        <f>+'[4]Workpaper Index'!$B$24</f>
        <v>(6.1)</v>
      </c>
      <c r="E29" s="39"/>
      <c r="F29" s="24">
        <f>+INDEX('[4](6.1) Prorated Base NPC'!$22:$22,1,MATCH(F$6,'[4](6.1) Prorated Base NPC'!$30:$30,0))</f>
        <v>50011065.137238234</v>
      </c>
      <c r="G29" s="24">
        <f>+INDEX('[4](6.1) Prorated Base NPC'!$22:$22,1,MATCH(G$6,'[4](6.1) Prorated Base NPC'!$30:$30,0))</f>
        <v>45985167.100023851</v>
      </c>
      <c r="H29" s="24">
        <f>+INDEX('[4](6.1) Prorated Base NPC'!$22:$22,1,MATCH(H$6,'[4](6.1) Prorated Base NPC'!$30:$30,0))</f>
        <v>49906973.15688844</v>
      </c>
      <c r="I29" s="24">
        <f>+INDEX('[4](6.1) Prorated Base NPC'!$22:$22,1,MATCH(I$6,'[4](6.1) Prorated Base NPC'!$30:$30,0))</f>
        <v>48917079.303698763</v>
      </c>
      <c r="J29" s="24">
        <f>+INDEX('[4](6.1) Prorated Base NPC'!$22:$22,1,MATCH(J$6,'[4](6.1) Prorated Base NPC'!$30:$30,0))</f>
        <v>52873367.693607651</v>
      </c>
      <c r="K29" s="24">
        <f>+INDEX('[4](6.1) Prorated Base NPC'!$22:$22,1,MATCH(K$6,'[4](6.1) Prorated Base NPC'!$30:$30,0))</f>
        <v>53728239.205889396</v>
      </c>
      <c r="L29" s="24">
        <f>+INDEX('[4](6.1) Prorated Base NPC'!$22:$22,1,MATCH(L$6,'[4](6.1) Prorated Base NPC'!$30:$30,0))</f>
        <v>63466696.84056095</v>
      </c>
      <c r="M29" s="24">
        <f>+INDEX('[4](6.1) Prorated Base NPC'!$22:$22,1,MATCH(M$6,'[4](6.1) Prorated Base NPC'!$30:$30,0))</f>
        <v>66758059.057229094</v>
      </c>
      <c r="N29" s="24">
        <f>+INDEX('[4](6.1) Prorated Base NPC'!$22:$22,1,MATCH(N$6,'[4](6.1) Prorated Base NPC'!$30:$30,0))</f>
        <v>57122257.463790625</v>
      </c>
      <c r="O29" s="24">
        <f>+INDEX('[4](6.1) Prorated Base NPC'!$22:$22,1,MATCH(O$6,'[4](6.1) Prorated Base NPC'!$30:$30,0))</f>
        <v>50900050.110836901</v>
      </c>
      <c r="P29" s="24">
        <f>+INDEX('[4](6.1) Prorated Base NPC'!$22:$22,1,MATCH(P$6,'[4](6.1) Prorated Base NPC'!$30:$30,0))</f>
        <v>47730263.688800253</v>
      </c>
      <c r="Q29" s="24">
        <f>+INDEX('[4](6.1) Prorated Base NPC'!$22:$22,1,MATCH(Q$6,'[4](6.1) Prorated Base NPC'!$30:$30,0))</f>
        <v>48602502.241435856</v>
      </c>
      <c r="S29" s="24">
        <f>+SUM(F29:Q29)</f>
        <v>636001721</v>
      </c>
      <c r="T29" s="18"/>
      <c r="U29" s="40"/>
      <c r="V29" s="41"/>
    </row>
    <row r="30" spans="1:22" ht="15.75" customHeight="1">
      <c r="A30" s="7">
        <f>+MAX($A$1:A29)+1</f>
        <v>13</v>
      </c>
      <c r="B30" s="16" t="s">
        <v>17</v>
      </c>
      <c r="C30" s="21"/>
      <c r="D30" s="23" t="str">
        <f>+'[4]Workpaper Index'!$B$30</f>
        <v>(7.1)</v>
      </c>
      <c r="E30" s="39"/>
      <c r="F30" s="24">
        <f>+INDEX('[4](7.1) Wheeling Revenues'!$73:$73,MATCH(F$6,'[4](7.1) Wheeling Revenues'!$10:$10,0))</f>
        <v>-2684824.28561325</v>
      </c>
      <c r="G30" s="24">
        <f>+INDEX('[4](7.1) Wheeling Revenues'!$73:$73,MATCH(G$6,'[4](7.1) Wheeling Revenues'!$10:$10,0))</f>
        <v>-2684824.28561325</v>
      </c>
      <c r="H30" s="24">
        <f>+INDEX('[4](7.1) Wheeling Revenues'!$73:$73,MATCH(H$6,'[4](7.1) Wheeling Revenues'!$10:$10,0))</f>
        <v>-2684824.28561325</v>
      </c>
      <c r="I30" s="24">
        <f>+INDEX('[4](7.1) Wheeling Revenues'!$73:$73,MATCH(I$6,'[4](7.1) Wheeling Revenues'!$10:$10,0))</f>
        <v>-2684824.28561325</v>
      </c>
      <c r="J30" s="24">
        <f>+INDEX('[4](7.1) Wheeling Revenues'!$73:$73,MATCH(J$6,'[4](7.1) Wheeling Revenues'!$10:$10,0))</f>
        <v>-2684824.28561325</v>
      </c>
      <c r="K30" s="24">
        <f>+INDEX('[4](7.1) Wheeling Revenues'!$73:$73,MATCH(K$6,'[4](7.1) Wheeling Revenues'!$10:$10,0))</f>
        <v>-2684824.28561325</v>
      </c>
      <c r="L30" s="24">
        <f>+INDEX('[4](7.1) Wheeling Revenues'!$73:$73,MATCH(L$6,'[4](7.1) Wheeling Revenues'!$10:$10,0))</f>
        <v>-2684824.28561325</v>
      </c>
      <c r="M30" s="24">
        <f>+INDEX('[4](7.1) Wheeling Revenues'!$73:$73,MATCH(M$6,'[4](7.1) Wheeling Revenues'!$10:$10,0))</f>
        <v>-2684824.28561325</v>
      </c>
      <c r="N30" s="24">
        <f>+INDEX('[4](7.1) Wheeling Revenues'!$73:$73,MATCH(N$6,'[4](7.1) Wheeling Revenues'!$10:$10,0))</f>
        <v>-2684824.28561325</v>
      </c>
      <c r="O30" s="24">
        <f>+INDEX('[4](7.1) Wheeling Revenues'!$73:$73,MATCH(O$6,'[4](7.1) Wheeling Revenues'!$10:$10,0))</f>
        <v>-2684824.28561325</v>
      </c>
      <c r="P30" s="24">
        <f>+INDEX('[4](7.1) Wheeling Revenues'!$73:$73,MATCH(P$6,'[4](7.1) Wheeling Revenues'!$10:$10,0))</f>
        <v>-2684824.28561325</v>
      </c>
      <c r="Q30" s="24">
        <f>+INDEX('[4](7.1) Wheeling Revenues'!$73:$73,MATCH(Q$6,'[4](7.1) Wheeling Revenues'!$10:$10,0))</f>
        <v>-2684824.28561325</v>
      </c>
      <c r="S30" s="24">
        <f>+SUM(F30:Q30)</f>
        <v>-32217891.427359</v>
      </c>
      <c r="T30" s="42"/>
      <c r="U30" s="19"/>
      <c r="V30" s="20"/>
    </row>
    <row r="31" spans="1:22" ht="15.75" customHeight="1">
      <c r="A31" s="7">
        <f>+MAX($A$1:A30)+1</f>
        <v>14</v>
      </c>
      <c r="B31" s="16" t="s">
        <v>2</v>
      </c>
      <c r="C31" s="21"/>
      <c r="D31" s="27" t="str">
        <f>"∑ Lines "&amp;$A$29&amp;":"&amp;$A$30&amp;""</f>
        <v>∑ Lines 12:13</v>
      </c>
      <c r="E31" s="39"/>
      <c r="F31" s="43">
        <f>+SUM(F29:F30)</f>
        <v>47326240.851624981</v>
      </c>
      <c r="G31" s="43">
        <f>+SUM(G29:G30)</f>
        <v>43300342.814410597</v>
      </c>
      <c r="H31" s="43">
        <f>+SUM(H29:H30)</f>
        <v>47222148.871275187</v>
      </c>
      <c r="I31" s="43">
        <f t="shared" ref="I31:Q31" si="7">+SUM(I29:I30)</f>
        <v>46232255.01808551</v>
      </c>
      <c r="J31" s="43">
        <f t="shared" si="7"/>
        <v>50188543.407994404</v>
      </c>
      <c r="K31" s="43">
        <f t="shared" si="7"/>
        <v>51043414.92027615</v>
      </c>
      <c r="L31" s="43">
        <f t="shared" si="7"/>
        <v>60781872.554947704</v>
      </c>
      <c r="M31" s="43">
        <f t="shared" si="7"/>
        <v>64073234.771615848</v>
      </c>
      <c r="N31" s="43">
        <f t="shared" si="7"/>
        <v>54437433.178177372</v>
      </c>
      <c r="O31" s="43">
        <f t="shared" si="7"/>
        <v>48215225.825223655</v>
      </c>
      <c r="P31" s="43">
        <f t="shared" si="7"/>
        <v>45045439.403187007</v>
      </c>
      <c r="Q31" s="43">
        <f t="shared" si="7"/>
        <v>45917677.955822602</v>
      </c>
      <c r="S31" s="43">
        <f>+SUM(F31:Q31)</f>
        <v>603783829.57264113</v>
      </c>
      <c r="T31" s="18"/>
      <c r="U31" s="19"/>
      <c r="V31" s="20"/>
    </row>
    <row r="32" spans="1:22" ht="15.75" customHeight="1">
      <c r="B32" s="16"/>
      <c r="C32" s="21"/>
      <c r="D32" s="27"/>
      <c r="E32" s="3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24"/>
      <c r="T32" s="18"/>
      <c r="U32" s="19"/>
      <c r="V32" s="20"/>
    </row>
    <row r="33" spans="1:22" ht="15.75" customHeight="1">
      <c r="A33" s="7">
        <f>+MAX($A$1:A32)+1</f>
        <v>15</v>
      </c>
      <c r="B33" s="16" t="s">
        <v>18</v>
      </c>
      <c r="C33" s="21"/>
      <c r="D33" s="23" t="str">
        <f>+'[4]Workpaper Index'!$B$24</f>
        <v>(6.1)</v>
      </c>
      <c r="E33" s="39"/>
      <c r="F33" s="24">
        <f>+'[4](6.1) Prorated Base NPC'!J21</f>
        <v>1982626.99979</v>
      </c>
      <c r="G33" s="24">
        <f>+'[4](6.1) Prorated Base NPC'!K21</f>
        <v>1789929.9980000001</v>
      </c>
      <c r="H33" s="24">
        <f>+'[4](6.1) Prorated Base NPC'!L21</f>
        <v>1910070.0009899999</v>
      </c>
      <c r="I33" s="24">
        <f>+'[4](6.1) Prorated Base NPC'!M21</f>
        <v>1856810.0009900001</v>
      </c>
      <c r="J33" s="24">
        <f>+'[4](6.1) Prorated Base NPC'!N21</f>
        <v>1998460.00202</v>
      </c>
      <c r="K33" s="24">
        <f>+'[4](6.1) Prorated Base NPC'!O21</f>
        <v>1912132.46205</v>
      </c>
      <c r="L33" s="24">
        <f>+'[4](6.1) Prorated Base NPC'!P21</f>
        <v>2266364.4785400005</v>
      </c>
      <c r="M33" s="24">
        <f>+'[4](6.1) Prorated Base NPC'!Q21</f>
        <v>2314401.9906899994</v>
      </c>
      <c r="N33" s="24">
        <f>+'[4](6.1) Prorated Base NPC'!R21</f>
        <v>1968925.9935399997</v>
      </c>
      <c r="O33" s="24">
        <f>+'[4](6.1) Prorated Base NPC'!S21</f>
        <v>1906260.0009999997</v>
      </c>
      <c r="P33" s="24">
        <f>+'[4](6.1) Prorated Base NPC'!T21</f>
        <v>1856770.00499</v>
      </c>
      <c r="Q33" s="24">
        <f>+'[4](6.1) Prorated Base NPC'!U21</f>
        <v>1971890.61411</v>
      </c>
      <c r="S33" s="24">
        <f>+SUM(F33:Q33)</f>
        <v>23734642.546709999</v>
      </c>
      <c r="T33" s="18"/>
      <c r="U33" s="19"/>
      <c r="V33" s="20"/>
    </row>
    <row r="34" spans="1:22" ht="15.75" customHeight="1">
      <c r="B34" s="16"/>
      <c r="C34" s="21"/>
      <c r="D34" s="27"/>
      <c r="E34" s="39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S34" s="22"/>
      <c r="T34" s="18"/>
      <c r="U34" s="19"/>
      <c r="V34" s="20"/>
    </row>
    <row r="35" spans="1:22" ht="15.75" customHeight="1">
      <c r="A35" s="7">
        <f>+MAX($A$1:A34)+1</f>
        <v>16</v>
      </c>
      <c r="B35" s="33" t="s">
        <v>19</v>
      </c>
      <c r="C35" s="21"/>
      <c r="D35" s="27" t="str">
        <f>"Line "&amp;$A$31&amp;" / Line "&amp;$A$33&amp;""</f>
        <v>Line 14 / Line 15</v>
      </c>
      <c r="E35" s="39"/>
      <c r="F35" s="34">
        <f>+F31/F33</f>
        <v>23.870471277067132</v>
      </c>
      <c r="G35" s="34">
        <f>+G31/G33</f>
        <v>24.191081697492503</v>
      </c>
      <c r="H35" s="34">
        <f>+H31/H33</f>
        <v>24.722732070971055</v>
      </c>
      <c r="I35" s="34">
        <f t="shared" ref="I35:Q35" si="8">+I31/I33</f>
        <v>24.898753773103195</v>
      </c>
      <c r="J35" s="34">
        <f t="shared" si="8"/>
        <v>25.113609157683875</v>
      </c>
      <c r="K35" s="34">
        <f t="shared" si="8"/>
        <v>26.694497339139588</v>
      </c>
      <c r="L35" s="34">
        <f t="shared" si="8"/>
        <v>26.819107487116806</v>
      </c>
      <c r="M35" s="34">
        <f t="shared" si="8"/>
        <v>27.684574688994935</v>
      </c>
      <c r="N35" s="34">
        <f t="shared" si="8"/>
        <v>27.648288131085334</v>
      </c>
      <c r="O35" s="34">
        <f t="shared" si="8"/>
        <v>25.29310052140346</v>
      </c>
      <c r="P35" s="34">
        <f t="shared" si="8"/>
        <v>24.260107219595895</v>
      </c>
      <c r="Q35" s="34">
        <f t="shared" si="8"/>
        <v>23.286118219365452</v>
      </c>
      <c r="S35" s="34">
        <f>+S31/S33</f>
        <v>25.438926597878559</v>
      </c>
      <c r="T35" s="18"/>
      <c r="U35" s="19"/>
      <c r="V35" s="20"/>
    </row>
    <row r="36" spans="1:22" ht="15.75" customHeight="1">
      <c r="B36" s="33"/>
      <c r="C36" s="21"/>
      <c r="D36" s="27"/>
      <c r="E36" s="39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S36" s="22"/>
      <c r="T36" s="18"/>
      <c r="U36" s="19"/>
      <c r="V36" s="20"/>
    </row>
    <row r="37" spans="1:22" ht="15.75" customHeight="1">
      <c r="A37" s="21" t="s">
        <v>20</v>
      </c>
      <c r="B37" s="33"/>
      <c r="C37" s="21"/>
      <c r="D37" s="27"/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S37" s="24"/>
      <c r="T37" s="18"/>
      <c r="U37" s="19"/>
      <c r="V37" s="20"/>
    </row>
    <row r="38" spans="1:22" ht="15.75" customHeight="1">
      <c r="A38" s="21"/>
      <c r="B38" s="33"/>
      <c r="C38" s="21"/>
      <c r="D38" s="27"/>
      <c r="E38" s="39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S38" s="22"/>
      <c r="T38" s="18"/>
      <c r="U38" s="19"/>
      <c r="V38" s="20"/>
    </row>
    <row r="39" spans="1:22" ht="15.75" customHeight="1">
      <c r="A39" s="7">
        <f>+MAX($A$1:A37)+1</f>
        <v>17</v>
      </c>
      <c r="B39" s="16" t="s">
        <v>21</v>
      </c>
      <c r="C39" s="21"/>
      <c r="D39" s="27" t="str">
        <f>"Line "&amp;$A$25&amp;" - Line "&amp;$A$35&amp;""</f>
        <v>Line 11 - Line 16</v>
      </c>
      <c r="E39" s="39"/>
      <c r="F39" s="45">
        <f t="shared" ref="F39:Q39" si="9">+F25-F35</f>
        <v>0.422230323602097</v>
      </c>
      <c r="G39" s="45">
        <f t="shared" si="9"/>
        <v>0.60902953073293986</v>
      </c>
      <c r="H39" s="45">
        <f t="shared" si="9"/>
        <v>1.7514489486335023</v>
      </c>
      <c r="I39" s="45">
        <f t="shared" si="9"/>
        <v>-0.51653132588030104</v>
      </c>
      <c r="J39" s="45">
        <f t="shared" si="9"/>
        <v>-0.6514049074398649</v>
      </c>
      <c r="K39" s="45">
        <f t="shared" si="9"/>
        <v>-1.4059545623942711</v>
      </c>
      <c r="L39" s="45">
        <f t="shared" si="9"/>
        <v>5.8307535849681464</v>
      </c>
      <c r="M39" s="45">
        <f t="shared" si="9"/>
        <v>0.77169333410103036</v>
      </c>
      <c r="N39" s="45">
        <f t="shared" si="9"/>
        <v>2.1586759492013812</v>
      </c>
      <c r="O39" s="45">
        <f t="shared" si="9"/>
        <v>1.4414643385957859</v>
      </c>
      <c r="P39" s="45">
        <f t="shared" si="9"/>
        <v>1.9110539482122739</v>
      </c>
      <c r="Q39" s="45">
        <f t="shared" si="9"/>
        <v>5.9696822356535719</v>
      </c>
      <c r="S39" s="45">
        <f>+S25-S35</f>
        <v>1.6051313895340051</v>
      </c>
      <c r="T39" s="18"/>
      <c r="U39" s="19"/>
      <c r="V39" s="20"/>
    </row>
    <row r="40" spans="1:22" ht="15.75" customHeight="1">
      <c r="B40" s="16"/>
      <c r="C40" s="21"/>
      <c r="D40" s="27"/>
      <c r="E40" s="39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S40" s="28"/>
      <c r="T40" s="18"/>
      <c r="U40" s="19"/>
      <c r="V40" s="20"/>
    </row>
    <row r="41" spans="1:22" ht="15.75" customHeight="1">
      <c r="A41" s="7">
        <f>+MAX($A$1:A40)+1</f>
        <v>18</v>
      </c>
      <c r="B41" s="16" t="s">
        <v>22</v>
      </c>
      <c r="C41" s="21"/>
      <c r="D41" s="27" t="str">
        <f>"Line "&amp;$A$24&amp;" * Line "&amp;$A$39&amp;""</f>
        <v>Line 10 * Line 17</v>
      </c>
      <c r="E41" s="39"/>
      <c r="F41" s="30">
        <f>+F39*F24</f>
        <v>917651.26625402248</v>
      </c>
      <c r="G41" s="30">
        <f>+G39*G24</f>
        <v>1130136.82325765</v>
      </c>
      <c r="H41" s="30">
        <f>+H39*H24</f>
        <v>3245192.611624673</v>
      </c>
      <c r="I41" s="30">
        <f>+I39*I24</f>
        <v>-923284.92882648658</v>
      </c>
      <c r="J41" s="24">
        <f t="shared" ref="J41" si="10">+J39*J24</f>
        <v>-1247996.0318024794</v>
      </c>
      <c r="K41" s="30">
        <f>+K39*K24</f>
        <v>-3010408.4428843549</v>
      </c>
      <c r="L41" s="30">
        <f t="shared" ref="L41:Q41" si="11">+L39*L24</f>
        <v>13622685.359705923</v>
      </c>
      <c r="M41" s="30">
        <f t="shared" si="11"/>
        <v>1877537.612691628</v>
      </c>
      <c r="N41" s="30">
        <f t="shared" si="11"/>
        <v>4264700.8724057861</v>
      </c>
      <c r="O41" s="30">
        <f t="shared" si="11"/>
        <v>2676502.0093476838</v>
      </c>
      <c r="P41" s="30">
        <f t="shared" si="11"/>
        <v>3645993.2196496963</v>
      </c>
      <c r="Q41" s="30">
        <f t="shared" si="11"/>
        <v>13256098.875930406</v>
      </c>
      <c r="S41" s="24">
        <f>+SUM(F41:Q41)</f>
        <v>39454809.24735415</v>
      </c>
      <c r="T41" s="18"/>
      <c r="U41" s="19"/>
      <c r="V41" s="20"/>
    </row>
    <row r="42" spans="1:22" ht="15.75" customHeight="1">
      <c r="B42" s="16"/>
      <c r="C42" s="21"/>
      <c r="D42" s="27"/>
      <c r="E42" s="39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S42" s="22"/>
      <c r="T42" s="18"/>
      <c r="U42" s="19"/>
      <c r="V42" s="20"/>
    </row>
    <row r="43" spans="1:22" ht="15.75" customHeight="1">
      <c r="A43" s="7">
        <f>+MAX($A$1:A42)+1</f>
        <v>19</v>
      </c>
      <c r="B43" s="16" t="s">
        <v>23</v>
      </c>
      <c r="C43" s="21"/>
      <c r="D43" s="27" t="str">
        <f>"Line "&amp;A41&amp;" * 70%"</f>
        <v>Line 18 * 70%</v>
      </c>
      <c r="E43" s="39"/>
      <c r="F43" s="24">
        <f>F41*0.7</f>
        <v>642355.88637781574</v>
      </c>
      <c r="G43" s="24">
        <f>G41*0.7</f>
        <v>791095.77628035494</v>
      </c>
      <c r="H43" s="24">
        <f>H41*0.7</f>
        <v>2271634.8281372711</v>
      </c>
      <c r="I43" s="24">
        <f>I41*0.7</f>
        <v>-646299.45017854054</v>
      </c>
      <c r="J43" s="24">
        <f t="shared" ref="J43:Q43" si="12">J41*0.7</f>
        <v>-873597.22226173559</v>
      </c>
      <c r="K43" s="24">
        <f t="shared" si="12"/>
        <v>-2107285.9100190485</v>
      </c>
      <c r="L43" s="24">
        <f t="shared" si="12"/>
        <v>9535879.7517941464</v>
      </c>
      <c r="M43" s="24">
        <f t="shared" si="12"/>
        <v>1314276.3288841397</v>
      </c>
      <c r="N43" s="24">
        <f t="shared" si="12"/>
        <v>2985290.6106840502</v>
      </c>
      <c r="O43" s="24">
        <f t="shared" si="12"/>
        <v>1873551.4065433785</v>
      </c>
      <c r="P43" s="24">
        <f t="shared" si="12"/>
        <v>2552195.2537547871</v>
      </c>
      <c r="Q43" s="24">
        <f t="shared" si="12"/>
        <v>9279269.2131512836</v>
      </c>
      <c r="S43" s="24">
        <f>+SUM(F43:Q43)</f>
        <v>27618366.473147903</v>
      </c>
      <c r="T43" s="18"/>
      <c r="U43" s="19"/>
      <c r="V43" s="20"/>
    </row>
    <row r="44" spans="1:22" ht="15.75" customHeight="1">
      <c r="A44" s="7">
        <f>+MAX($A$1:A43)+1</f>
        <v>20</v>
      </c>
      <c r="B44" s="16" t="s">
        <v>24</v>
      </c>
      <c r="C44" s="21"/>
      <c r="D44" s="23" t="s">
        <v>25</v>
      </c>
      <c r="E44" s="39"/>
      <c r="F44" s="24">
        <f>+INDEX('[4](7.1) Wheeling Revenues'!$58:$58,1,MATCH(F$6,'[4](7.1) Wheeling Revenues'!$10:$10,0))</f>
        <v>0</v>
      </c>
      <c r="G44" s="24">
        <f>+INDEX('[4](7.1) Wheeling Revenues'!$58:$58,1,MATCH(G$6,'[4](7.1) Wheeling Revenues'!$10:$10,0))</f>
        <v>0</v>
      </c>
      <c r="H44" s="24">
        <f>+INDEX('[4](7.1) Wheeling Revenues'!$58:$58,1,MATCH(H$6,'[4](7.1) Wheeling Revenues'!$10:$10,0))</f>
        <v>0</v>
      </c>
      <c r="I44" s="24">
        <f>+INDEX('[4](7.1) Wheeling Revenues'!$58:$58,1,MATCH(I$6,'[4](7.1) Wheeling Revenues'!$10:$10,0))</f>
        <v>0</v>
      </c>
      <c r="J44" s="24">
        <f>+INDEX('[4](7.1) Wheeling Revenues'!$58:$58,1,MATCH(J$6,'[4](7.1) Wheeling Revenues'!$10:$10,0))</f>
        <v>0</v>
      </c>
      <c r="K44" s="24">
        <f>+INDEX('[4](7.1) Wheeling Revenues'!$58:$58,1,MATCH(K$6,'[4](7.1) Wheeling Revenues'!$10:$10,0))</f>
        <v>0</v>
      </c>
      <c r="L44" s="24">
        <f>+INDEX('[4](7.1) Wheeling Revenues'!$58:$58,1,MATCH(L$6,'[4](7.1) Wheeling Revenues'!$10:$10,0))</f>
        <v>0</v>
      </c>
      <c r="M44" s="24">
        <f>+INDEX('[4](7.1) Wheeling Revenues'!$58:$58,1,MATCH(M$6,'[4](7.1) Wheeling Revenues'!$10:$10,0))</f>
        <v>0</v>
      </c>
      <c r="N44" s="24">
        <f>+INDEX('[4](7.1) Wheeling Revenues'!$58:$58,1,MATCH(N$6,'[4](7.1) Wheeling Revenues'!$10:$10,0))</f>
        <v>0</v>
      </c>
      <c r="O44" s="24">
        <f>+INDEX('[4](7.1) Wheeling Revenues'!$58:$58,1,MATCH(O$6,'[4](7.1) Wheeling Revenues'!$10:$10,0))</f>
        <v>0</v>
      </c>
      <c r="P44" s="24">
        <f>+INDEX('[4](7.1) Wheeling Revenues'!$58:$58,1,MATCH(P$6,'[4](7.1) Wheeling Revenues'!$10:$10,0))</f>
        <v>0</v>
      </c>
      <c r="Q44" s="24">
        <v>-1128262</v>
      </c>
      <c r="S44" s="26">
        <f>SUM(F44:Q44)</f>
        <v>-1128262</v>
      </c>
      <c r="T44" s="18"/>
      <c r="U44" s="19"/>
      <c r="V44" s="20"/>
    </row>
    <row r="45" spans="1:22" ht="15.75" customHeight="1">
      <c r="A45" s="7">
        <f>+MAX($A$1:A44)+1</f>
        <v>21</v>
      </c>
      <c r="B45" s="33" t="s">
        <v>26</v>
      </c>
      <c r="C45" s="21"/>
      <c r="D45" s="27" t="str">
        <f>"∑ Lines "&amp;$A$43&amp;":"&amp;$A$44&amp;""</f>
        <v>∑ Lines 19:20</v>
      </c>
      <c r="E45" s="39"/>
      <c r="F45" s="46">
        <f>+SUM(F43:F44)</f>
        <v>642355.88637781574</v>
      </c>
      <c r="G45" s="46">
        <f>+SUM(G43:G44)</f>
        <v>791095.77628035494</v>
      </c>
      <c r="H45" s="46">
        <f>+SUM(H43:H44)</f>
        <v>2271634.8281372711</v>
      </c>
      <c r="I45" s="46">
        <f t="shared" ref="I45:P45" si="13">+SUM(I43:I44)</f>
        <v>-646299.45017854054</v>
      </c>
      <c r="J45" s="46">
        <f t="shared" si="13"/>
        <v>-873597.22226173559</v>
      </c>
      <c r="K45" s="46">
        <f t="shared" si="13"/>
        <v>-2107285.9100190485</v>
      </c>
      <c r="L45" s="46">
        <f t="shared" si="13"/>
        <v>9535879.7517941464</v>
      </c>
      <c r="M45" s="46">
        <f t="shared" si="13"/>
        <v>1314276.3288841397</v>
      </c>
      <c r="N45" s="46">
        <f t="shared" si="13"/>
        <v>2985290.6106840502</v>
      </c>
      <c r="O45" s="46">
        <f t="shared" si="13"/>
        <v>1873551.4065433785</v>
      </c>
      <c r="P45" s="46">
        <f t="shared" si="13"/>
        <v>2552195.2537547871</v>
      </c>
      <c r="Q45" s="46">
        <f>+SUM(Q43:Q44)</f>
        <v>8151007.2131512836</v>
      </c>
      <c r="S45" s="22">
        <f>+SUM(F45:Q45)</f>
        <v>26490104.473147903</v>
      </c>
      <c r="T45" s="18"/>
      <c r="U45" s="19"/>
      <c r="V45" s="20"/>
    </row>
    <row r="46" spans="1:22" ht="15.75" customHeight="1">
      <c r="B46" s="33"/>
      <c r="C46" s="21"/>
      <c r="D46" s="27"/>
      <c r="E46" s="39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S46" s="22"/>
      <c r="T46" s="18"/>
      <c r="U46" s="19"/>
      <c r="V46" s="20"/>
    </row>
    <row r="47" spans="1:22" ht="15.75" customHeight="1">
      <c r="A47" s="21" t="s">
        <v>27</v>
      </c>
      <c r="B47" s="33"/>
      <c r="C47" s="21"/>
      <c r="D47" s="27"/>
      <c r="E47" s="39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S47" s="22"/>
      <c r="T47" s="18"/>
      <c r="U47" s="19"/>
      <c r="V47" s="20"/>
    </row>
    <row r="48" spans="1:22" ht="15.75" customHeight="1">
      <c r="B48" s="33"/>
      <c r="C48" s="47"/>
      <c r="D48" s="27"/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S48" s="49"/>
      <c r="T48" s="50"/>
      <c r="U48" s="19"/>
      <c r="V48" s="20"/>
    </row>
    <row r="49" spans="1:22" ht="15.75" customHeight="1">
      <c r="A49" s="7">
        <f>+MAX($A$1:A48)+1</f>
        <v>22</v>
      </c>
      <c r="B49" s="16" t="s">
        <v>28</v>
      </c>
      <c r="C49" s="51"/>
      <c r="D49" s="27" t="s">
        <v>29</v>
      </c>
      <c r="E49" s="52"/>
      <c r="F49" s="53">
        <v>5.0000000000000001E-3</v>
      </c>
      <c r="G49" s="53">
        <f>+F49</f>
        <v>5.0000000000000001E-3</v>
      </c>
      <c r="H49" s="53">
        <f t="shared" ref="H49:Q49" si="14">+G49</f>
        <v>5.0000000000000001E-3</v>
      </c>
      <c r="I49" s="53">
        <f t="shared" si="14"/>
        <v>5.0000000000000001E-3</v>
      </c>
      <c r="J49" s="53">
        <f t="shared" si="14"/>
        <v>5.0000000000000001E-3</v>
      </c>
      <c r="K49" s="53">
        <f t="shared" si="14"/>
        <v>5.0000000000000001E-3</v>
      </c>
      <c r="L49" s="53">
        <f t="shared" si="14"/>
        <v>5.0000000000000001E-3</v>
      </c>
      <c r="M49" s="53">
        <f t="shared" si="14"/>
        <v>5.0000000000000001E-3</v>
      </c>
      <c r="N49" s="53">
        <f t="shared" si="14"/>
        <v>5.0000000000000001E-3</v>
      </c>
      <c r="O49" s="53">
        <f t="shared" si="14"/>
        <v>5.0000000000000001E-3</v>
      </c>
      <c r="P49" s="53">
        <f t="shared" si="14"/>
        <v>5.0000000000000001E-3</v>
      </c>
      <c r="Q49" s="53">
        <f t="shared" si="14"/>
        <v>5.0000000000000001E-3</v>
      </c>
      <c r="S49" s="53"/>
      <c r="T49" s="54"/>
      <c r="U49" s="19"/>
      <c r="V49" s="20"/>
    </row>
    <row r="50" spans="1:22" ht="15.75" customHeight="1">
      <c r="A50" s="7">
        <f>+MAX($A$1:A49)+1</f>
        <v>23</v>
      </c>
      <c r="B50" s="16" t="s">
        <v>30</v>
      </c>
      <c r="C50" s="51"/>
      <c r="D50" s="27" t="str">
        <f>"Prior Month Line "&amp;$A$53&amp;""</f>
        <v>Prior Month Line 26</v>
      </c>
      <c r="E50" s="52"/>
      <c r="F50" s="55">
        <v>0</v>
      </c>
      <c r="G50" s="55">
        <f t="shared" ref="G50:Q50" si="15">+F53</f>
        <v>643961.77609376027</v>
      </c>
      <c r="H50" s="55">
        <f t="shared" si="15"/>
        <v>1440255.100695285</v>
      </c>
      <c r="I50" s="55">
        <f t="shared" si="15"/>
        <v>3724770.2914063758</v>
      </c>
      <c r="J50" s="55">
        <f t="shared" si="15"/>
        <v>3095478.9440594204</v>
      </c>
      <c r="K50" s="55">
        <f t="shared" si="15"/>
        <v>2235175.1234623273</v>
      </c>
      <c r="L50" s="55">
        <f t="shared" si="15"/>
        <v>133796.87428554281</v>
      </c>
      <c r="M50" s="55">
        <f t="shared" si="15"/>
        <v>9694185.3098306023</v>
      </c>
      <c r="N50" s="55">
        <f t="shared" si="15"/>
        <v>11060218.256086105</v>
      </c>
      <c r="O50" s="55">
        <f t="shared" si="15"/>
        <v>14108273.184577296</v>
      </c>
      <c r="P50" s="55">
        <f t="shared" si="15"/>
        <v>16057049.835559918</v>
      </c>
      <c r="Q50" s="55">
        <f t="shared" si="15"/>
        <v>18695910.826626893</v>
      </c>
      <c r="S50" s="55">
        <f>+F50</f>
        <v>0</v>
      </c>
      <c r="T50" s="56"/>
      <c r="U50" s="19"/>
      <c r="V50" s="20"/>
    </row>
    <row r="51" spans="1:22" ht="15.75" customHeight="1">
      <c r="A51" s="7">
        <f>+MAX($A$1:A50)+1</f>
        <v>24</v>
      </c>
      <c r="B51" s="16" t="s">
        <v>31</v>
      </c>
      <c r="C51" s="51"/>
      <c r="D51" s="27" t="str">
        <f>"Line "&amp;$A$45</f>
        <v>Line 21</v>
      </c>
      <c r="E51" s="52"/>
      <c r="F51" s="55">
        <f>+F45</f>
        <v>642355.88637781574</v>
      </c>
      <c r="G51" s="55">
        <f>+G45</f>
        <v>791095.77628035494</v>
      </c>
      <c r="H51" s="55">
        <f>+H45</f>
        <v>2271634.8281372711</v>
      </c>
      <c r="I51" s="55">
        <f t="shared" ref="I51:Q51" si="16">+I45</f>
        <v>-646299.45017854054</v>
      </c>
      <c r="J51" s="55">
        <f t="shared" si="16"/>
        <v>-873597.22226173559</v>
      </c>
      <c r="K51" s="55">
        <f t="shared" si="16"/>
        <v>-2107285.9100190485</v>
      </c>
      <c r="L51" s="55">
        <f t="shared" si="16"/>
        <v>9535879.7517941464</v>
      </c>
      <c r="M51" s="55">
        <f t="shared" si="16"/>
        <v>1314276.3288841397</v>
      </c>
      <c r="N51" s="55">
        <f t="shared" si="16"/>
        <v>2985290.6106840502</v>
      </c>
      <c r="O51" s="55">
        <f t="shared" si="16"/>
        <v>1873551.4065433785</v>
      </c>
      <c r="P51" s="55">
        <f t="shared" si="16"/>
        <v>2552195.2537547871</v>
      </c>
      <c r="Q51" s="55">
        <f t="shared" si="16"/>
        <v>8151007.2131512836</v>
      </c>
      <c r="S51" s="55">
        <f>+SUM(F51:Q51)</f>
        <v>26490104.473147903</v>
      </c>
      <c r="T51" s="56"/>
      <c r="U51" s="19"/>
      <c r="V51" s="20"/>
    </row>
    <row r="52" spans="1:22" ht="22.5">
      <c r="A52" s="7">
        <f>+MAX($A$1:A51)+1</f>
        <v>25</v>
      </c>
      <c r="B52" s="57" t="s">
        <v>32</v>
      </c>
      <c r="C52" s="51"/>
      <c r="D52" s="27" t="str">
        <f>"Line "&amp;$A$49&amp;" * ( Line "&amp;$A$50&amp;" + 50% x Line "&amp;$A$51&amp;")"</f>
        <v>Line 22 * ( Line 23 + 50% x Line 24)</v>
      </c>
      <c r="E52" s="52"/>
      <c r="F52" s="58">
        <f t="shared" ref="F52:H52" si="17">+(F50+0.5*SUM(F51:F51))*F49</f>
        <v>1605.8897159445394</v>
      </c>
      <c r="G52" s="58">
        <f t="shared" si="17"/>
        <v>5197.5483211696892</v>
      </c>
      <c r="H52" s="58">
        <f t="shared" si="17"/>
        <v>12880.362573819602</v>
      </c>
      <c r="I52" s="58">
        <f t="shared" ref="I52:K52" si="18">+(I50+0.5*SUM(I51:I51))*I49</f>
        <v>17008.102831585529</v>
      </c>
      <c r="J52" s="58">
        <f t="shared" si="18"/>
        <v>13293.401664642764</v>
      </c>
      <c r="K52" s="58">
        <f t="shared" si="18"/>
        <v>5907.6608422640156</v>
      </c>
      <c r="L52" s="58">
        <f t="shared" ref="L52:Q52" si="19">+(L50+0.5*SUM(L51:L51))*L49</f>
        <v>24508.683750913078</v>
      </c>
      <c r="M52" s="58">
        <f t="shared" si="19"/>
        <v>51756.617371363362</v>
      </c>
      <c r="N52" s="58">
        <f t="shared" si="19"/>
        <v>62764.317807140651</v>
      </c>
      <c r="O52" s="58">
        <f t="shared" si="19"/>
        <v>75225.244439244925</v>
      </c>
      <c r="P52" s="58">
        <f t="shared" si="19"/>
        <v>86665.737312186553</v>
      </c>
      <c r="Q52" s="58">
        <f t="shared" si="19"/>
        <v>113857.07216601267</v>
      </c>
      <c r="S52" s="24">
        <f>+SUM(F52:Q52)</f>
        <v>470670.63879628736</v>
      </c>
      <c r="T52" s="56"/>
      <c r="U52" s="19"/>
      <c r="V52" s="20"/>
    </row>
    <row r="53" spans="1:22" ht="15.75" customHeight="1">
      <c r="A53" s="7">
        <f>+MAX($A$1:A52)+1</f>
        <v>26</v>
      </c>
      <c r="B53" s="33" t="s">
        <v>33</v>
      </c>
      <c r="C53" s="51"/>
      <c r="D53" s="27" t="str">
        <f>"∑ Lines "&amp;$A$50&amp;":"&amp;$A$52&amp;""</f>
        <v>∑ Lines 23:25</v>
      </c>
      <c r="E53" s="52"/>
      <c r="F53" s="46">
        <f t="shared" ref="F53:H53" si="20">+SUM(F50:F52)</f>
        <v>643961.77609376027</v>
      </c>
      <c r="G53" s="46">
        <f t="shared" si="20"/>
        <v>1440255.100695285</v>
      </c>
      <c r="H53" s="46">
        <f t="shared" si="20"/>
        <v>3724770.2914063758</v>
      </c>
      <c r="I53" s="46">
        <f t="shared" ref="I53:K53" si="21">+SUM(I50:I52)</f>
        <v>3095478.9440594204</v>
      </c>
      <c r="J53" s="46">
        <f t="shared" si="21"/>
        <v>2235175.1234623273</v>
      </c>
      <c r="K53" s="46">
        <f t="shared" si="21"/>
        <v>133796.87428554281</v>
      </c>
      <c r="L53" s="46">
        <f t="shared" ref="L53:Q53" si="22">+SUM(L50:L52)</f>
        <v>9694185.3098306023</v>
      </c>
      <c r="M53" s="46">
        <f t="shared" si="22"/>
        <v>11060218.256086105</v>
      </c>
      <c r="N53" s="46">
        <f t="shared" si="22"/>
        <v>14108273.184577296</v>
      </c>
      <c r="O53" s="46">
        <f t="shared" si="22"/>
        <v>16057049.835559918</v>
      </c>
      <c r="P53" s="46">
        <f t="shared" si="22"/>
        <v>18695910.826626893</v>
      </c>
      <c r="Q53" s="46">
        <f t="shared" si="22"/>
        <v>26960775.111944191</v>
      </c>
      <c r="S53" s="46">
        <f>+SUM(S50:S52)</f>
        <v>26960775.111944191</v>
      </c>
      <c r="T53" s="56"/>
      <c r="U53" s="19"/>
      <c r="V53" s="20"/>
    </row>
    <row r="54" spans="1:22" ht="15.75" customHeight="1">
      <c r="B54" s="21"/>
      <c r="C54" s="21"/>
      <c r="D54" s="27"/>
      <c r="E54" s="21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S54" s="54"/>
      <c r="T54" s="54"/>
      <c r="U54" s="19"/>
      <c r="V54" s="20"/>
    </row>
    <row r="55" spans="1:22" ht="26.25" customHeight="1">
      <c r="A55" s="7">
        <f>MAX(A$13:A54)+1</f>
        <v>27</v>
      </c>
      <c r="B55" s="16" t="s">
        <v>34</v>
      </c>
      <c r="C55" s="21"/>
      <c r="D55" s="27" t="str">
        <f>"Line "&amp;$A$53&amp;" * (1 + 1.06% / 12) ^ 10 - Line "&amp;$A$53</f>
        <v>Line 26 * (1 + 1.06% / 12) ^ 10 - Line 26</v>
      </c>
      <c r="E55" s="21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S55" s="55">
        <f>+S53*(1+0.06/12)^10-S53</f>
        <v>1378777.5991468467</v>
      </c>
      <c r="T55" s="54"/>
      <c r="U55" s="19"/>
      <c r="V55" s="20"/>
    </row>
    <row r="56" spans="1:22" ht="9.75" customHeight="1">
      <c r="A56" s="60"/>
      <c r="B56" s="61"/>
      <c r="C56" s="21"/>
      <c r="D56" s="27"/>
      <c r="E56" s="21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S56" s="54"/>
      <c r="T56" s="54"/>
      <c r="U56" s="19"/>
      <c r="V56" s="20"/>
    </row>
    <row r="57" spans="1:22" ht="15.75" customHeight="1" thickBot="1">
      <c r="A57" s="7">
        <f>MAX(A$13:A56)+1</f>
        <v>28</v>
      </c>
      <c r="B57" s="33" t="s">
        <v>35</v>
      </c>
      <c r="C57" s="21"/>
      <c r="D57" s="27" t="str">
        <f>"∑ Lines "&amp;$A$53&amp;":"&amp;$A$55&amp;""</f>
        <v>∑ Lines 26:27</v>
      </c>
      <c r="E57" s="21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S57" s="62">
        <f>S53+S55</f>
        <v>28339552.711091038</v>
      </c>
      <c r="T57" s="54"/>
      <c r="U57" s="19"/>
      <c r="V57" s="20"/>
    </row>
    <row r="58" spans="1:22" ht="8.25" customHeight="1" thickTop="1">
      <c r="B58" s="33"/>
      <c r="C58" s="21"/>
      <c r="E58" s="21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S58" s="54"/>
      <c r="T58" s="54"/>
      <c r="U58" s="19"/>
      <c r="V58" s="20"/>
    </row>
    <row r="59" spans="1:22" ht="15.75" customHeight="1">
      <c r="A59" s="3" t="s">
        <v>36</v>
      </c>
      <c r="C59" s="21"/>
      <c r="E59" s="21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S59" s="54"/>
      <c r="T59" s="54"/>
      <c r="U59" s="19"/>
      <c r="V59" s="20"/>
    </row>
    <row r="60" spans="1:22" ht="15.75" customHeight="1">
      <c r="A60" s="63">
        <v>1</v>
      </c>
      <c r="B60" s="64" t="s">
        <v>37</v>
      </c>
      <c r="C60" s="21"/>
      <c r="E60" s="21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S60" s="54"/>
      <c r="T60" s="54"/>
      <c r="U60" s="19"/>
      <c r="V60" s="20"/>
    </row>
    <row r="61" spans="1:22" ht="15.75" customHeight="1">
      <c r="A61" s="63">
        <v>2</v>
      </c>
      <c r="B61" s="64" t="s">
        <v>38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S61" s="65"/>
      <c r="T61" s="65"/>
      <c r="U61" s="19"/>
      <c r="V61" s="20"/>
    </row>
    <row r="62" spans="1:22" ht="15.75" customHeight="1"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S62" s="65"/>
      <c r="T62" s="65"/>
      <c r="U62" s="19"/>
      <c r="V62" s="20"/>
    </row>
    <row r="63" spans="1:22" ht="15.75" customHeight="1"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S63" s="65"/>
      <c r="T63" s="65"/>
      <c r="U63" s="19"/>
      <c r="V63" s="20"/>
    </row>
    <row r="64" spans="1:22" ht="15.75" customHeight="1"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S64" s="65"/>
      <c r="T64" s="65"/>
      <c r="U64" s="19"/>
      <c r="V64" s="20"/>
    </row>
    <row r="65" spans="6:22" ht="15.75" customHeight="1"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S65" s="65"/>
      <c r="T65" s="65"/>
      <c r="U65" s="19"/>
      <c r="V65" s="20"/>
    </row>
    <row r="66" spans="6:22" ht="15.75" customHeight="1"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S66" s="65"/>
      <c r="T66" s="65"/>
      <c r="U66" s="19"/>
      <c r="V66" s="20"/>
    </row>
    <row r="67" spans="6:22" ht="15.75" customHeight="1"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S67" s="65"/>
      <c r="T67" s="65"/>
      <c r="U67" s="19"/>
      <c r="V67" s="20"/>
    </row>
    <row r="68" spans="6:22" ht="15.75" customHeight="1"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S68" s="65"/>
      <c r="T68" s="65"/>
      <c r="U68" s="19"/>
      <c r="V68" s="20"/>
    </row>
    <row r="69" spans="6:22" ht="15.75" customHeight="1"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S69" s="65"/>
      <c r="T69" s="65"/>
      <c r="U69" s="19"/>
      <c r="V69" s="20"/>
    </row>
    <row r="70" spans="6:22" ht="15.75" customHeight="1"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S70" s="20"/>
      <c r="T70" s="20"/>
      <c r="U70" s="19"/>
      <c r="V70" s="20"/>
    </row>
    <row r="71" spans="6:22" ht="15.75" customHeight="1"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S71" s="20"/>
      <c r="T71" s="20"/>
      <c r="U71" s="19"/>
      <c r="V71" s="20"/>
    </row>
    <row r="72" spans="6:22" ht="15.75" customHeight="1"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S72" s="20"/>
      <c r="T72" s="20"/>
      <c r="U72" s="19"/>
      <c r="V72" s="20"/>
    </row>
    <row r="73" spans="6:22" ht="15.75" customHeight="1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S73" s="20"/>
      <c r="T73" s="20"/>
      <c r="U73" s="19"/>
      <c r="V73" s="20"/>
    </row>
    <row r="74" spans="6:22" ht="15.75" customHeight="1"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S74" s="20"/>
      <c r="T74" s="20"/>
      <c r="U74" s="19"/>
      <c r="V74" s="20"/>
    </row>
    <row r="75" spans="6:22" ht="15.75" customHeight="1"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S75" s="20"/>
      <c r="T75" s="20"/>
      <c r="U75" s="19"/>
      <c r="V75" s="20"/>
    </row>
    <row r="76" spans="6:22" ht="15.75" customHeight="1"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S76" s="20"/>
      <c r="T76" s="20"/>
      <c r="U76" s="19"/>
      <c r="V76" s="20"/>
    </row>
    <row r="77" spans="6:22" ht="15.75" customHeight="1"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S77" s="20"/>
      <c r="T77" s="20"/>
      <c r="U77" s="19"/>
      <c r="V77" s="20"/>
    </row>
    <row r="78" spans="6:22" ht="15.75" customHeight="1"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S78" s="20"/>
      <c r="T78" s="20"/>
      <c r="U78" s="19"/>
      <c r="V78" s="20"/>
    </row>
    <row r="79" spans="6:22" ht="15.75" customHeight="1"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S79" s="20"/>
      <c r="T79" s="20"/>
      <c r="U79" s="19"/>
      <c r="V79" s="20"/>
    </row>
    <row r="80" spans="6:22" ht="15.75" customHeight="1"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S80" s="20"/>
      <c r="T80" s="20"/>
      <c r="U80" s="19"/>
      <c r="V80" s="20"/>
    </row>
    <row r="81" spans="6:22" ht="15.75" customHeight="1"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S81" s="20"/>
      <c r="T81" s="20"/>
      <c r="U81" s="19"/>
      <c r="V81" s="20"/>
    </row>
    <row r="82" spans="6:22" ht="15.75" customHeight="1"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S82" s="20"/>
      <c r="T82" s="20"/>
      <c r="U82" s="19"/>
      <c r="V82" s="20"/>
    </row>
    <row r="83" spans="6:22" ht="15.75" customHeight="1"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S83" s="20"/>
      <c r="T83" s="20"/>
      <c r="U83" s="19"/>
      <c r="V83" s="20"/>
    </row>
    <row r="84" spans="6:22" ht="15.75" customHeight="1"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S84" s="20"/>
      <c r="T84" s="20"/>
      <c r="U84" s="19"/>
      <c r="V84" s="20"/>
    </row>
    <row r="85" spans="6:22" ht="15.75" customHeight="1"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S85" s="20"/>
      <c r="T85" s="20"/>
      <c r="U85" s="19"/>
      <c r="V85" s="20"/>
    </row>
    <row r="86" spans="6:22" ht="15.75" customHeight="1"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S86" s="20"/>
      <c r="T86" s="20"/>
      <c r="U86" s="19"/>
      <c r="V86" s="20"/>
    </row>
    <row r="87" spans="6:22" ht="15.75" customHeight="1"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S87" s="20"/>
      <c r="T87" s="20"/>
      <c r="U87" s="19"/>
      <c r="V87" s="20"/>
    </row>
    <row r="88" spans="6:22" ht="15.75" customHeight="1"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S88" s="20"/>
      <c r="T88" s="20"/>
      <c r="U88" s="19"/>
      <c r="V88" s="20"/>
    </row>
    <row r="89" spans="6:22" ht="15.75" customHeight="1"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S89" s="20"/>
      <c r="T89" s="20"/>
      <c r="U89" s="19"/>
      <c r="V89" s="20"/>
    </row>
    <row r="90" spans="6:22" ht="15.75" customHeight="1"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S90" s="20"/>
      <c r="T90" s="20"/>
      <c r="U90" s="19"/>
      <c r="V90" s="20"/>
    </row>
    <row r="91" spans="6:22" ht="15.75" customHeight="1"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S91" s="20"/>
      <c r="T91" s="20"/>
      <c r="U91" s="19"/>
      <c r="V91" s="20"/>
    </row>
    <row r="92" spans="6:22" ht="15.75" customHeight="1"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S92" s="20"/>
      <c r="T92" s="20"/>
      <c r="U92" s="19"/>
      <c r="V92" s="20"/>
    </row>
    <row r="93" spans="6:22" ht="15.75" customHeight="1"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S93" s="20"/>
      <c r="T93" s="20"/>
      <c r="U93" s="19"/>
      <c r="V93" s="20"/>
    </row>
    <row r="94" spans="6:22" ht="15.75" customHeight="1"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S94" s="20"/>
      <c r="T94" s="20"/>
      <c r="U94" s="19"/>
      <c r="V94" s="20"/>
    </row>
    <row r="95" spans="6:22" ht="15.75" customHeight="1"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S95" s="20"/>
      <c r="T95" s="20"/>
      <c r="U95" s="19"/>
      <c r="V95" s="20"/>
    </row>
    <row r="96" spans="6:22" ht="15.75" customHeight="1"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S96" s="20"/>
      <c r="T96" s="20"/>
      <c r="U96" s="19"/>
      <c r="V96" s="20"/>
    </row>
    <row r="97" spans="6:22" ht="15.75" customHeight="1"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S97" s="20"/>
      <c r="T97" s="20"/>
      <c r="U97" s="19"/>
      <c r="V97" s="20"/>
    </row>
    <row r="98" spans="6:22" ht="15.75" customHeight="1"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S98" s="20"/>
      <c r="T98" s="20"/>
      <c r="U98" s="19"/>
      <c r="V98" s="20"/>
    </row>
    <row r="99" spans="6:22" ht="15.75" customHeight="1"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S99" s="20"/>
      <c r="T99" s="20"/>
      <c r="U99" s="19"/>
      <c r="V99" s="20"/>
    </row>
    <row r="100" spans="6:22" ht="15.75" customHeight="1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S100" s="20"/>
      <c r="T100" s="20"/>
      <c r="U100" s="19"/>
      <c r="V100" s="20"/>
    </row>
    <row r="101" spans="6:22" ht="15.75" customHeight="1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S101" s="20"/>
      <c r="T101" s="20"/>
      <c r="U101" s="19"/>
      <c r="V101" s="20"/>
    </row>
    <row r="102" spans="6:22" ht="15.75" customHeight="1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S102" s="20"/>
      <c r="T102" s="20"/>
      <c r="U102" s="19"/>
      <c r="V102" s="20"/>
    </row>
    <row r="103" spans="6:22" ht="15.75" customHeight="1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S103" s="20"/>
      <c r="T103" s="20"/>
      <c r="U103" s="19"/>
      <c r="V103" s="20"/>
    </row>
    <row r="104" spans="6:22" ht="15.75" customHeight="1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S104" s="20"/>
      <c r="T104" s="20"/>
      <c r="U104" s="19"/>
      <c r="V104" s="20"/>
    </row>
    <row r="105" spans="6:22" ht="15.75" customHeight="1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S105" s="20"/>
      <c r="T105" s="20"/>
      <c r="U105" s="19"/>
      <c r="V105" s="20"/>
    </row>
    <row r="106" spans="6:22" ht="15.75" customHeight="1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S106" s="20"/>
      <c r="T106" s="20"/>
      <c r="U106" s="19"/>
      <c r="V106" s="20"/>
    </row>
    <row r="107" spans="6:22" ht="15.75" customHeight="1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S107" s="20"/>
      <c r="T107" s="20"/>
      <c r="U107" s="19"/>
      <c r="V107" s="20"/>
    </row>
    <row r="108" spans="6:22" ht="15.75" customHeight="1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S108" s="20"/>
      <c r="T108" s="20"/>
      <c r="U108" s="19"/>
      <c r="V108" s="20"/>
    </row>
    <row r="109" spans="6:22" ht="15.75" customHeight="1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S109" s="20"/>
      <c r="T109" s="20"/>
      <c r="U109" s="19"/>
      <c r="V109" s="20"/>
    </row>
    <row r="110" spans="6:22" ht="15.75" customHeight="1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S110" s="20"/>
      <c r="T110" s="20"/>
      <c r="U110" s="19"/>
      <c r="V110" s="20"/>
    </row>
    <row r="111" spans="6:22" ht="15.75" customHeight="1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S111" s="20"/>
      <c r="T111" s="20"/>
      <c r="U111" s="19"/>
      <c r="V111" s="20"/>
    </row>
    <row r="112" spans="6:22" ht="15.75" customHeight="1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S112" s="20"/>
      <c r="T112" s="20"/>
      <c r="U112" s="19"/>
      <c r="V112" s="20"/>
    </row>
    <row r="113" spans="6:22" ht="15.75" customHeight="1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S113" s="20"/>
      <c r="T113" s="20"/>
      <c r="U113" s="19"/>
      <c r="V113" s="20"/>
    </row>
    <row r="114" spans="6:22" ht="15.75" customHeight="1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S114" s="20"/>
      <c r="T114" s="20"/>
      <c r="U114" s="19"/>
      <c r="V114" s="20"/>
    </row>
    <row r="115" spans="6:22" ht="15.75" customHeight="1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S115" s="20"/>
      <c r="T115" s="20"/>
      <c r="U115" s="19"/>
      <c r="V115" s="20"/>
    </row>
    <row r="116" spans="6:22" ht="15.75" customHeight="1"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S116" s="20"/>
      <c r="T116" s="20"/>
      <c r="U116" s="19"/>
      <c r="V116" s="20"/>
    </row>
    <row r="117" spans="6:22" ht="15.75" customHeight="1"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S117" s="20"/>
      <c r="T117" s="20"/>
      <c r="U117" s="19"/>
      <c r="V117" s="20"/>
    </row>
    <row r="118" spans="6:22" ht="15.75" customHeight="1"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S118" s="20"/>
      <c r="T118" s="20"/>
      <c r="U118" s="19"/>
      <c r="V118" s="20"/>
    </row>
    <row r="119" spans="6:22" ht="15.75" customHeight="1"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S119" s="20"/>
      <c r="T119" s="20"/>
      <c r="U119" s="19"/>
      <c r="V119" s="20"/>
    </row>
    <row r="120" spans="6:22" ht="15.75" customHeight="1"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S120" s="20"/>
      <c r="T120" s="20"/>
      <c r="U120" s="19"/>
      <c r="V120" s="20"/>
    </row>
    <row r="121" spans="6:22" ht="15.75" customHeight="1"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S121" s="20"/>
      <c r="T121" s="20"/>
      <c r="U121" s="19"/>
      <c r="V121" s="20"/>
    </row>
    <row r="122" spans="6:22" ht="15.75" customHeight="1"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S122" s="20"/>
      <c r="T122" s="20"/>
      <c r="U122" s="19"/>
      <c r="V122" s="20"/>
    </row>
    <row r="123" spans="6:22" ht="15.75" customHeight="1"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S123" s="20"/>
      <c r="T123" s="20"/>
      <c r="U123" s="19"/>
      <c r="V123" s="20"/>
    </row>
    <row r="124" spans="6:22" ht="15.75" customHeight="1"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S124" s="20"/>
      <c r="T124" s="20"/>
      <c r="U124" s="19"/>
      <c r="V124" s="20"/>
    </row>
    <row r="125" spans="6:22" ht="15.75" customHeight="1"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S125" s="20"/>
      <c r="T125" s="20"/>
      <c r="U125" s="19"/>
      <c r="V125" s="20"/>
    </row>
    <row r="126" spans="6:22" ht="15.75" customHeight="1"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S126" s="20"/>
      <c r="T126" s="20"/>
      <c r="U126" s="19"/>
      <c r="V126" s="20"/>
    </row>
    <row r="127" spans="6:22" ht="15.75" customHeight="1"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S127" s="20"/>
      <c r="T127" s="20"/>
      <c r="U127" s="19"/>
      <c r="V127" s="20"/>
    </row>
    <row r="128" spans="6:22" ht="15.75" customHeight="1"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S128" s="20"/>
      <c r="T128" s="20"/>
      <c r="U128" s="19"/>
      <c r="V128" s="20"/>
    </row>
    <row r="129" spans="6:22" ht="15.75" customHeight="1"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S129" s="20"/>
      <c r="T129" s="20"/>
      <c r="U129" s="19"/>
      <c r="V129" s="20"/>
    </row>
    <row r="130" spans="6:22" ht="15.75" customHeight="1"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S130" s="20"/>
      <c r="T130" s="20"/>
      <c r="U130" s="19"/>
      <c r="V130" s="20"/>
    </row>
    <row r="131" spans="6:22" ht="15.75" customHeight="1"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S131" s="20"/>
      <c r="T131" s="20"/>
      <c r="U131" s="19"/>
      <c r="V131" s="20"/>
    </row>
    <row r="132" spans="6:22" ht="15.75" customHeight="1"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S132" s="20"/>
      <c r="T132" s="20"/>
      <c r="U132" s="19"/>
      <c r="V132" s="20"/>
    </row>
    <row r="133" spans="6:22" ht="15.75" customHeight="1"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S133" s="20"/>
      <c r="T133" s="20"/>
      <c r="U133" s="19"/>
      <c r="V133" s="20"/>
    </row>
    <row r="134" spans="6:22" ht="15.75" customHeight="1"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S134" s="20"/>
      <c r="T134" s="20"/>
      <c r="U134" s="19"/>
      <c r="V134" s="20"/>
    </row>
    <row r="135" spans="6:22" ht="15.75" customHeight="1"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S135" s="20"/>
      <c r="T135" s="20"/>
      <c r="U135" s="19"/>
      <c r="V135" s="20"/>
    </row>
    <row r="136" spans="6:22" ht="15.75" customHeight="1"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S136" s="20"/>
      <c r="T136" s="20"/>
      <c r="U136" s="19"/>
      <c r="V136" s="20"/>
    </row>
    <row r="137" spans="6:22" ht="15.75" customHeight="1"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S137" s="20"/>
      <c r="T137" s="20"/>
      <c r="U137" s="19"/>
      <c r="V137" s="20"/>
    </row>
    <row r="138" spans="6:22" ht="15.75" customHeight="1"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20"/>
      <c r="T138" s="20"/>
      <c r="U138" s="19"/>
      <c r="V138" s="20"/>
    </row>
    <row r="139" spans="6:22" ht="15.75" customHeight="1"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S139" s="20"/>
      <c r="T139" s="20"/>
      <c r="U139" s="19"/>
      <c r="V139" s="20"/>
    </row>
    <row r="140" spans="6:22" ht="15.75" customHeight="1"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S140" s="20"/>
      <c r="T140" s="20"/>
      <c r="U140" s="19"/>
      <c r="V140" s="20"/>
    </row>
    <row r="141" spans="6:22" ht="15.75" customHeight="1"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S141" s="20"/>
      <c r="T141" s="20"/>
      <c r="U141" s="19"/>
      <c r="V141" s="20"/>
    </row>
    <row r="142" spans="6:22" ht="15.75" customHeight="1"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S142" s="20"/>
      <c r="T142" s="20"/>
      <c r="U142" s="19"/>
      <c r="V142" s="20"/>
    </row>
    <row r="143" spans="6:22" ht="15.75" customHeight="1"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S143" s="20"/>
      <c r="T143" s="20"/>
      <c r="U143" s="19"/>
      <c r="V143" s="20"/>
    </row>
    <row r="144" spans="6:22" ht="15.75" customHeight="1"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19"/>
      <c r="V144" s="20"/>
    </row>
    <row r="145" spans="6:22" ht="15.75" customHeight="1"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19"/>
      <c r="V145" s="20"/>
    </row>
    <row r="146" spans="6:22" ht="15.75" customHeight="1"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19"/>
      <c r="V146" s="20"/>
    </row>
    <row r="147" spans="6:22" ht="15.75" customHeight="1"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19"/>
      <c r="V147" s="20"/>
    </row>
    <row r="148" spans="6:22" ht="15.75" customHeight="1"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19"/>
      <c r="V148" s="20"/>
    </row>
    <row r="149" spans="6:22" ht="15.75" customHeight="1"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19"/>
      <c r="V149" s="20"/>
    </row>
    <row r="150" spans="6:22" ht="15.75" customHeight="1"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19"/>
      <c r="V150" s="20"/>
    </row>
    <row r="151" spans="6:22" ht="15.75" customHeight="1"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19"/>
      <c r="V151" s="20"/>
    </row>
    <row r="152" spans="6:22" ht="15.75" customHeight="1"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19"/>
      <c r="V152" s="20"/>
    </row>
    <row r="153" spans="6:22" ht="15.75" customHeight="1"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19"/>
      <c r="V153" s="20"/>
    </row>
    <row r="154" spans="6:22" ht="15.75" customHeight="1"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19"/>
      <c r="V154" s="20"/>
    </row>
    <row r="155" spans="6:22" ht="15.75" customHeight="1"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19"/>
      <c r="V155" s="20"/>
    </row>
    <row r="156" spans="6:22" ht="15.75" customHeight="1"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19"/>
      <c r="V156" s="20"/>
    </row>
    <row r="157" spans="6:22" ht="15.75" customHeight="1"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19"/>
      <c r="V157" s="20"/>
    </row>
    <row r="158" spans="6:22" ht="15.75" customHeight="1"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19"/>
      <c r="V158" s="20"/>
    </row>
    <row r="159" spans="6:22" ht="15.75" customHeight="1"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19"/>
      <c r="V159" s="20"/>
    </row>
    <row r="160" spans="6:22" ht="15.75" customHeight="1"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19"/>
      <c r="V160" s="20"/>
    </row>
    <row r="161" spans="6:22" ht="15.75" customHeight="1"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19"/>
      <c r="V161" s="20"/>
    </row>
    <row r="162" spans="6:22" ht="15.75" customHeight="1"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19"/>
      <c r="V162" s="20"/>
    </row>
    <row r="163" spans="6:22" ht="15.75" customHeight="1"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19"/>
      <c r="V163" s="20"/>
    </row>
  </sheetData>
  <pageMargins left="0.25" right="0.25" top="0.5" bottom="0.25" header="0" footer="0.3"/>
  <pageSetup scale="5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(Exh.1) A1 Scalar Method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Dickman, Brian</dc:creator>
  <cp:lastModifiedBy>laurieharris</cp:lastModifiedBy>
  <cp:lastPrinted>2014-03-13T20:31:37Z</cp:lastPrinted>
  <dcterms:created xsi:type="dcterms:W3CDTF">2014-03-12T21:26:30Z</dcterms:created>
  <dcterms:modified xsi:type="dcterms:W3CDTF">2014-03-17T22:25:45Z</dcterms:modified>
</cp:coreProperties>
</file>